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5790" windowWidth="19155" windowHeight="5850" tabRatio="856" activeTab="0"/>
  </bookViews>
  <sheets>
    <sheet name="International comparisons-2016" sheetId="1" r:id="rId1"/>
    <sheet name="footnotes" sheetId="2" r:id="rId2"/>
    <sheet name="Table1.1" sheetId="3" r:id="rId3"/>
    <sheet name="Table 2.2.4c" sheetId="4" r:id="rId4"/>
    <sheet name="Table 2.2.5" sheetId="5" r:id="rId5"/>
    <sheet name="Table 2.2.6" sheetId="6" r:id="rId6"/>
    <sheet name="Table 2.2.7" sheetId="7" r:id="rId7"/>
    <sheet name="Table 2.3.3" sheetId="8" r:id="rId8"/>
    <sheet name="Table 2.3.4" sheetId="9" r:id="rId9"/>
    <sheet name="Table 2.3.5" sheetId="10" r:id="rId10"/>
    <sheet name="Table 2.3.6" sheetId="11" r:id="rId11"/>
    <sheet name="Table 2.3.7" sheetId="12" r:id="rId12"/>
    <sheet name="Table 2.4.1" sheetId="13" r:id="rId13"/>
    <sheet name="Table 2.5.1" sheetId="14" r:id="rId14"/>
    <sheet name="Table 2.5.2" sheetId="15" r:id="rId15"/>
    <sheet name="Table 2.5.3" sheetId="16" r:id="rId16"/>
    <sheet name="Table 2.6.2" sheetId="17" r:id="rId17"/>
    <sheet name="Table 2.6.4" sheetId="18" r:id="rId18"/>
    <sheet name="Table 2.6.5" sheetId="19" r:id="rId19"/>
    <sheet name="Table 2.6.6" sheetId="20" r:id="rId20"/>
    <sheet name="Table 2.7.1" sheetId="21" r:id="rId21"/>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'International comparisons-2016'!$A$1:$AW$89</definedName>
    <definedName name="_xlnm.Print_Area" localSheetId="5">'Table 2.2.6'!$B$1:$AG$47</definedName>
    <definedName name="_xlnm.Print_Area" localSheetId="6">'Table 2.2.7'!$B$1:$AG$49</definedName>
    <definedName name="_xlnm.Print_Area" localSheetId="7">'Table 2.3.3'!$B$1:$G$50</definedName>
    <definedName name="_xlnm.Print_Area" localSheetId="8">'Table 2.3.4'!$B$1:$AF$49</definedName>
    <definedName name="_xlnm.Print_Area" localSheetId="9">'Table 2.3.5'!$B$1:$AF$52</definedName>
    <definedName name="_xlnm.Print_Area" localSheetId="10">'Table 2.3.6'!$B$1:$AF$49</definedName>
    <definedName name="_xlnm.Print_Area" localSheetId="11">'Table 2.3.7'!$B$1:$AJ$45</definedName>
    <definedName name="_xlnm.Print_Area" localSheetId="12">'Table 2.4.1'!#REF!</definedName>
    <definedName name="_xlnm.Print_Area" localSheetId="13">'Table 2.5.1'!$B$1:$W$49</definedName>
    <definedName name="_xlnm.Print_Area" localSheetId="14">'Table 2.5.2'!#REF!</definedName>
    <definedName name="_xlnm.Print_Area" localSheetId="15">'Table 2.5.3'!$B$1:$AB$46</definedName>
    <definedName name="_xlnm.Print_Area" localSheetId="16">'Table 2.6.2'!$A$1:$Z$48</definedName>
    <definedName name="_xlnm.Print_Area" localSheetId="17">'Table 2.6.4'!$B$1:$Z$48</definedName>
    <definedName name="_xlnm.Print_Area" localSheetId="18">'Table 2.6.5'!$B$1:$S$48</definedName>
    <definedName name="_xlnm.Print_Area" localSheetId="19">'Table 2.6.6'!$B$1:$X$45</definedName>
    <definedName name="_xlnm.Print_Area" localSheetId="20">'Table 2.7.1'!$B$1:$AD$45</definedName>
    <definedName name="_xlnm.Print_Area" localSheetId="2">'Table1.1'!$B$1:$M$48</definedName>
    <definedName name="_xlnm.Print_Titles" localSheetId="0">'International comparisons-2016'!$A:$L,'International comparisons-2016'!$1:$8</definedName>
    <definedName name="_xlnm.Print_Titles" localSheetId="12">'Table 2.4.1'!$1:$5</definedName>
    <definedName name="Z_534C28F4_E90D_11D3_A4B3_0050041AE0D6_.wvu.PrintArea" localSheetId="7" hidden="1">'Table 2.3.3'!$C$1:$G$21</definedName>
    <definedName name="Z_534C28F4_E90D_11D3_A4B3_0050041AE0D6_.wvu.PrintArea" localSheetId="14" hidden="1">'Table 2.5.2'!#REF!</definedName>
  </definedNames>
  <calcPr fullCalcOnLoad="1"/>
</workbook>
</file>

<file path=xl/sharedStrings.xml><?xml version="1.0" encoding="utf-8"?>
<sst xmlns="http://schemas.openxmlformats.org/spreadsheetml/2006/main" count="3806" uniqueCount="360">
  <si>
    <t>million</t>
  </si>
  <si>
    <t>Belgium</t>
  </si>
  <si>
    <t>Denmark</t>
  </si>
  <si>
    <t>Germany</t>
  </si>
  <si>
    <t>Spain</t>
  </si>
  <si>
    <t>France</t>
  </si>
  <si>
    <t>Ireland</t>
  </si>
  <si>
    <t>Italy</t>
  </si>
  <si>
    <t>Luxembourg</t>
  </si>
  <si>
    <t>Netherlands</t>
  </si>
  <si>
    <t>Austria</t>
  </si>
  <si>
    <t>Portugal</t>
  </si>
  <si>
    <t>Sweden</t>
  </si>
  <si>
    <t>UK</t>
  </si>
  <si>
    <t>DK</t>
  </si>
  <si>
    <t>EL</t>
  </si>
  <si>
    <t>NL</t>
  </si>
  <si>
    <t>Area</t>
  </si>
  <si>
    <t>'000 sq km</t>
  </si>
  <si>
    <t>people per sq km</t>
  </si>
  <si>
    <t>Motorways</t>
  </si>
  <si>
    <t>km</t>
  </si>
  <si>
    <t>Railways</t>
  </si>
  <si>
    <t>Passenger cars</t>
  </si>
  <si>
    <t>Goods vehicles</t>
  </si>
  <si>
    <t>thousands</t>
  </si>
  <si>
    <t>calc'd</t>
  </si>
  <si>
    <t>Finland</t>
  </si>
  <si>
    <t>General data</t>
  </si>
  <si>
    <t>Powered two-wheelers</t>
  </si>
  <si>
    <t>Bus and coach</t>
  </si>
  <si>
    <t>Total these modes</t>
  </si>
  <si>
    <t>Buses and coaches</t>
  </si>
  <si>
    <t>Cycling</t>
  </si>
  <si>
    <t>Walking</t>
  </si>
  <si>
    <t>Road fatalities</t>
  </si>
  <si>
    <t>number</t>
  </si>
  <si>
    <t>per million pop'n</t>
  </si>
  <si>
    <t>per head of pop'n</t>
  </si>
  <si>
    <t>per 1,000 pop'n</t>
  </si>
  <si>
    <t>Infrastructure and vehicles</t>
  </si>
  <si>
    <t>Road</t>
  </si>
  <si>
    <t>Rail</t>
  </si>
  <si>
    <t>Inland waterway</t>
  </si>
  <si>
    <t>Pipeline</t>
  </si>
  <si>
    <t>( # )</t>
  </si>
  <si>
    <t>Tram / metro</t>
  </si>
  <si>
    <t>km per '000 sq km</t>
  </si>
  <si>
    <t>CHECK:  EU15 - SUM countries</t>
  </si>
  <si>
    <t>( @ )</t>
  </si>
  <si>
    <t>GB</t>
  </si>
  <si>
    <t>'000 km</t>
  </si>
  <si>
    <t>Railways (excl. t/m)</t>
  </si>
  <si>
    <t xml:space="preserve">Scotland </t>
  </si>
  <si>
    <t xml:space="preserve">GB  (same basis) </t>
  </si>
  <si>
    <t>UK  (same basis)</t>
  </si>
  <si>
    <t>NOT IN</t>
  </si>
  <si>
    <t>TABLE</t>
  </si>
  <si>
    <t>SCOT</t>
  </si>
  <si>
    <t xml:space="preserve">EU publication table     </t>
  </si>
  <si>
    <t>BE</t>
  </si>
  <si>
    <t>CZ</t>
  </si>
  <si>
    <t>Czech Republic</t>
  </si>
  <si>
    <t>DE</t>
  </si>
  <si>
    <t>EE</t>
  </si>
  <si>
    <t>Estonia</t>
  </si>
  <si>
    <t>ES</t>
  </si>
  <si>
    <t>FR</t>
  </si>
  <si>
    <t>IE</t>
  </si>
  <si>
    <t>IT</t>
  </si>
  <si>
    <t>Cyprus</t>
  </si>
  <si>
    <t>CY</t>
  </si>
  <si>
    <t>LV</t>
  </si>
  <si>
    <t>LT</t>
  </si>
  <si>
    <t>Latvia</t>
  </si>
  <si>
    <t>Lithuania</t>
  </si>
  <si>
    <t>LU</t>
  </si>
  <si>
    <t>HU</t>
  </si>
  <si>
    <t>MT</t>
  </si>
  <si>
    <t>Hungary</t>
  </si>
  <si>
    <t>PL</t>
  </si>
  <si>
    <t>AT</t>
  </si>
  <si>
    <t>Poland</t>
  </si>
  <si>
    <t>SI</t>
  </si>
  <si>
    <t>Slovenia</t>
  </si>
  <si>
    <t>SK</t>
  </si>
  <si>
    <t>Slovak Republic</t>
  </si>
  <si>
    <t>FI</t>
  </si>
  <si>
    <t>SE</t>
  </si>
  <si>
    <t>EU-15</t>
  </si>
  <si>
    <t>( * )</t>
  </si>
  <si>
    <t>( + )</t>
  </si>
  <si>
    <t>PT</t>
  </si>
  <si>
    <t>( ** )</t>
  </si>
  <si>
    <t>prev. **</t>
  </si>
  <si>
    <r>
      <t xml:space="preserve">EU countries </t>
    </r>
  </si>
  <si>
    <t>( $ )</t>
  </si>
  <si>
    <t>1.1</t>
  </si>
  <si>
    <t>The definitions of road types vary from country to country.  Some countries' figures may include the lengths of some roads which do not have a hard surface.</t>
  </si>
  <si>
    <t xml:space="preserve"> </t>
  </si>
  <si>
    <t>In general, n-a is used where a figure is not available, and 0 is used where a figure is nil.  However, n-a may be treated as if it were 0 for the purpose of some calculations.</t>
  </si>
  <si>
    <t>BG</t>
  </si>
  <si>
    <t>RO</t>
  </si>
  <si>
    <t>Bulgaria</t>
  </si>
  <si>
    <t>Romania</t>
  </si>
  <si>
    <t>02 &amp; '04</t>
  </si>
  <si>
    <t>As distance travelled</t>
  </si>
  <si>
    <r>
      <t xml:space="preserve">Population  </t>
    </r>
    <r>
      <rPr>
        <sz val="12"/>
        <rFont val="Arial"/>
        <family val="2"/>
      </rPr>
      <t>(at 1 Jan)</t>
    </r>
  </si>
  <si>
    <r>
      <t xml:space="preserve">Population density  </t>
    </r>
    <r>
      <rPr>
        <sz val="12"/>
        <rFont val="Arial"/>
        <family val="2"/>
      </rPr>
      <t>(at 1 Jan)</t>
    </r>
  </si>
  <si>
    <r>
      <t xml:space="preserve">All roads </t>
    </r>
    <r>
      <rPr>
        <sz val="12"/>
        <rFont val="Arial"/>
        <family val="2"/>
      </rPr>
      <t xml:space="preserve"> ( @  )</t>
    </r>
  </si>
  <si>
    <r>
      <t xml:space="preserve">Powered two wheelers  </t>
    </r>
    <r>
      <rPr>
        <sz val="12"/>
        <rFont val="Arial"/>
        <family val="2"/>
      </rPr>
      <t>( $ )</t>
    </r>
  </si>
  <si>
    <r>
      <t xml:space="preserve">Distance travelled </t>
    </r>
    <r>
      <rPr>
        <sz val="12"/>
        <rFont val="Arial"/>
        <family val="2"/>
      </rPr>
      <t>(kilometres per person per year)</t>
    </r>
  </si>
  <si>
    <r>
      <t xml:space="preserve">International air passenger traffic between EU countries </t>
    </r>
    <r>
      <rPr>
        <sz val="12"/>
        <rFont val="Arial"/>
        <family val="2"/>
      </rPr>
      <t>(arrivals plus departures)</t>
    </r>
  </si>
  <si>
    <r>
      <t xml:space="preserve">Freight transport: modal shares </t>
    </r>
    <r>
      <rPr>
        <sz val="12"/>
        <rFont val="Arial"/>
        <family val="2"/>
      </rPr>
      <t>(% of total tonne-kms)</t>
    </r>
  </si>
  <si>
    <t>n-a or 0</t>
  </si>
  <si>
    <t xml:space="preserve">EU-15 </t>
  </si>
  <si>
    <t>All roads data relates to the end of 2005, except for motorway estimate.</t>
  </si>
  <si>
    <t>( *** )</t>
  </si>
  <si>
    <t>Year of data (most countries)</t>
  </si>
  <si>
    <t>Other year/issues  (some countries)</t>
  </si>
  <si>
    <r>
      <t>Scottish figure (</t>
    </r>
    <r>
      <rPr>
        <sz val="12"/>
        <rFont val="Arial"/>
        <family val="2"/>
      </rPr>
      <t>same or a similar basis)  ( # )</t>
    </r>
  </si>
  <si>
    <t>Greece (+)</t>
  </si>
  <si>
    <r>
      <t xml:space="preserve">Scotland/ GB/ UK figures </t>
    </r>
    <r>
      <rPr>
        <b/>
        <vertAlign val="superscript"/>
        <sz val="12"/>
        <rFont val="Arial"/>
        <family val="2"/>
      </rPr>
      <t>( # )</t>
    </r>
  </si>
  <si>
    <t>Malta (+)</t>
  </si>
  <si>
    <t>The notes on the sources of the statistics explain why there appears to be a large inconsistency between the EU publication's figure for the UK and the (DfT) figure for GB.</t>
  </si>
  <si>
    <t>Calculated from the figures in that table, which gives the total number of passenger/tonne-kilometres for the country as a whole (in 100/1000 millions).</t>
  </si>
  <si>
    <t>Table 12.1 International comparisons</t>
  </si>
  <si>
    <t>These are the nearest available figures for Scotland, and comparable figures for GB or UK as a whole - information on sources is given in the text. These may be on a different basis from other countries.</t>
  </si>
  <si>
    <t>2.5.1</t>
  </si>
  <si>
    <t xml:space="preserve">2.5.2 </t>
  </si>
  <si>
    <t>2.5.3</t>
  </si>
  <si>
    <t xml:space="preserve">2.6.2 </t>
  </si>
  <si>
    <t>2.6.6</t>
  </si>
  <si>
    <t>2.6.4</t>
  </si>
  <si>
    <t xml:space="preserve">2.6.5 </t>
  </si>
  <si>
    <t>2.2.4c *</t>
  </si>
  <si>
    <t>2.2.5 *</t>
  </si>
  <si>
    <t>2.2.6 *</t>
  </si>
  <si>
    <t>2.2.7 *</t>
  </si>
  <si>
    <t>2.3.3</t>
  </si>
  <si>
    <t>2.4.1***</t>
  </si>
  <si>
    <t>2.7.1</t>
  </si>
  <si>
    <t>n-a</t>
  </si>
  <si>
    <t>As shown in (or as calculated from figures in) a previous edition - the 2012 edition does not provide any figures for powered two-wheelers, cycling or walking.</t>
  </si>
  <si>
    <t>Data calculated by adding together the total number of journeys across each row in Table 2.4.1</t>
  </si>
  <si>
    <t>GB figures taken from TSGB table TSGB0401 except for Inland waterways (UK figure used)</t>
  </si>
  <si>
    <t>-</t>
  </si>
  <si>
    <t>%</t>
  </si>
  <si>
    <t>HR</t>
  </si>
  <si>
    <t>MK</t>
  </si>
  <si>
    <t>TR</t>
  </si>
  <si>
    <t>IS</t>
  </si>
  <si>
    <t>NO</t>
  </si>
  <si>
    <t>CH</t>
  </si>
  <si>
    <t>2.4.1</t>
  </si>
  <si>
    <t>Air: Passenger Traffic between Member States</t>
  </si>
  <si>
    <t>Total passengers carried* including domestic flights (1000)</t>
  </si>
  <si>
    <t>Partner &gt;&gt;&gt;&gt;&gt;</t>
  </si>
  <si>
    <t>Reporter</t>
  </si>
  <si>
    <t>Greece</t>
  </si>
  <si>
    <t xml:space="preserve">Luxem- bourg </t>
  </si>
  <si>
    <t>Malta</t>
  </si>
  <si>
    <t>Nether- lands</t>
  </si>
  <si>
    <t>Slovakia</t>
  </si>
  <si>
    <t>United Kingdom</t>
  </si>
  <si>
    <t>Croatia</t>
  </si>
  <si>
    <t>Road Fatalities</t>
  </si>
  <si>
    <r>
      <t>Source</t>
    </r>
    <r>
      <rPr>
        <sz val="8"/>
        <rFont val="Arial"/>
        <family val="2"/>
      </rPr>
      <t>: From 1991: CARE database (DG Mobility and Transport), International Transport Forum, national sources. 1990: IRTAD (OECD)</t>
    </r>
  </si>
  <si>
    <t>Modal Split of Passenger Transport on Land by Country</t>
  </si>
  <si>
    <t>passenger-km in %</t>
  </si>
  <si>
    <t>Passenger Cars</t>
  </si>
  <si>
    <t>Buses and Coaches</t>
  </si>
  <si>
    <t>Tram &amp; Metro</t>
  </si>
  <si>
    <t>Notes:</t>
  </si>
  <si>
    <t>2.3.4</t>
  </si>
  <si>
    <r>
      <t>Source</t>
    </r>
    <r>
      <rPr>
        <sz val="8"/>
        <rFont val="Arial"/>
        <family val="2"/>
      </rPr>
      <t>: national statistics, International Transport Forum, Eurostat, estimates</t>
    </r>
    <r>
      <rPr>
        <i/>
        <sz val="8"/>
        <rFont val="Arial"/>
        <family val="2"/>
      </rPr>
      <t xml:space="preserve"> (in italics)</t>
    </r>
  </si>
  <si>
    <r>
      <t>UK:</t>
    </r>
    <r>
      <rPr>
        <sz val="8"/>
        <rFont val="Arial"/>
        <family val="2"/>
      </rPr>
      <t xml:space="preserve"> data refer to Great Britain only; include pkm by vans</t>
    </r>
  </si>
  <si>
    <t>2.3.5</t>
  </si>
  <si>
    <t>Buses &amp; Coaches</t>
  </si>
  <si>
    <r>
      <t>Source</t>
    </r>
    <r>
      <rPr>
        <sz val="8"/>
        <rFont val="Arial"/>
        <family val="2"/>
      </rPr>
      <t xml:space="preserve">: national statistics, International Transport Forum, Eurostat, study for DG Energy and Transport, estimates </t>
    </r>
    <r>
      <rPr>
        <i/>
        <sz val="8"/>
        <rFont val="Arial"/>
        <family val="2"/>
      </rPr>
      <t>(in italics)</t>
    </r>
  </si>
  <si>
    <r>
      <t>UK:</t>
    </r>
    <r>
      <rPr>
        <sz val="8"/>
        <rFont val="Arial"/>
        <family val="2"/>
      </rPr>
      <t xml:space="preserve"> GB data + 1.5 bln pkm throughout to account for Northern Ireland</t>
    </r>
  </si>
  <si>
    <t>2.3.6</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</si>
  <si>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</si>
  <si>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Notes:</t>
    </r>
    <r>
      <rPr>
        <sz val="8"/>
        <rFont val="Arial"/>
        <family val="2"/>
      </rPr>
      <t xml:space="preserve"> </t>
    </r>
  </si>
  <si>
    <t>2.3.7</t>
  </si>
  <si>
    <t>General Data</t>
  </si>
  <si>
    <t>Population</t>
  </si>
  <si>
    <t>GDP (nominal)</t>
  </si>
  <si>
    <t>GDP per head</t>
  </si>
  <si>
    <t xml:space="preserve">Notes: </t>
  </si>
  <si>
    <t xml:space="preserve">Road : Length of Motorways  </t>
  </si>
  <si>
    <t>(at end of year)</t>
  </si>
  <si>
    <t xml:space="preserve">- </t>
  </si>
  <si>
    <r>
      <t>Notes</t>
    </r>
    <r>
      <rPr>
        <sz val="8"/>
        <rFont val="Arial"/>
        <family val="2"/>
      </rPr>
      <t xml:space="preserve">: </t>
    </r>
  </si>
  <si>
    <r>
      <t>ES</t>
    </r>
    <r>
      <rPr>
        <sz val="8"/>
        <rFont val="Arial"/>
        <family val="2"/>
      </rPr>
      <t>: 'autopistas de peaje' and 'autovías y autopistas libres'</t>
    </r>
  </si>
  <si>
    <r>
      <t>CY</t>
    </r>
    <r>
      <rPr>
        <sz val="8"/>
        <rFont val="Arial"/>
        <family val="2"/>
      </rPr>
      <t>: from 2006: without urban M-ways</t>
    </r>
  </si>
  <si>
    <r>
      <t>NL:</t>
    </r>
    <r>
      <rPr>
        <sz val="8"/>
        <rFont val="Arial"/>
        <family val="2"/>
      </rPr>
      <t xml:space="preserve"> all national roads ('Rijkswegen') with dual carriageways</t>
    </r>
  </si>
  <si>
    <t>2.5.2</t>
  </si>
  <si>
    <t>Road : Length of Road Network</t>
  </si>
  <si>
    <t>Main or national roads</t>
  </si>
  <si>
    <t>Secondary or regional roads</t>
  </si>
  <si>
    <t>Other roads*</t>
  </si>
  <si>
    <t xml:space="preserve">*: the definition of road types varies from country to country, the data are therefore not comparable. </t>
  </si>
  <si>
    <t xml:space="preserve">"Other roads" sometimes includes roads without a hard surface. </t>
  </si>
  <si>
    <t>Railways : Length of Lines in Use</t>
  </si>
  <si>
    <t>of which: Electrified</t>
  </si>
  <si>
    <t>2.6.2</t>
  </si>
  <si>
    <t>Road : Passenger Cars</t>
  </si>
  <si>
    <t>Stock of registered vehicles</t>
  </si>
  <si>
    <t>thousand</t>
  </si>
  <si>
    <t>LI</t>
  </si>
  <si>
    <r>
      <t>Source</t>
    </r>
    <r>
      <rPr>
        <sz val="8"/>
        <rFont val="Arial"/>
        <family val="2"/>
      </rPr>
      <t xml:space="preserve">: Eurostat, National statistics, United Nations Economic Commission for Europe, estimates </t>
    </r>
    <r>
      <rPr>
        <i/>
        <sz val="8"/>
        <rFont val="Arial"/>
        <family val="2"/>
      </rPr>
      <t>(in italics)</t>
    </r>
  </si>
  <si>
    <t>Taxis are usually included.</t>
  </si>
  <si>
    <t xml:space="preserve">    Road : Goods Vehicles</t>
  </si>
  <si>
    <t xml:space="preserve">  </t>
  </si>
  <si>
    <t>2.6.5</t>
  </si>
  <si>
    <t>Road : Powered Two-wheelers</t>
  </si>
  <si>
    <t>New vehicle registrations</t>
  </si>
  <si>
    <t>2.2.4c</t>
  </si>
  <si>
    <t>Haulage by Vehicles Registered in the Reporting Country</t>
  </si>
  <si>
    <t>(*) (including cross-trade and cabotage)</t>
  </si>
  <si>
    <t>Only haulage of heavy goods vehicles (usually &gt;3.5 tonnes load capacity)</t>
  </si>
  <si>
    <t>2.2.5</t>
  </si>
  <si>
    <t>2.2.6</t>
  </si>
  <si>
    <t>Inland Waterways</t>
  </si>
  <si>
    <t>2.2.7</t>
  </si>
  <si>
    <t xml:space="preserve">      </t>
  </si>
  <si>
    <t xml:space="preserve">     </t>
  </si>
  <si>
    <t xml:space="preserve">Excluding Other roads (U roads) </t>
  </si>
  <si>
    <t>New registrations of passenger cars</t>
  </si>
  <si>
    <t>2.3.3  (^)</t>
  </si>
  <si>
    <t>(^)</t>
  </si>
  <si>
    <r>
      <t xml:space="preserve">Freight transport: modal shares </t>
    </r>
    <r>
      <rPr>
        <sz val="12"/>
        <rFont val="Arial"/>
        <family val="2"/>
      </rPr>
      <t>(Thousand million tonne-kms)</t>
    </r>
  </si>
  <si>
    <t>Note: figures for GB and Scotland are taken from DfT road lengths publication rdl0201.  Data differs from TS data due to different methodology. NI figure from NITS.</t>
  </si>
  <si>
    <t>Total  pass km these modes</t>
  </si>
  <si>
    <t>ME</t>
  </si>
  <si>
    <t>RS</t>
  </si>
  <si>
    <r>
      <t>Notes:</t>
    </r>
    <r>
      <rPr>
        <sz val="8"/>
        <rFont val="Arial"/>
        <family val="2"/>
      </rPr>
      <t xml:space="preserve"> </t>
    </r>
  </si>
  <si>
    <t>Road : National and International Haulage (*)</t>
  </si>
  <si>
    <t>billion tkm</t>
  </si>
  <si>
    <r>
      <t>TR</t>
    </r>
    <r>
      <rPr>
        <b/>
        <vertAlign val="subscript"/>
        <sz val="8"/>
        <rFont val="Arial"/>
        <family val="2"/>
      </rPr>
      <t>(1)</t>
    </r>
  </si>
  <si>
    <r>
      <t>CH</t>
    </r>
    <r>
      <rPr>
        <b/>
        <vertAlign val="subscript"/>
        <sz val="8"/>
        <rFont val="Arial"/>
        <family val="2"/>
      </rPr>
      <t>(2)</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</si>
  <si>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</si>
  <si>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FI:</t>
    </r>
    <r>
      <rPr>
        <sz val="8"/>
        <rFont val="Arial"/>
        <family val="2"/>
      </rPr>
      <t xml:space="preserve"> only shipborne transport (i.e. no floating)</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</si>
  <si>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</si>
  <si>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</si>
  <si>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r>
      <t>HR</t>
    </r>
    <r>
      <rPr>
        <sz val="8"/>
        <rFont val="Arial"/>
        <family val="2"/>
      </rPr>
      <t>: data include transit traffic from 2008 onward</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</si>
  <si>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</si>
  <si>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r>
      <t>CS:</t>
    </r>
    <r>
      <rPr>
        <sz val="8"/>
        <rFont val="Arial"/>
        <family val="2"/>
      </rPr>
      <t xml:space="preserve"> 1990: 7.5</t>
    </r>
  </si>
  <si>
    <r>
      <t xml:space="preserve">DE: </t>
    </r>
    <r>
      <rPr>
        <sz val="8"/>
        <rFont val="Arial"/>
        <family val="2"/>
      </rPr>
      <t>from 1995 onwards: only crude oil (i.e. no refined petroleum products)</t>
    </r>
  </si>
  <si>
    <t>EU-28</t>
  </si>
  <si>
    <t>EU-13</t>
  </si>
  <si>
    <r>
      <t>Source:</t>
    </r>
    <r>
      <rPr>
        <sz val="8"/>
        <rFont val="Arial"/>
        <family val="2"/>
      </rPr>
      <t xml:space="preserve"> tables 2.3.4, 2.3.5, 2.3.6, 2.3.7</t>
    </r>
  </si>
  <si>
    <t>billion pkm</t>
  </si>
  <si>
    <t>% under PSO (*)</t>
  </si>
  <si>
    <r>
      <t>Source</t>
    </r>
    <r>
      <rPr>
        <sz val="8"/>
        <rFont val="Arial"/>
        <family val="2"/>
      </rPr>
      <t>: Eurostat, estimates (in italics)</t>
    </r>
  </si>
  <si>
    <r>
      <t>Note</t>
    </r>
    <r>
      <rPr>
        <sz val="10"/>
        <rFont val="Arial"/>
        <family val="2"/>
      </rPr>
      <t xml:space="preserve">: </t>
    </r>
  </si>
  <si>
    <t>*passengers carried are fewer than passengers on board, due to transit passengers staying on board the aircraft not being counted.</t>
  </si>
  <si>
    <r>
      <t xml:space="preserve">Stock at end of year, except for </t>
    </r>
    <r>
      <rPr>
        <b/>
        <sz val="8"/>
        <rFont val="Arial"/>
        <family val="2"/>
      </rPr>
      <t>BE:</t>
    </r>
    <r>
      <rPr>
        <sz val="8"/>
        <rFont val="Arial"/>
        <family val="2"/>
      </rPr>
      <t xml:space="preserve"> 1 August (1 July in 2012), </t>
    </r>
    <r>
      <rPr>
        <b/>
        <sz val="8"/>
        <rFont val="Arial"/>
        <family val="2"/>
      </rPr>
      <t>CH:</t>
    </r>
    <r>
      <rPr>
        <sz val="8"/>
        <rFont val="Arial"/>
        <family val="2"/>
      </rPr>
      <t xml:space="preserve"> 30 September, </t>
    </r>
    <r>
      <rPr>
        <b/>
        <sz val="8"/>
        <rFont val="Arial"/>
        <family val="2"/>
      </rPr>
      <t>LI:</t>
    </r>
    <r>
      <rPr>
        <sz val="8"/>
        <rFont val="Arial"/>
        <family val="2"/>
      </rPr>
      <t xml:space="preserve"> 1 July.</t>
    </r>
  </si>
  <si>
    <r>
      <t>Source</t>
    </r>
    <r>
      <rPr>
        <sz val="8"/>
        <rFont val="Arial"/>
        <family val="2"/>
      </rPr>
      <t xml:space="preserve">:  Eurostat, national statistics, United Nations Economic Commission for Europe, estimates </t>
    </r>
    <r>
      <rPr>
        <i/>
        <sz val="8"/>
        <rFont val="Arial"/>
        <family val="2"/>
      </rPr>
      <t>(in italics)</t>
    </r>
  </si>
  <si>
    <r>
      <t xml:space="preserve">Notes: </t>
    </r>
  </si>
  <si>
    <r>
      <t xml:space="preserve">Stock at end of year, except for </t>
    </r>
    <r>
      <rPr>
        <b/>
        <sz val="8"/>
        <rFont val="Arial"/>
        <family val="2"/>
      </rPr>
      <t>CH:</t>
    </r>
    <r>
      <rPr>
        <sz val="8"/>
        <rFont val="Arial"/>
        <family val="2"/>
      </rPr>
      <t xml:space="preserve"> 30 September, </t>
    </r>
    <r>
      <rPr>
        <b/>
        <sz val="8"/>
        <rFont val="Arial"/>
        <family val="2"/>
      </rPr>
      <t>LI:</t>
    </r>
    <r>
      <rPr>
        <sz val="8"/>
        <rFont val="Arial"/>
        <family val="2"/>
      </rPr>
      <t xml:space="preserve"> 1 July.</t>
    </r>
  </si>
  <si>
    <r>
      <t>As a rule, data include heavy and light goods vehicles, lorries and road tractors; due to varying concepts of such vehicles, data are not fully comparable between countries.</t>
    </r>
  </si>
  <si>
    <r>
      <rPr>
        <b/>
        <sz val="8"/>
        <rFont val="Arial"/>
        <family val="2"/>
      </rPr>
      <t>HR:</t>
    </r>
    <r>
      <rPr>
        <sz val="8"/>
        <rFont val="Arial"/>
        <family val="2"/>
      </rPr>
      <t xml:space="preserve"> from 2009 light vans are included in passenger cars and no longer in Goods Vehicles</t>
    </r>
  </si>
  <si>
    <r>
      <t>Notes:</t>
    </r>
  </si>
  <si>
    <r>
      <t xml:space="preserve">Stock at end of year, except for </t>
    </r>
    <r>
      <rPr>
        <b/>
        <sz val="8"/>
        <rFont val="Arial"/>
        <family val="2"/>
      </rPr>
      <t>BE:</t>
    </r>
    <r>
      <rPr>
        <sz val="8"/>
        <rFont val="Arial"/>
        <family val="2"/>
      </rPr>
      <t xml:space="preserve"> 1 August, </t>
    </r>
    <r>
      <rPr>
        <b/>
        <sz val="8"/>
        <rFont val="Arial"/>
        <family val="2"/>
      </rPr>
      <t>CH:</t>
    </r>
    <r>
      <rPr>
        <sz val="8"/>
        <rFont val="Arial"/>
        <family val="2"/>
      </rPr>
      <t xml:space="preserve"> 30 September, </t>
    </r>
    <r>
      <rPr>
        <b/>
        <sz val="8"/>
        <rFont val="Arial"/>
        <family val="2"/>
      </rPr>
      <t>LI:</t>
    </r>
    <r>
      <rPr>
        <sz val="8"/>
        <rFont val="Arial"/>
        <family val="2"/>
      </rPr>
      <t xml:space="preserve"> 1 July.</t>
    </r>
  </si>
  <si>
    <r>
      <t>National vehicle stock data do not always include all powered two-wheelers and are therefore not fully comparable between countries.</t>
    </r>
  </si>
  <si>
    <r>
      <t>Tricycles and quads are sometimes included in the data.</t>
    </r>
  </si>
  <si>
    <r>
      <t xml:space="preserve">Break in time series due to inclusion of mopeds from 2001 in </t>
    </r>
    <r>
      <rPr>
        <b/>
        <sz val="8"/>
        <rFont val="Arial"/>
        <family val="2"/>
      </rPr>
      <t>ES</t>
    </r>
    <r>
      <rPr>
        <sz val="8"/>
        <rFont val="Arial"/>
        <family val="2"/>
      </rPr>
      <t xml:space="preserve">, from 2002 in </t>
    </r>
    <r>
      <rPr>
        <b/>
        <sz val="8"/>
        <rFont val="Arial"/>
        <family val="2"/>
      </rPr>
      <t xml:space="preserve">SI </t>
    </r>
    <r>
      <rPr>
        <sz val="8"/>
        <rFont val="Arial"/>
        <family val="2"/>
      </rPr>
      <t xml:space="preserve">and </t>
    </r>
    <r>
      <rPr>
        <b/>
        <sz val="8"/>
        <rFont val="Arial"/>
        <family val="2"/>
      </rPr>
      <t>HR</t>
    </r>
    <r>
      <rPr>
        <sz val="8"/>
        <rFont val="Arial"/>
        <family val="2"/>
      </rPr>
      <t xml:space="preserve">, from 2004 in </t>
    </r>
    <r>
      <rPr>
        <b/>
        <sz val="8"/>
        <rFont val="Arial"/>
        <family val="2"/>
      </rPr>
      <t>LV</t>
    </r>
    <r>
      <rPr>
        <sz val="8"/>
        <rFont val="Arial"/>
        <family val="2"/>
      </rPr>
      <t xml:space="preserve">, from 2005 in </t>
    </r>
    <r>
      <rPr>
        <b/>
        <sz val="8"/>
        <rFont val="Arial"/>
        <family val="2"/>
      </rPr>
      <t>PL</t>
    </r>
    <r>
      <rPr>
        <sz val="8"/>
        <rFont val="Arial"/>
        <family val="2"/>
      </rPr>
      <t xml:space="preserve">, from 2007 in </t>
    </r>
    <r>
      <rPr>
        <b/>
        <sz val="8"/>
        <rFont val="Arial"/>
        <family val="2"/>
      </rPr>
      <t xml:space="preserve">LT, </t>
    </r>
    <r>
      <rPr>
        <sz val="8"/>
        <rFont val="Arial"/>
        <family val="2"/>
      </rPr>
      <t xml:space="preserve">from 2011 in </t>
    </r>
    <r>
      <rPr>
        <b/>
        <sz val="8"/>
        <rFont val="Arial"/>
        <family val="2"/>
      </rPr>
      <t>EE</t>
    </r>
  </si>
  <si>
    <r>
      <t>Source</t>
    </r>
    <r>
      <rPr>
        <sz val="8"/>
        <rFont val="Arial"/>
        <family val="2"/>
      </rPr>
      <t xml:space="preserve">: Association des Constructeurs Européens d'Automobiles (ACEA), national sources, estimates </t>
    </r>
    <r>
      <rPr>
        <i/>
        <sz val="8"/>
        <rFont val="Arial"/>
        <family val="2"/>
      </rPr>
      <t>(italics)</t>
    </r>
  </si>
  <si>
    <t xml:space="preserve">EU-28  </t>
  </si>
  <si>
    <r>
      <t>2.3.4 *</t>
    </r>
    <r>
      <rPr>
        <vertAlign val="superscript"/>
        <sz val="12"/>
        <rFont val="Arial"/>
        <family val="2"/>
      </rPr>
      <t xml:space="preserve"> &amp;</t>
    </r>
  </si>
  <si>
    <r>
      <t xml:space="preserve">2.3.5 * </t>
    </r>
    <r>
      <rPr>
        <vertAlign val="superscript"/>
        <sz val="12"/>
        <rFont val="Arial"/>
        <family val="2"/>
      </rPr>
      <t>&amp;</t>
    </r>
    <r>
      <rPr>
        <sz val="12"/>
        <rFont val="Arial"/>
        <family val="2"/>
      </rPr>
      <t xml:space="preserve"> </t>
    </r>
  </si>
  <si>
    <r>
      <t xml:space="preserve">2.3.6 * </t>
    </r>
    <r>
      <rPr>
        <vertAlign val="superscript"/>
        <sz val="12"/>
        <rFont val="Arial"/>
        <family val="2"/>
      </rPr>
      <t>&amp;</t>
    </r>
  </si>
  <si>
    <r>
      <t xml:space="preserve">2.3.7 * </t>
    </r>
    <r>
      <rPr>
        <vertAlign val="superscript"/>
        <sz val="12"/>
        <rFont val="Arial"/>
        <family val="2"/>
      </rPr>
      <t>&amp;</t>
    </r>
  </si>
  <si>
    <t xml:space="preserve">( # )  ( + )  ( @ )  ( $ )  (^)  ( * )  ( ** )  ( *** )  (&amp;) -  see footnotes </t>
  </si>
  <si>
    <t>(&amp;)</t>
  </si>
  <si>
    <t>National Travel Survey data is only collected for England now. Figures for Scotland and GB are for the last time they were available in 2012.</t>
  </si>
  <si>
    <t>UK figure is for GB only.</t>
  </si>
  <si>
    <t>Update Scotland from summary table TH2b</t>
  </si>
  <si>
    <r>
      <t xml:space="preserve">Passenger transport </t>
    </r>
    <r>
      <rPr>
        <b/>
        <vertAlign val="superscript"/>
        <sz val="12"/>
        <rFont val="Arial"/>
        <family val="2"/>
      </rPr>
      <t>&amp;</t>
    </r>
  </si>
  <si>
    <r>
      <t xml:space="preserve">Modal shares </t>
    </r>
    <r>
      <rPr>
        <b/>
        <vertAlign val="superscript"/>
        <sz val="12"/>
        <rFont val="Arial"/>
        <family val="2"/>
      </rPr>
      <t>&amp;</t>
    </r>
    <r>
      <rPr>
        <b/>
        <sz val="12"/>
        <rFont val="Arial"/>
        <family val="2"/>
      </rPr>
      <t xml:space="preserve"> </t>
    </r>
    <r>
      <rPr>
        <sz val="12"/>
        <rFont val="Arial"/>
        <family val="2"/>
      </rPr>
      <t>(% of total pass-kms for specified modes)</t>
    </r>
  </si>
  <si>
    <t>n/a</t>
  </si>
  <si>
    <t>Note NTS only covers England nuw.  Scotland and GB figures are those that were published in 2012.</t>
  </si>
  <si>
    <t>SL</t>
  </si>
  <si>
    <t>in PPS</t>
  </si>
  <si>
    <r>
      <t>1 000 km</t>
    </r>
    <r>
      <rPr>
        <b/>
        <vertAlign val="superscript"/>
        <sz val="7"/>
        <rFont val="Arial"/>
        <family val="2"/>
      </rPr>
      <t>2</t>
    </r>
  </si>
  <si>
    <t xml:space="preserve">billion € </t>
  </si>
  <si>
    <t>EU-28 = 100</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</si>
  <si>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</si>
  <si>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</si>
  <si>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</si>
  <si>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r>
      <rPr>
        <b/>
        <sz val="8"/>
        <rFont val="Arial"/>
        <family val="2"/>
      </rPr>
      <t>CS:</t>
    </r>
    <r>
      <rPr>
        <sz val="8"/>
        <rFont val="Arial"/>
        <family val="2"/>
      </rPr>
      <t xml:space="preserve"> 1970: 2.43,  1980: 3.59,  1990: 4.42, 1991: 3.89, 1992: 2.98  (these are included in </t>
    </r>
    <r>
      <rPr>
        <b/>
        <sz val="8"/>
        <rFont val="Arial"/>
        <family val="2"/>
      </rPr>
      <t>EU-28</t>
    </r>
    <r>
      <rPr>
        <sz val="8"/>
        <rFont val="Arial"/>
        <family val="2"/>
      </rPr>
      <t xml:space="preserve"> and </t>
    </r>
    <r>
      <rPr>
        <b/>
        <sz val="8"/>
        <rFont val="Arial"/>
        <family val="2"/>
      </rPr>
      <t>EU-13</t>
    </r>
    <r>
      <rPr>
        <sz val="8"/>
        <rFont val="Arial"/>
        <family val="2"/>
      </rPr>
      <t xml:space="preserve"> totals)</t>
    </r>
  </si>
  <si>
    <t xml:space="preserve">Data are not harmonised and therefore not fully comparable; in most countries, only pipelines longer than 40km are included. Data refers to oil pipelines. </t>
  </si>
  <si>
    <r>
      <t>FR:</t>
    </r>
    <r>
      <rPr>
        <sz val="8"/>
        <rFont val="Arial"/>
        <family val="2"/>
      </rPr>
      <t xml:space="preserve"> passenger-km include transport activity on the territory of vehicles not registered in France. Includes foreign vans.</t>
    </r>
  </si>
  <si>
    <r>
      <t>Source</t>
    </r>
    <r>
      <rPr>
        <sz val="8"/>
        <rFont val="Arial"/>
        <family val="2"/>
      </rPr>
      <t>: Eurostat, International Road Federation, United Nations Economic Commission for Europe, ASECAP statistical bulletin, national statistics, estimates (</t>
    </r>
    <r>
      <rPr>
        <i/>
        <sz val="8"/>
        <rFont val="Arial"/>
        <family val="2"/>
      </rPr>
      <t>in italics</t>
    </r>
    <r>
      <rPr>
        <sz val="8"/>
        <rFont val="Arial"/>
        <family val="2"/>
      </rPr>
      <t xml:space="preserve">) </t>
    </r>
  </si>
  <si>
    <r>
      <t>UK:</t>
    </r>
    <r>
      <rPr>
        <sz val="8"/>
        <rFont val="Arial"/>
        <family val="2"/>
      </rPr>
      <t xml:space="preserve"> data refers to the 1st of April of the next year.</t>
    </r>
  </si>
  <si>
    <r>
      <t>Source</t>
    </r>
    <r>
      <rPr>
        <sz val="8"/>
        <rFont val="Arial"/>
        <family val="2"/>
      </rPr>
      <t xml:space="preserve">:  Eurostat, International Road Federation, national statistics, estimates </t>
    </r>
    <r>
      <rPr>
        <i/>
        <sz val="8"/>
        <rFont val="Arial"/>
        <family val="2"/>
      </rPr>
      <t>(in italics</t>
    </r>
    <r>
      <rPr>
        <sz val="8"/>
        <rFont val="Arial"/>
        <family val="2"/>
      </rPr>
      <t>)</t>
    </r>
  </si>
  <si>
    <t>Scotland STS table 8.3(a) UK DfT aviation statistics table AV10105</t>
  </si>
  <si>
    <r>
      <t>Source</t>
    </r>
    <r>
      <rPr>
        <sz val="8"/>
        <rFont val="Arial"/>
        <family val="2"/>
      </rPr>
      <t>:  Eurostat, national sources. Provisional or estimated data from Eurostat</t>
    </r>
    <r>
      <rPr>
        <i/>
        <sz val="8"/>
        <rFont val="Arial"/>
        <family val="2"/>
      </rPr>
      <t xml:space="preserve"> in italics</t>
    </r>
    <r>
      <rPr>
        <sz val="8"/>
        <rFont val="Arial"/>
        <family val="2"/>
      </rPr>
      <t xml:space="preserve">. </t>
    </r>
  </si>
  <si>
    <r>
      <t xml:space="preserve">CY: </t>
    </r>
    <r>
      <rPr>
        <sz val="8"/>
        <rFont val="Arial"/>
        <family val="2"/>
      </rPr>
      <t>Area refers to the whole island.</t>
    </r>
    <r>
      <rPr>
        <b/>
        <sz val="8"/>
        <rFont val="Arial"/>
        <family val="2"/>
      </rPr>
      <t xml:space="preserve"> FR</t>
    </r>
    <r>
      <rPr>
        <sz val="8"/>
        <rFont val="Arial"/>
        <family val="2"/>
      </rPr>
      <t>: Area and population include the 5 French overseas departments Guyane, Martinique, Mayotte, Guadeloupe and La Réunion.</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</si>
  <si>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</si>
  <si>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</si>
  <si>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</si>
  <si>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</si>
  <si>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rPr>
        <b/>
        <sz val="8"/>
        <rFont val="Arial"/>
        <family val="2"/>
      </rPr>
      <t>DK:</t>
    </r>
    <r>
      <rPr>
        <sz val="8"/>
        <rFont val="Arial"/>
        <family val="2"/>
      </rPr>
      <t xml:space="preserve"> 2014 values based on quarterly data. 
</t>
    </r>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  (these are included in EU-28 and EU-13 totals)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</si>
  <si>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</si>
  <si>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</si>
  <si>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</si>
  <si>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t xml:space="preserve">DK: </t>
    </r>
    <r>
      <rPr>
        <sz val="8"/>
        <rFont val="Arial"/>
        <family val="2"/>
      </rPr>
      <t>figures exclude activity of vans with a mass higher than 2000 kg.</t>
    </r>
  </si>
  <si>
    <r>
      <t xml:space="preserve">PL: </t>
    </r>
    <r>
      <rPr>
        <sz val="8"/>
        <rFont val="Arial"/>
        <family val="2"/>
      </rPr>
      <t>estimated activity</t>
    </r>
  </si>
  <si>
    <r>
      <t xml:space="preserve">CS: </t>
    </r>
    <r>
      <rPr>
        <sz val="8"/>
        <rFont val="Arial"/>
        <family val="2"/>
      </rPr>
      <t>1990: 43.4 (included in</t>
    </r>
    <r>
      <rPr>
        <b/>
        <sz val="8"/>
        <rFont val="Arial"/>
        <family val="2"/>
      </rPr>
      <t xml:space="preserve"> EU-28</t>
    </r>
    <r>
      <rPr>
        <sz val="8"/>
        <rFont val="Arial"/>
        <family val="2"/>
      </rPr>
      <t xml:space="preserve"> and </t>
    </r>
    <r>
      <rPr>
        <b/>
        <sz val="8"/>
        <rFont val="Arial"/>
        <family val="2"/>
      </rPr>
      <t>EU-13</t>
    </r>
    <r>
      <rPr>
        <sz val="8"/>
        <rFont val="Arial"/>
        <family val="2"/>
      </rPr>
      <t xml:space="preserve"> totals)</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</si>
  <si>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</si>
  <si>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AT: </t>
    </r>
    <r>
      <rPr>
        <sz val="8"/>
        <rFont val="Arial"/>
        <family val="2"/>
      </rPr>
      <t>the times series includes an estimate for trolleybuses.</t>
    </r>
  </si>
  <si>
    <r>
      <rPr>
        <b/>
        <sz val="8"/>
        <rFont val="Arial"/>
        <family val="2"/>
      </rPr>
      <t>PL:</t>
    </r>
    <r>
      <rPr>
        <sz val="8"/>
        <rFont val="Arial"/>
        <family val="2"/>
      </rPr>
      <t xml:space="preserve"> includes long-distance transport and estimated data for urban transport.</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</si>
  <si>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</si>
  <si>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</si>
  <si>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ES: </t>
    </r>
    <r>
      <rPr>
        <sz val="8"/>
        <rFont val="Arial"/>
        <family val="2"/>
      </rPr>
      <t>including metro of Malaga since 2014.</t>
    </r>
  </si>
  <si>
    <r>
      <t xml:space="preserve">AT: </t>
    </r>
    <r>
      <rPr>
        <sz val="8"/>
        <rFont val="Arial"/>
        <family val="2"/>
      </rPr>
      <t>it includes regional rail transport activity.</t>
    </r>
  </si>
  <si>
    <r>
      <t>Notes:</t>
    </r>
    <r>
      <rPr>
        <sz val="8"/>
        <rFont val="Arial"/>
        <family val="2"/>
      </rPr>
      <t xml:space="preserve">  </t>
    </r>
    <r>
      <rPr>
        <b/>
        <sz val="8"/>
        <rFont val="Arial"/>
        <family val="2"/>
      </rPr>
      <t>BE</t>
    </r>
    <r>
      <rPr>
        <sz val="8"/>
        <rFont val="Arial"/>
        <family val="2"/>
      </rPr>
      <t xml:space="preserve"> 2010 and 2012 pkm values based on quarter data from Eurostat. </t>
    </r>
    <r>
      <rPr>
        <b/>
        <sz val="8"/>
        <rFont val="Arial"/>
        <family val="2"/>
      </rPr>
      <t>UK</t>
    </r>
    <r>
      <rPr>
        <sz val="8"/>
        <rFont val="Arial"/>
        <family val="2"/>
      </rPr>
      <t xml:space="preserve"> share of PSO excludes Northern Ireland. EU-28 shares of PSO estimated on the basis of the available data.</t>
    </r>
  </si>
  <si>
    <t xml:space="preserve">Please note that for some countries the values refer only to the main infrastructure managers which are members of the UIC. </t>
  </si>
  <si>
    <r>
      <rPr>
        <b/>
        <sz val="8"/>
        <rFont val="Arial"/>
        <family val="2"/>
      </rPr>
      <t>EE,  FR:</t>
    </r>
    <r>
      <rPr>
        <sz val="8"/>
        <rFont val="Arial"/>
        <family val="2"/>
      </rPr>
      <t xml:space="preserve"> include special purpose vehicles.</t>
    </r>
  </si>
  <si>
    <r>
      <t>Source:</t>
    </r>
    <r>
      <rPr>
        <sz val="8"/>
        <rFont val="Arial"/>
        <family val="2"/>
      </rPr>
      <t xml:space="preserve"> national statistics, Association des Constructeurs Européens de Motocycles (ACEM) for </t>
    </r>
    <r>
      <rPr>
        <b/>
        <sz val="8"/>
        <rFont val="Arial"/>
        <family val="2"/>
      </rPr>
      <t>FR</t>
    </r>
    <r>
      <rPr>
        <sz val="8"/>
        <rFont val="Arial"/>
        <family val="2"/>
      </rPr>
      <t>.</t>
    </r>
  </si>
  <si>
    <t>GB figure from table RAI0104 (TSGB0604) of TSGB 2014. UK figure is GB figure plus NI figure from NITS 2013-14 Table 6.5</t>
  </si>
  <si>
    <t>GB/ UK figs table TSGB0903 DfT's veh tables http://tinyurl.com/zhrtb5x</t>
  </si>
  <si>
    <t>http://tinyurl.com/zhrtb5x</t>
  </si>
  <si>
    <t>GB/ UK figs table VEH0152 DfT's veh tables http://tinyurl.com/zhrtb5x</t>
  </si>
  <si>
    <t>Km/person</t>
  </si>
  <si>
    <t>(million)</t>
  </si>
  <si>
    <t>on 1/1/2016</t>
  </si>
  <si>
    <t>Data on GDP based on ESA2010 methodology.</t>
  </si>
  <si>
    <t>change 14/15</t>
  </si>
  <si>
    <t>SE(1)</t>
  </si>
  <si>
    <t>TR(2)</t>
  </si>
  <si>
    <t>IS(2)</t>
  </si>
  <si>
    <t>CH(3)</t>
  </si>
  <si>
    <t xml:space="preserve">Oil Pipelines </t>
  </si>
  <si>
    <t xml:space="preserve">If powered two-wheelers are included, they account for 2.10% of the total in EU-28 (2.10% in EU-15, 2.11% in EU-13), while the share of the other modes becomes: </t>
  </si>
  <si>
    <t>Data is not harmonised and therefore not fully comparable. 2015 data may be provisional. Data sometimes includes activity of foreign vehicles performed within the country, therefore  EU aggregates might be affected by double-counting. Generally vans are not considered in this table, but there may be exceptions.</t>
  </si>
  <si>
    <t xml:space="preserve">Data is not harmonised and therefore not fully comparable. 2015 data may be provisional. Data sometimes includes activity of foreign vehicles performed within the country, therefore  EU aggregates might be affected by double-counting. </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</si>
  <si>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</si>
  <si>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</si>
  <si>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t>Data are not harmonised and therefore not fully comparable across countries. Data for 2015 are mostly provisional.</t>
  </si>
  <si>
    <r>
      <t xml:space="preserve">NL: </t>
    </r>
    <r>
      <rPr>
        <sz val="8"/>
        <rFont val="Arial"/>
        <family val="2"/>
      </rPr>
      <t>the time series from 2010 estimates the share of tram &amp; metro over the aggregate "bus/tram/metro" published in the OViN Travel Survey. Previous years' estimates have been retrofitted until 2010.</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</si>
  <si>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2014) national statistics, estimates (</t>
    </r>
    <r>
      <rPr>
        <i/>
        <sz val="8"/>
        <rFont val="Arial"/>
        <family val="2"/>
      </rPr>
      <t>in italics</t>
    </r>
    <r>
      <rPr>
        <sz val="8"/>
        <rFont val="Arial"/>
        <family val="2"/>
      </rPr>
      <t>). Shares under PSO from Rail Market Monitoring (DG MOVE) and DG MOVE estimates, based on different volumes than Eurostat.</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</si>
  <si>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</si>
  <si>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t>Population 2015</t>
  </si>
  <si>
    <r>
      <t xml:space="preserve">km at the end of </t>
    </r>
    <r>
      <rPr>
        <b/>
        <sz val="10"/>
        <rFont val="Arial"/>
        <family val="2"/>
      </rPr>
      <t>2015</t>
    </r>
  </si>
  <si>
    <r>
      <t>BE</t>
    </r>
    <r>
      <rPr>
        <sz val="8"/>
        <rFont val="Arial"/>
        <family val="2"/>
      </rPr>
      <t xml:space="preserve"> end of 2009 </t>
    </r>
    <r>
      <rPr>
        <b/>
        <sz val="8"/>
        <rFont val="Arial"/>
        <family val="2"/>
      </rPr>
      <t xml:space="preserve">EL </t>
    </r>
    <r>
      <rPr>
        <sz val="8"/>
        <rFont val="Arial"/>
        <family val="2"/>
      </rPr>
      <t xml:space="preserve">end of 2010 </t>
    </r>
    <r>
      <rPr>
        <b/>
        <sz val="8"/>
        <rFont val="Arial"/>
        <family val="2"/>
      </rPr>
      <t>IT, LV</t>
    </r>
    <r>
      <rPr>
        <sz val="8"/>
        <rFont val="Arial"/>
        <family val="2"/>
      </rPr>
      <t xml:space="preserve"> end of 2014 </t>
    </r>
    <r>
      <rPr>
        <b/>
        <sz val="8"/>
        <rFont val="Arial"/>
        <family val="2"/>
      </rPr>
      <t>LU</t>
    </r>
    <r>
      <rPr>
        <sz val="8"/>
        <rFont val="Arial"/>
        <family val="2"/>
      </rPr>
      <t xml:space="preserve"> 23rd of September 2015 </t>
    </r>
    <r>
      <rPr>
        <b/>
        <sz val="8"/>
        <rFont val="Arial"/>
        <family val="2"/>
      </rPr>
      <t>UK</t>
    </r>
    <r>
      <rPr>
        <sz val="8"/>
        <rFont val="Arial"/>
        <family val="2"/>
      </rPr>
      <t xml:space="preserve"> 1st of April 2015 </t>
    </r>
    <r>
      <rPr>
        <b/>
        <sz val="8"/>
        <rFont val="Arial"/>
        <family val="2"/>
      </rPr>
      <t>IS</t>
    </r>
    <r>
      <rPr>
        <sz val="8"/>
        <rFont val="Arial"/>
        <family val="2"/>
      </rPr>
      <t xml:space="preserve"> end of 2011 </t>
    </r>
  </si>
  <si>
    <r>
      <t>Source</t>
    </r>
    <r>
      <rPr>
        <sz val="8"/>
        <rFont val="Arial"/>
        <family val="2"/>
      </rPr>
      <t>: Union Internationale des Chemins de Fer, IRG-Rail annual reports (</t>
    </r>
    <r>
      <rPr>
        <b/>
        <sz val="8"/>
        <rFont val="Arial"/>
        <family val="2"/>
      </rPr>
      <t>BE, DE, FR, UK, NO</t>
    </r>
    <r>
      <rPr>
        <sz val="8"/>
        <rFont val="Arial"/>
        <family val="2"/>
      </rPr>
      <t>), national statistics, Eurostat, estimates (in italics).</t>
    </r>
  </si>
  <si>
    <r>
      <t xml:space="preserve">DE: </t>
    </r>
    <r>
      <rPr>
        <sz val="8"/>
        <rFont val="Arial"/>
        <family val="2"/>
      </rPr>
      <t xml:space="preserve">includes </t>
    </r>
    <r>
      <rPr>
        <b/>
        <sz val="8"/>
        <rFont val="Arial"/>
        <family val="2"/>
      </rPr>
      <t>DE-E</t>
    </r>
    <r>
      <rPr>
        <sz val="8"/>
        <rFont val="Arial"/>
        <family val="2"/>
      </rPr>
      <t xml:space="preserve">: 1970=14 250,  1980=14 248,  1990=14 031 </t>
    </r>
  </si>
  <si>
    <r>
      <t xml:space="preserve">CS: </t>
    </r>
    <r>
      <rPr>
        <sz val="8"/>
        <rFont val="Arial"/>
        <family val="2"/>
      </rPr>
      <t>1970: 133 08, 1980: 13 131, 1990: 13 111   (these are included in EU-28 and EU-13 totals)</t>
    </r>
  </si>
  <si>
    <t>change
15/16 (%)</t>
  </si>
  <si>
    <r>
      <t>RO</t>
    </r>
    <r>
      <rPr>
        <b/>
        <sz val="8"/>
        <rFont val="Calibri"/>
        <family val="2"/>
      </rPr>
      <t>¹</t>
    </r>
  </si>
  <si>
    <r>
      <t xml:space="preserve">Notes: </t>
    </r>
    <r>
      <rPr>
        <sz val="8"/>
        <rFont val="Arial"/>
        <family val="2"/>
      </rPr>
      <t>2016 figures are provisional. 1. Data for Romania refers to sales (APIA). For registrations, see ACAROM figures at www.acea.be</t>
    </r>
  </si>
  <si>
    <t>change 01/15</t>
  </si>
  <si>
    <r>
      <t>Notes</t>
    </r>
    <r>
      <rPr>
        <sz val="8"/>
        <rFont val="Arial"/>
        <family val="2"/>
      </rPr>
      <t xml:space="preserve">: Persons killed are all persons deceased within 30 days of the accident. Corrective factors have been applied to the figures which did not follow this definition. As of 2015 </t>
    </r>
    <r>
      <rPr>
        <b/>
        <sz val="8"/>
        <rFont val="Arial"/>
        <family val="2"/>
      </rPr>
      <t>TR</t>
    </r>
    <r>
      <rPr>
        <sz val="8"/>
        <rFont val="Arial"/>
        <family val="2"/>
      </rPr>
      <t xml:space="preserve"> includes people deceased within 30 days after the accident (break in series).</t>
    </r>
  </si>
  <si>
    <t>Calcs</t>
  </si>
  <si>
    <t>Sorted</t>
  </si>
  <si>
    <r>
      <t xml:space="preserve">from </t>
    </r>
    <r>
      <rPr>
        <i/>
        <sz val="12"/>
        <rFont val="Arial"/>
        <family val="2"/>
      </rPr>
      <t xml:space="preserve">EU Energy and Transport in Figures    (2017 edition) </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</si>
</sst>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
    <numFmt numFmtId="168" formatCode="0.00000"/>
    <numFmt numFmtId="169" formatCode="_-* #,##0.0_-;\-* #,##0.0_-;_-* &quot;-&quot;??_-;_-@_-"/>
    <numFmt numFmtId="170" formatCode="_-* #,##0_-;\-* #,##0_-;_-* &quot;-&quot;??_-;_-@_-"/>
    <numFmt numFmtId="171" formatCode="#,##0\ "/>
    <numFmt numFmtId="172" formatCode="##0\ "/>
    <numFmt numFmtId="173" formatCode="_-* #,##0.0_-;\-* #,##0.0_-;_-* &quot;-&quot;_-;_-@_-"/>
    <numFmt numFmtId="174" formatCode="[&gt;0.5]#,##0;[&lt;-0.5]\-#,##0;\-"/>
    <numFmt numFmtId="175" formatCode="_-* #,##0.0_-;\-* #,##0.0_-;_-* &quot;-&quot;?_-;_-@_-"/>
    <numFmt numFmtId="176" formatCode="0.0%"/>
    <numFmt numFmtId="177" formatCode="#\ ##0"/>
    <numFmt numFmtId="178" formatCode="0.0\ "/>
    <numFmt numFmtId="179" formatCode="#,##0.0_ ;\-#,##0.0\ "/>
    <numFmt numFmtId="180" formatCode="##0\ \ "/>
    <numFmt numFmtId="181" formatCode="_-* #,##0.00\ _F_t_-;\-* #,##0.00\ _F_t_-;_-* &quot;-&quot;??\ _F_t_-;_-@_-"/>
    <numFmt numFmtId="182" formatCode="#\ ##0.0"/>
    <numFmt numFmtId="183" formatCode="#\ ##0.0"/>
    <numFmt numFmtId="184" formatCode="dd\.mm\.yy"/>
    <numFmt numFmtId="185" formatCode="_-* #,##0.00_L_e_k_-;\-* #,##0.00_L_e_k_-;_-* &quot;-&quot;??_L_e_k_-;_-@_-"/>
    <numFmt numFmtId="186" formatCode="#\ ##0.0"/>
    <numFmt numFmtId="187" formatCode="#\ ##0\ "/>
    <numFmt numFmtId="188" formatCode="########\ ##0.0"/>
    <numFmt numFmtId="189" formatCode="###\ ##0.0"/>
    <numFmt numFmtId="190" formatCode="##############\ ##0.0"/>
    <numFmt numFmtId="191" formatCode="#,##0.0_)"/>
    <numFmt numFmtId="192" formatCode="0.0_)"/>
    <numFmt numFmtId="193" formatCode="###0.00_)"/>
    <numFmt numFmtId="194" formatCode="#,##0_)"/>
    <numFmt numFmtId="195" formatCode="#,##0.000_);[Red]\(#,##0.000\);\-_)"/>
    <numFmt numFmtId="196" formatCode="#,##0.0%;[Red]\(#,##0.0%\);\-"/>
    <numFmt numFmtId="197" formatCode="_(* #,##0.00_);_(* \(#,##0.00\);_(* &quot;-&quot;??_);_(@_)"/>
    <numFmt numFmtId="198" formatCode="_(&quot;$&quot;* #,##0.00_);_(&quot;$&quot;* \(#,##0.00\);_(&quot;$&quot;* &quot;-&quot;??_);_(@_)"/>
    <numFmt numFmtId="199" formatCode="_-* #,##0.00\ &quot;zł&quot;_-;\-* #,##0.00\ &quot;zł&quot;_-;_-* &quot;-&quot;??\ &quot;zł&quot;_-;_-@_-"/>
    <numFmt numFmtId="200" formatCode="_-* #,##0.00\ [$€]_-;\-* #,##0.00\ [$€]_-;_-* &quot;-&quot;??\ [$€]_-;_-@_-"/>
    <numFmt numFmtId="201" formatCode="_-* #,##0.00,&quot;DM&quot;_-;\-* #,##0.00,&quot;DM&quot;_-;_-* \-??&quot; DM&quot;_-;_-@_-"/>
    <numFmt numFmtId="202" formatCode="#,###,##0"/>
    <numFmt numFmtId="203" formatCode="\(##\);\(##\)"/>
    <numFmt numFmtId="204" formatCode="_-* #,##0.00\ _k_r_-;\-* #,##0.00\ _k_r_-;_-* &quot;-&quot;??\ _k_r_-;_-@_-"/>
    <numFmt numFmtId="205" formatCode="####\ ##0.0"/>
    <numFmt numFmtId="206" formatCode="#######\ ##0.0"/>
    <numFmt numFmtId="207" formatCode="&quot;Yes&quot;;&quot;Yes&quot;;&quot;No&quot;"/>
    <numFmt numFmtId="208" formatCode="&quot;True&quot;;&quot;True&quot;;&quot;False&quot;"/>
    <numFmt numFmtId="209" formatCode="&quot;On&quot;;&quot;On&quot;;&quot;Off&quot;"/>
    <numFmt numFmtId="210" formatCode="[$€-2]\ #,##0.00_);[Red]\([$€-2]\ #,##0.00\)"/>
    <numFmt numFmtId="211" formatCode="#,##0.0000"/>
  </numFmts>
  <fonts count="158">
    <font>
      <sz val="10"/>
      <name val="Arial"/>
      <family val="0"/>
    </font>
    <font>
      <sz val="8"/>
      <name val="Arial"/>
      <family val="2"/>
    </font>
    <font>
      <sz val="14"/>
      <name val="Arial"/>
      <family val="2"/>
    </font>
    <font>
      <b/>
      <sz val="10"/>
      <color indexed="8"/>
      <name val="Arial"/>
      <family val="2"/>
    </font>
    <font>
      <u val="single"/>
      <sz val="7.5"/>
      <color indexed="12"/>
      <name val="Arial"/>
      <family val="2"/>
    </font>
    <font>
      <u val="single"/>
      <sz val="7.5"/>
      <color indexed="36"/>
      <name val="Arial"/>
      <family val="2"/>
    </font>
    <font>
      <i/>
      <sz val="10"/>
      <name val="Arial"/>
      <family val="2"/>
    </font>
    <font>
      <b/>
      <sz val="10"/>
      <color indexed="18"/>
      <name val="Arial"/>
      <family val="2"/>
    </font>
    <font>
      <b/>
      <sz val="12"/>
      <name val="Arial"/>
      <family val="2"/>
    </font>
    <font>
      <sz val="12"/>
      <name val="Arial"/>
      <family val="2"/>
    </font>
    <font>
      <i/>
      <sz val="12"/>
      <name val="Arial"/>
      <family val="2"/>
    </font>
    <font>
      <b/>
      <vertAlign val="superscript"/>
      <sz val="12"/>
      <name val="Arial"/>
      <family val="2"/>
    </font>
    <font>
      <sz val="11"/>
      <name val="Arial"/>
      <family val="2"/>
    </font>
    <font>
      <b/>
      <sz val="14"/>
      <name val="Arial"/>
      <family val="2"/>
    </font>
    <font>
      <b/>
      <sz val="10"/>
      <name val="Arial"/>
      <family val="2"/>
    </font>
    <font>
      <b/>
      <sz val="8"/>
      <name val="Arial"/>
      <family val="2"/>
    </font>
    <font>
      <b/>
      <sz val="7"/>
      <name val="Arial"/>
      <family val="2"/>
    </font>
    <font>
      <i/>
      <sz val="8"/>
      <name val="Arial"/>
      <family val="2"/>
    </font>
    <font>
      <b/>
      <i/>
      <sz val="8"/>
      <name val="Arial"/>
      <family val="2"/>
    </font>
    <font>
      <b/>
      <sz val="9"/>
      <name val="Arial"/>
      <family val="2"/>
    </font>
    <font>
      <b/>
      <sz val="8"/>
      <color indexed="10"/>
      <name val="Arial"/>
      <family val="2"/>
    </font>
    <font>
      <sz val="8"/>
      <color indexed="10"/>
      <name val="Arial"/>
      <family val="2"/>
    </font>
    <font>
      <sz val="10"/>
      <name val="MS Sans Serif"/>
      <family val="2"/>
    </font>
    <font>
      <sz val="10"/>
      <name val="Times New Roman CE"/>
      <family val="0"/>
    </font>
    <font>
      <b/>
      <vertAlign val="superscript"/>
      <sz val="7"/>
      <name val="Arial"/>
      <family val="2"/>
    </font>
    <font>
      <b/>
      <vertAlign val="subscript"/>
      <sz val="8"/>
      <name val="Arial"/>
      <family val="2"/>
    </font>
    <font>
      <b/>
      <sz val="8"/>
      <color indexed="9"/>
      <name val="Arial"/>
      <family val="2"/>
    </font>
    <font>
      <vertAlign val="superscript"/>
      <sz val="12"/>
      <name val="Arial"/>
      <family val="2"/>
    </font>
    <font>
      <u val="single"/>
      <sz val="14"/>
      <color indexed="12"/>
      <name val="Arial"/>
      <family val="2"/>
    </font>
    <font>
      <sz val="11.5"/>
      <name val="Arial"/>
      <family val="2"/>
    </font>
    <font>
      <sz val="10"/>
      <color indexed="8"/>
      <name val="Arial"/>
      <family val="2"/>
    </font>
    <font>
      <b/>
      <sz val="12"/>
      <color indexed="8"/>
      <name val="Arial"/>
      <family val="2"/>
    </font>
    <font>
      <sz val="7"/>
      <name val="Arial"/>
      <family val="2"/>
    </font>
    <font>
      <i/>
      <sz val="7"/>
      <name val="Arial"/>
      <family val="2"/>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sz val="8"/>
      <name val="Helv"/>
      <family val="0"/>
    </font>
    <font>
      <b/>
      <sz val="14"/>
      <name val="Helv"/>
      <family val="0"/>
    </font>
    <font>
      <sz val="11"/>
      <color indexed="9"/>
      <name val="Calibri"/>
      <family val="2"/>
    </font>
    <font>
      <b/>
      <sz val="12"/>
      <name val="Calibri"/>
      <family val="2"/>
    </font>
    <font>
      <sz val="11"/>
      <color indexed="20"/>
      <name val="Calibri"/>
      <family val="2"/>
    </font>
    <font>
      <sz val="10"/>
      <name val="Calibri"/>
      <family val="2"/>
    </font>
    <font>
      <b/>
      <sz val="11"/>
      <color indexed="52"/>
      <name val="Calibri"/>
      <family val="2"/>
    </font>
    <font>
      <b/>
      <sz val="11"/>
      <color indexed="9"/>
      <name val="Calibri"/>
      <family val="2"/>
    </font>
    <font>
      <sz val="10"/>
      <name val="Times New Roman"/>
      <family val="1"/>
    </font>
    <font>
      <i/>
      <sz val="11"/>
      <color indexed="23"/>
      <name val="Calibri"/>
      <family val="2"/>
    </font>
    <font>
      <sz val="12"/>
      <color indexed="24"/>
      <name val="Arial"/>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u val="single"/>
      <sz val="10"/>
      <color indexed="12"/>
      <name val="Times New Roman"/>
      <family val="1"/>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8"/>
      <name val="P-AVGARD"/>
      <family val="0"/>
    </font>
    <font>
      <b/>
      <sz val="11"/>
      <color indexed="63"/>
      <name val="Calibri"/>
      <family val="2"/>
    </font>
    <font>
      <i/>
      <sz val="12"/>
      <name val="Times New Roman"/>
      <family val="1"/>
    </font>
    <font>
      <sz val="10"/>
      <color indexed="24"/>
      <name val="Arial"/>
      <family val="2"/>
    </font>
    <font>
      <sz val="9"/>
      <name val="Verdana"/>
      <family val="2"/>
    </font>
    <font>
      <i/>
      <sz val="9"/>
      <color indexed="60"/>
      <name val="Verdana"/>
      <family val="2"/>
    </font>
    <font>
      <b/>
      <sz val="9"/>
      <name val="Verdana"/>
      <family val="2"/>
    </font>
    <font>
      <b/>
      <sz val="18"/>
      <color indexed="56"/>
      <name val="Cambria"/>
      <family val="2"/>
    </font>
    <font>
      <b/>
      <sz val="11"/>
      <color indexed="8"/>
      <name val="Calibri"/>
      <family val="2"/>
    </font>
    <font>
      <sz val="11"/>
      <color indexed="10"/>
      <name val="Calibri"/>
      <family val="2"/>
    </font>
    <font>
      <sz val="16"/>
      <name val="Times New Roman"/>
      <family val="1"/>
    </font>
    <font>
      <sz val="10"/>
      <color indexed="56"/>
      <name val="Arial"/>
      <family val="2"/>
    </font>
    <font>
      <b/>
      <sz val="10"/>
      <color indexed="56"/>
      <name val="Arial"/>
      <family val="2"/>
    </font>
    <font>
      <i/>
      <sz val="8"/>
      <color indexed="57"/>
      <name val="Arial"/>
      <family val="2"/>
    </font>
    <font>
      <b/>
      <sz val="6"/>
      <color indexed="18"/>
      <name val="Arial"/>
      <family val="2"/>
    </font>
    <font>
      <b/>
      <sz val="12"/>
      <name val="Times New Roman"/>
      <family val="1"/>
    </font>
    <font>
      <b/>
      <sz val="8"/>
      <color indexed="8"/>
      <name val="Arial"/>
      <family val="2"/>
    </font>
    <font>
      <i/>
      <sz val="9"/>
      <color indexed="8"/>
      <name val="Arial"/>
      <family val="2"/>
    </font>
    <font>
      <b/>
      <vertAlign val="superscript"/>
      <sz val="12"/>
      <color indexed="54"/>
      <name val="Arial"/>
      <family val="2"/>
    </font>
    <font>
      <b/>
      <i/>
      <u val="single"/>
      <sz val="10"/>
      <name val="Arial"/>
      <family val="2"/>
    </font>
    <font>
      <b/>
      <sz val="10"/>
      <color indexed="37"/>
      <name val="Arial"/>
      <family val="2"/>
    </font>
    <font>
      <b/>
      <i/>
      <sz val="12"/>
      <color indexed="10"/>
      <name val="Arial"/>
      <family val="2"/>
    </font>
    <font>
      <b/>
      <u val="single"/>
      <sz val="10"/>
      <color indexed="9"/>
      <name val="Arial"/>
      <family val="2"/>
    </font>
    <font>
      <b/>
      <i/>
      <sz val="10"/>
      <color indexed="18"/>
      <name val="Arial"/>
      <family val="2"/>
    </font>
    <font>
      <b/>
      <i/>
      <sz val="10"/>
      <color indexed="8"/>
      <name val="Arial"/>
      <family val="2"/>
    </font>
    <font>
      <b/>
      <sz val="8"/>
      <name val="Calibri"/>
      <family val="2"/>
    </font>
    <font>
      <sz val="11"/>
      <color indexed="8"/>
      <name val="Calibri"/>
      <family val="2"/>
    </font>
    <font>
      <sz val="10"/>
      <color indexed="9"/>
      <name val="Arial"/>
      <family val="2"/>
    </font>
    <font>
      <b/>
      <sz val="13"/>
      <color indexed="9"/>
      <name val="Calibri"/>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6"/>
      <color indexed="8"/>
      <name val="Helvetica"/>
      <family val="2"/>
    </font>
    <font>
      <u val="single"/>
      <sz val="8"/>
      <color indexed="12"/>
      <name val="Times New Roman"/>
      <family val="1"/>
    </font>
    <font>
      <u val="single"/>
      <sz val="7"/>
      <color indexed="12"/>
      <name val="Arial"/>
      <family val="2"/>
    </font>
    <font>
      <u val="single"/>
      <sz val="11"/>
      <color indexed="30"/>
      <name val="Calibri"/>
      <family val="2"/>
    </font>
    <font>
      <sz val="10"/>
      <color indexed="62"/>
      <name val="Arial"/>
      <family val="2"/>
    </font>
    <font>
      <sz val="10"/>
      <color indexed="52"/>
      <name val="Arial"/>
      <family val="2"/>
    </font>
    <font>
      <sz val="10"/>
      <color indexed="60"/>
      <name val="Arial"/>
      <family val="2"/>
    </font>
    <font>
      <sz val="11"/>
      <color indexed="8"/>
      <name val="Czcionka tekstu podstawowego"/>
      <family val="2"/>
    </font>
    <font>
      <sz val="8"/>
      <color indexed="8"/>
      <name val="Arial"/>
      <family val="2"/>
    </font>
    <font>
      <b/>
      <sz val="10"/>
      <color indexed="63"/>
      <name val="Arial"/>
      <family val="2"/>
    </font>
    <font>
      <sz val="10"/>
      <color indexed="8"/>
      <name val="Times New Roman"/>
      <family val="1"/>
    </font>
    <font>
      <i/>
      <sz val="12"/>
      <color indexed="8"/>
      <name val="Times New Roman"/>
      <family val="1"/>
    </font>
    <font>
      <b/>
      <sz val="18"/>
      <color indexed="62"/>
      <name val="Cambria"/>
      <family val="2"/>
    </font>
    <font>
      <sz val="10"/>
      <color indexed="10"/>
      <name val="Arial"/>
      <family val="2"/>
    </font>
    <font>
      <sz val="12"/>
      <color indexed="10"/>
      <name val="Arial"/>
      <family val="2"/>
    </font>
    <font>
      <sz val="12"/>
      <color indexed="8"/>
      <name val="Arial"/>
      <family val="2"/>
    </font>
    <font>
      <sz val="10"/>
      <color indexed="12"/>
      <name val="Arial"/>
      <family val="2"/>
    </font>
    <font>
      <b/>
      <sz val="8"/>
      <color indexed="12"/>
      <name val="Arial"/>
      <family val="2"/>
    </font>
    <font>
      <sz val="8"/>
      <color indexed="12"/>
      <name val="Arial"/>
      <family val="2"/>
    </font>
    <font>
      <sz val="11"/>
      <color indexed="8"/>
      <name val="Arial"/>
      <family val="2"/>
    </font>
    <font>
      <sz val="10"/>
      <color theme="1"/>
      <name val="Arial"/>
      <family val="2"/>
    </font>
    <font>
      <sz val="11"/>
      <color theme="1"/>
      <name val="Calibri"/>
      <family val="2"/>
    </font>
    <font>
      <sz val="10"/>
      <color theme="0"/>
      <name val="Arial"/>
      <family val="2"/>
    </font>
    <font>
      <b/>
      <sz val="13"/>
      <color theme="0"/>
      <name val="Calibri"/>
      <family val="2"/>
    </font>
    <font>
      <sz val="10"/>
      <color rgb="FF9C0006"/>
      <name val="Arial"/>
      <family val="2"/>
    </font>
    <font>
      <b/>
      <sz val="10"/>
      <color rgb="FFFA7D00"/>
      <name val="Arial"/>
      <family val="2"/>
    </font>
    <font>
      <b/>
      <sz val="10"/>
      <color theme="0"/>
      <name val="Arial"/>
      <family val="2"/>
    </font>
    <font>
      <sz val="11"/>
      <color rgb="FF000000"/>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sz val="10"/>
      <color rgb="FF3F3F76"/>
      <name val="Arial"/>
      <family val="2"/>
    </font>
    <font>
      <sz val="10"/>
      <color rgb="FF000000"/>
      <name val="Arial"/>
      <family val="2"/>
    </font>
    <font>
      <sz val="10"/>
      <color rgb="FFFA7D00"/>
      <name val="Arial"/>
      <family val="2"/>
    </font>
    <font>
      <sz val="10"/>
      <color rgb="FF9C6500"/>
      <name val="Arial"/>
      <family val="2"/>
    </font>
    <font>
      <sz val="11"/>
      <color theme="1"/>
      <name val="Czcionka tekstu podstawowego"/>
      <family val="2"/>
    </font>
    <font>
      <sz val="8"/>
      <color rgb="FF000000"/>
      <name val="Arial"/>
      <family val="2"/>
    </font>
    <font>
      <b/>
      <sz val="10"/>
      <color rgb="FF3F3F3F"/>
      <name val="Arial"/>
      <family val="2"/>
    </font>
    <font>
      <sz val="10"/>
      <color rgb="FF000000"/>
      <name val="Times New Roman"/>
      <family val="1"/>
    </font>
    <font>
      <i/>
      <sz val="12"/>
      <color rgb="FF000000"/>
      <name val="Times New Roman"/>
      <family val="1"/>
    </font>
    <font>
      <b/>
      <sz val="18"/>
      <color theme="3"/>
      <name val="Cambria"/>
      <family val="2"/>
    </font>
    <font>
      <b/>
      <sz val="10"/>
      <color theme="1"/>
      <name val="Arial"/>
      <family val="2"/>
    </font>
    <font>
      <sz val="10"/>
      <color rgb="FFFF0000"/>
      <name val="Arial"/>
      <family val="2"/>
    </font>
    <font>
      <sz val="12"/>
      <color rgb="FFFF0000"/>
      <name val="Arial"/>
      <family val="2"/>
    </font>
    <font>
      <sz val="12"/>
      <color theme="1"/>
      <name val="Arial"/>
      <family val="2"/>
    </font>
    <font>
      <b/>
      <sz val="12"/>
      <color theme="1"/>
      <name val="Arial"/>
      <family val="2"/>
    </font>
    <font>
      <sz val="10"/>
      <color rgb="FF0000FF"/>
      <name val="Arial"/>
      <family val="2"/>
    </font>
    <font>
      <b/>
      <sz val="8"/>
      <color rgb="FF0000FF"/>
      <name val="Arial"/>
      <family val="2"/>
    </font>
    <font>
      <sz val="8"/>
      <color rgb="FF0000FF"/>
      <name val="Arial"/>
      <family val="2"/>
    </font>
    <font>
      <sz val="8"/>
      <color rgb="FFFF0000"/>
      <name val="Arial"/>
      <family val="2"/>
    </font>
    <font>
      <sz val="11"/>
      <color theme="1"/>
      <name val="Arial"/>
      <family val="2"/>
    </font>
  </fonts>
  <fills count="8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9"/>
        <bgColor indexed="64"/>
      </patternFill>
    </fill>
    <fill>
      <patternFill patternType="solid">
        <fgColor theme="6" tint="0.39998000860214233"/>
        <bgColor indexed="64"/>
      </patternFill>
    </fill>
    <fill>
      <patternFill patternType="solid">
        <fgColor indexed="11"/>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22"/>
        <bgColor indexed="64"/>
      </patternFill>
    </fill>
    <fill>
      <patternFill patternType="solid">
        <fgColor indexed="43"/>
        <bgColor indexed="64"/>
      </patternFill>
    </fill>
    <fill>
      <patternFill patternType="solid">
        <fgColor rgb="FFA5A5A5"/>
        <bgColor indexed="64"/>
      </patternFill>
    </fill>
    <fill>
      <patternFill patternType="solid">
        <fgColor indexed="55"/>
        <bgColor indexed="64"/>
      </patternFill>
    </fill>
    <fill>
      <patternFill patternType="solid">
        <fgColor indexed="27"/>
        <bgColor indexed="64"/>
      </patternFill>
    </fill>
    <fill>
      <patternFill patternType="solid">
        <fgColor indexed="44"/>
        <bgColor indexed="64"/>
      </patternFill>
    </fill>
    <fill>
      <patternFill patternType="lightGray">
        <fgColor indexed="9"/>
      </patternFill>
    </fill>
    <fill>
      <patternFill patternType="solid">
        <fgColor indexed="20"/>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gray0625">
        <fgColor indexed="9"/>
      </patternFill>
    </fill>
    <fill>
      <patternFill patternType="solid">
        <fgColor rgb="FFFFCC99"/>
        <bgColor indexed="64"/>
      </patternFill>
    </fill>
    <fill>
      <patternFill patternType="gray0625">
        <fgColor indexed="9"/>
        <bgColor indexed="9"/>
      </patternFill>
    </fill>
    <fill>
      <patternFill patternType="solid">
        <fgColor rgb="FFFFFFFF"/>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13"/>
      </patternFill>
    </fill>
    <fill>
      <patternFill patternType="solid">
        <fgColor indexed="9"/>
        <bgColor indexed="64"/>
      </patternFill>
    </fill>
    <fill>
      <patternFill patternType="gray125">
        <fgColor indexed="9"/>
        <bgColor indexed="9"/>
      </patternFill>
    </fill>
    <fill>
      <patternFill patternType="lightGray">
        <fgColor indexed="9"/>
        <bgColor indexed="9"/>
      </patternFill>
    </fill>
    <fill>
      <patternFill patternType="lightGray">
        <fgColor indexed="22"/>
      </patternFill>
    </fill>
    <fill>
      <patternFill patternType="solid">
        <fgColor indexed="41"/>
        <bgColor indexed="64"/>
      </patternFill>
    </fill>
    <fill>
      <patternFill patternType="solid">
        <fgColor indexed="15"/>
        <bgColor indexed="64"/>
      </patternFill>
    </fill>
    <fill>
      <patternFill patternType="solid">
        <fgColor rgb="FFCCFFCC"/>
        <bgColor indexed="64"/>
      </patternFill>
    </fill>
    <fill>
      <patternFill patternType="solid">
        <fgColor theme="0"/>
        <bgColor indexed="64"/>
      </patternFill>
    </fill>
    <fill>
      <patternFill patternType="solid">
        <fgColor indexed="46"/>
        <bgColor indexed="64"/>
      </patternFill>
    </fill>
    <fill>
      <patternFill patternType="solid">
        <fgColor indexed="9"/>
        <bgColor indexed="64"/>
      </patternFill>
    </fill>
    <fill>
      <patternFill patternType="solid">
        <fgColor rgb="FF00B0F0"/>
        <bgColor indexed="64"/>
      </patternFill>
    </fill>
    <fill>
      <patternFill patternType="solid">
        <fgColor indexed="13"/>
        <bgColor indexed="64"/>
      </patternFill>
    </fill>
    <fill>
      <patternFill patternType="solid">
        <fgColor rgb="FFFFFF00"/>
        <bgColor indexed="64"/>
      </patternFill>
    </fill>
    <fill>
      <patternFill patternType="solid">
        <fgColor rgb="FF0070C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30"/>
      </left>
      <right style="thin">
        <color indexed="30"/>
      </right>
      <top style="thin">
        <color indexed="30"/>
      </top>
      <bottom style="thin">
        <color indexed="30"/>
      </bottom>
    </border>
    <border>
      <left style="thin"/>
      <right style="thin"/>
      <top/>
      <bottom/>
    </border>
    <border>
      <left/>
      <right/>
      <top/>
      <bottom style="thin">
        <color indexed="22"/>
      </bottom>
    </border>
    <border>
      <left style="thin">
        <color indexed="56"/>
      </left>
      <right style="thin">
        <color indexed="56"/>
      </right>
      <top style="thin">
        <color indexed="56"/>
      </top>
      <bottom style="thin">
        <color indexed="56"/>
      </bottom>
    </border>
    <border>
      <left style="thin"/>
      <right style="thin"/>
      <top style="thin"/>
      <bottom style="thin"/>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bottom style="hair"/>
    </border>
    <border>
      <left>
        <color indexed="63"/>
      </left>
      <right>
        <color indexed="63"/>
      </right>
      <top>
        <color indexed="63"/>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bottom style="thin"/>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top style="thin"/>
      <bottom style="thin"/>
    </border>
    <border>
      <left>
        <color indexed="63"/>
      </left>
      <right>
        <color indexed="63"/>
      </right>
      <top style="thin">
        <color theme="4"/>
      </top>
      <bottom style="double">
        <color theme="4"/>
      </bottom>
    </border>
    <border>
      <left/>
      <right/>
      <top style="thin">
        <color indexed="62"/>
      </top>
      <bottom style="double">
        <color indexed="62"/>
      </bottom>
    </border>
    <border>
      <left/>
      <right style="thin"/>
      <top/>
      <bottom/>
    </border>
    <border>
      <left style="thin"/>
      <right/>
      <top style="thin"/>
      <bottom/>
    </border>
    <border>
      <left/>
      <right/>
      <top style="thin"/>
      <bottom/>
    </border>
    <border>
      <left style="thin"/>
      <right style="thin"/>
      <top/>
      <bottom style="thin"/>
    </border>
    <border>
      <left/>
      <right style="thin"/>
      <top/>
      <bottom style="thin"/>
    </border>
    <border>
      <left style="thin"/>
      <right/>
      <top/>
      <bottom style="thin"/>
    </border>
    <border>
      <left style="thin"/>
      <right/>
      <top/>
      <bottom/>
    </border>
    <border>
      <left/>
      <right style="thick"/>
      <top/>
      <bottom/>
    </border>
    <border>
      <left style="thick"/>
      <right/>
      <top/>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right style="thick"/>
      <top/>
      <bottom style="thin"/>
    </border>
    <border>
      <left/>
      <right style="thin"/>
      <top style="thin"/>
      <bottom/>
    </border>
    <border>
      <left style="thick"/>
      <right/>
      <top style="thin"/>
      <bottom/>
    </border>
    <border>
      <left style="thick"/>
      <right style="thin"/>
      <top/>
      <bottom/>
    </border>
    <border>
      <left style="thin"/>
      <right style="thick"/>
      <top/>
      <bottom style="thin"/>
    </border>
    <border>
      <left style="hair"/>
      <right/>
      <top/>
      <bottom style="thin"/>
    </border>
    <border>
      <left/>
      <right style="thin"/>
      <top style="thin"/>
      <bottom style="thin"/>
    </border>
    <border>
      <left style="thick"/>
      <right/>
      <top/>
      <bottom style="thin"/>
    </border>
    <border>
      <left style="thin"/>
      <right style="thin"/>
      <top/>
      <bottom style="medium"/>
    </border>
    <border>
      <left style="thin"/>
      <right style="thin"/>
      <top style="medium"/>
      <bottom/>
    </border>
    <border>
      <left/>
      <right/>
      <top style="thin">
        <color indexed="47"/>
      </top>
      <bottom style="thin">
        <color indexed="47"/>
      </bottom>
    </border>
    <border>
      <left style="thick"/>
      <right style="thin"/>
      <top/>
      <bottom style="thin"/>
    </border>
  </borders>
  <cellStyleXfs count="3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Font="0" applyBorder="0" applyAlignment="0" applyProtection="0"/>
    <xf numFmtId="0" fontId="121" fillId="3" borderId="0" applyNumberFormat="0" applyBorder="0" applyAlignment="0" applyProtection="0"/>
    <xf numFmtId="0" fontId="122" fillId="3" borderId="0" applyNumberFormat="0" applyBorder="0" applyAlignment="0" applyProtection="0"/>
    <xf numFmtId="0" fontId="122" fillId="3" borderId="0" applyNumberFormat="0" applyBorder="0" applyAlignment="0" applyProtection="0"/>
    <xf numFmtId="0" fontId="121" fillId="4" borderId="0" applyNumberFormat="0" applyBorder="0" applyAlignment="0" applyProtection="0"/>
    <xf numFmtId="0" fontId="122" fillId="4" borderId="0" applyNumberFormat="0" applyBorder="0" applyAlignment="0" applyProtection="0"/>
    <xf numFmtId="0" fontId="122" fillId="4" borderId="0" applyNumberFormat="0" applyBorder="0" applyAlignment="0" applyProtection="0"/>
    <xf numFmtId="0" fontId="121" fillId="5" borderId="0" applyNumberFormat="0" applyBorder="0" applyAlignment="0" applyProtection="0"/>
    <xf numFmtId="0" fontId="122" fillId="5" borderId="0" applyNumberFormat="0" applyBorder="0" applyAlignment="0" applyProtection="0"/>
    <xf numFmtId="0" fontId="122" fillId="5" borderId="0" applyNumberFormat="0" applyBorder="0" applyAlignment="0" applyProtection="0"/>
    <xf numFmtId="0" fontId="121" fillId="6" borderId="0" applyNumberFormat="0" applyBorder="0" applyAlignment="0" applyProtection="0"/>
    <xf numFmtId="0" fontId="122" fillId="6" borderId="0" applyNumberFormat="0" applyBorder="0" applyAlignment="0" applyProtection="0"/>
    <xf numFmtId="0" fontId="122" fillId="6" borderId="0" applyNumberFormat="0" applyBorder="0" applyAlignment="0" applyProtection="0"/>
    <xf numFmtId="0" fontId="121" fillId="7" borderId="0" applyNumberFormat="0" applyBorder="0" applyAlignment="0" applyProtection="0"/>
    <xf numFmtId="0" fontId="122" fillId="7" borderId="0" applyNumberFormat="0" applyBorder="0" applyAlignment="0" applyProtection="0"/>
    <xf numFmtId="0" fontId="122" fillId="7" borderId="0" applyNumberFormat="0" applyBorder="0" applyAlignment="0" applyProtection="0"/>
    <xf numFmtId="0" fontId="121" fillId="8" borderId="0" applyNumberFormat="0" applyBorder="0" applyAlignment="0" applyProtection="0"/>
    <xf numFmtId="0" fontId="122" fillId="8" borderId="0" applyNumberFormat="0" applyBorder="0" applyAlignment="0" applyProtection="0"/>
    <xf numFmtId="0" fontId="122" fillId="8" borderId="0" applyNumberFormat="0" applyBorder="0" applyAlignment="0" applyProtection="0"/>
    <xf numFmtId="0" fontId="121" fillId="9" borderId="0" applyNumberFormat="0" applyBorder="0" applyAlignment="0" applyProtection="0"/>
    <xf numFmtId="0" fontId="122" fillId="9" borderId="0" applyNumberFormat="0" applyBorder="0" applyAlignment="0" applyProtection="0"/>
    <xf numFmtId="0" fontId="122" fillId="9" borderId="0" applyNumberFormat="0" applyBorder="0" applyAlignment="0" applyProtection="0"/>
    <xf numFmtId="0" fontId="121"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1"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1" fillId="12" borderId="0" applyNumberFormat="0" applyBorder="0" applyAlignment="0" applyProtection="0"/>
    <xf numFmtId="0" fontId="122" fillId="12" borderId="0" applyNumberFormat="0" applyBorder="0" applyAlignment="0" applyProtection="0"/>
    <xf numFmtId="0" fontId="122" fillId="12" borderId="0" applyNumberFormat="0" applyBorder="0" applyAlignment="0" applyProtection="0"/>
    <xf numFmtId="0" fontId="121" fillId="13" borderId="0" applyNumberFormat="0" applyBorder="0" applyAlignment="0" applyProtection="0"/>
    <xf numFmtId="0" fontId="122" fillId="13" borderId="0" applyNumberFormat="0" applyBorder="0" applyAlignment="0" applyProtection="0"/>
    <xf numFmtId="0" fontId="122" fillId="13" borderId="0" applyNumberFormat="0" applyBorder="0" applyAlignment="0" applyProtection="0"/>
    <xf numFmtId="0" fontId="121"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3" fillId="15" borderId="0" applyNumberFormat="0" applyBorder="0" applyAlignment="0" applyProtection="0"/>
    <xf numFmtId="0" fontId="44" fillId="16" borderId="0" applyNumberFormat="0" applyBorder="0" applyAlignment="0" applyProtection="0"/>
    <xf numFmtId="0" fontId="123" fillId="17" borderId="0" applyNumberFormat="0" applyBorder="0" applyAlignment="0" applyProtection="0"/>
    <xf numFmtId="0" fontId="44" fillId="18" borderId="0" applyNumberFormat="0" applyBorder="0" applyAlignment="0" applyProtection="0"/>
    <xf numFmtId="0" fontId="123" fillId="19" borderId="0" applyNumberFormat="0" applyBorder="0" applyAlignment="0" applyProtection="0"/>
    <xf numFmtId="0" fontId="44" fillId="20" borderId="0" applyNumberFormat="0" applyBorder="0" applyAlignment="0" applyProtection="0"/>
    <xf numFmtId="0" fontId="123" fillId="21" borderId="0" applyNumberFormat="0" applyBorder="0" applyAlignment="0" applyProtection="0"/>
    <xf numFmtId="0" fontId="44" fillId="22" borderId="0" applyNumberFormat="0" applyBorder="0" applyAlignment="0" applyProtection="0"/>
    <xf numFmtId="0" fontId="123" fillId="23" borderId="0" applyNumberFormat="0" applyBorder="0" applyAlignment="0" applyProtection="0"/>
    <xf numFmtId="0" fontId="44" fillId="24" borderId="0" applyNumberFormat="0" applyBorder="0" applyAlignment="0" applyProtection="0"/>
    <xf numFmtId="0" fontId="123" fillId="25" borderId="0" applyNumberFormat="0" applyBorder="0" applyAlignment="0" applyProtection="0"/>
    <xf numFmtId="0" fontId="44" fillId="26" borderId="0" applyNumberFormat="0" applyBorder="0" applyAlignment="0" applyProtection="0"/>
    <xf numFmtId="0" fontId="124" fillId="27" borderId="0" applyProtection="0">
      <alignment vertical="center"/>
    </xf>
    <xf numFmtId="0" fontId="45" fillId="28" borderId="0" applyProtection="0">
      <alignment vertical="center"/>
    </xf>
    <xf numFmtId="0" fontId="123" fillId="29" borderId="0" applyNumberFormat="0" applyBorder="0" applyAlignment="0" applyProtection="0"/>
    <xf numFmtId="0" fontId="44" fillId="30" borderId="0" applyNumberFormat="0" applyBorder="0" applyAlignment="0" applyProtection="0"/>
    <xf numFmtId="0" fontId="123" fillId="31" borderId="0" applyNumberFormat="0" applyBorder="0" applyAlignment="0" applyProtection="0"/>
    <xf numFmtId="0" fontId="44" fillId="32" borderId="0" applyNumberFormat="0" applyBorder="0" applyAlignment="0" applyProtection="0"/>
    <xf numFmtId="0" fontId="123" fillId="33" borderId="0" applyNumberFormat="0" applyBorder="0" applyAlignment="0" applyProtection="0"/>
    <xf numFmtId="0" fontId="44" fillId="34" borderId="0" applyNumberFormat="0" applyBorder="0" applyAlignment="0" applyProtection="0"/>
    <xf numFmtId="0" fontId="123" fillId="35" borderId="0" applyNumberFormat="0" applyBorder="0" applyAlignment="0" applyProtection="0"/>
    <xf numFmtId="0" fontId="44" fillId="22" borderId="0" applyNumberFormat="0" applyBorder="0" applyAlignment="0" applyProtection="0"/>
    <xf numFmtId="0" fontId="123" fillId="36" borderId="0" applyNumberFormat="0" applyBorder="0" applyAlignment="0" applyProtection="0"/>
    <xf numFmtId="0" fontId="44" fillId="24" borderId="0" applyNumberFormat="0" applyBorder="0" applyAlignment="0" applyProtection="0"/>
    <xf numFmtId="0" fontId="123" fillId="37" borderId="0" applyNumberFormat="0" applyBorder="0" applyAlignment="0" applyProtection="0"/>
    <xf numFmtId="0" fontId="44" fillId="38" borderId="0" applyNumberFormat="0" applyBorder="0" applyAlignment="0" applyProtection="0"/>
    <xf numFmtId="191" fontId="32" fillId="0" borderId="0" applyBorder="0" applyProtection="0">
      <alignment/>
    </xf>
    <xf numFmtId="0" fontId="125" fillId="39" borderId="0" applyNumberFormat="0" applyBorder="0" applyAlignment="0" applyProtection="0"/>
    <xf numFmtId="0" fontId="46" fillId="40" borderId="0" applyNumberFormat="0" applyBorder="0" applyAlignment="0" applyProtection="0"/>
    <xf numFmtId="195" fontId="47" fillId="0" borderId="0">
      <alignment vertical="center"/>
      <protection/>
    </xf>
    <xf numFmtId="196" fontId="47" fillId="0" borderId="0">
      <alignment horizontal="right" vertical="center"/>
      <protection/>
    </xf>
    <xf numFmtId="0" fontId="126" fillId="41" borderId="1" applyNumberFormat="0" applyAlignment="0" applyProtection="0"/>
    <xf numFmtId="0" fontId="48" fillId="42" borderId="2" applyNumberFormat="0" applyAlignment="0" applyProtection="0"/>
    <xf numFmtId="0" fontId="0" fillId="43" borderId="0">
      <alignment/>
      <protection locked="0"/>
    </xf>
    <xf numFmtId="0" fontId="127" fillId="44" borderId="3" applyNumberFormat="0" applyAlignment="0" applyProtection="0"/>
    <xf numFmtId="0" fontId="49" fillId="45" borderId="4" applyNumberFormat="0" applyAlignment="0" applyProtection="0"/>
    <xf numFmtId="49" fontId="0" fillId="46" borderId="5">
      <alignment vertical="top" wrapText="1"/>
      <protection/>
    </xf>
    <xf numFmtId="0" fontId="0" fillId="47" borderId="6">
      <alignment horizontal="center" vertical="center"/>
      <protection locked="0"/>
    </xf>
    <xf numFmtId="0" fontId="3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81" fontId="23" fillId="0" borderId="0" applyFont="0" applyFill="0" applyBorder="0" applyAlignment="0" applyProtection="0"/>
    <xf numFmtId="197" fontId="122" fillId="0" borderId="0" applyFont="0" applyFill="0" applyBorder="0" applyAlignment="0" applyProtection="0"/>
    <xf numFmtId="185" fontId="122" fillId="0" borderId="0" applyFont="0" applyFill="0" applyBorder="0" applyAlignment="0" applyProtection="0"/>
    <xf numFmtId="197" fontId="0" fillId="0" borderId="0" applyFont="0" applyFill="0" applyBorder="0" applyAlignment="0" applyProtection="0"/>
    <xf numFmtId="197" fontId="122" fillId="0" borderId="0" applyFont="0" applyFill="0" applyBorder="0" applyAlignment="0" applyProtection="0"/>
    <xf numFmtId="197" fontId="122" fillId="0" borderId="0" applyFont="0" applyFill="0" applyBorder="0" applyAlignment="0" applyProtection="0"/>
    <xf numFmtId="197" fontId="122" fillId="0" borderId="0" applyFont="0" applyFill="0" applyBorder="0" applyAlignment="0" applyProtection="0"/>
    <xf numFmtId="197" fontId="122" fillId="0" borderId="0" applyFont="0" applyFill="0" applyBorder="0" applyAlignment="0" applyProtection="0"/>
    <xf numFmtId="49" fontId="0" fillId="0" borderId="0">
      <alignment vertical="top" wrapText="1"/>
      <protection/>
    </xf>
    <xf numFmtId="0" fontId="3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98" fontId="122" fillId="0" borderId="0" applyFont="0" applyFill="0" applyBorder="0" applyAlignment="0" applyProtection="0"/>
    <xf numFmtId="198" fontId="122" fillId="0" borderId="0" applyFont="0" applyFill="0" applyBorder="0" applyAlignment="0" applyProtection="0"/>
    <xf numFmtId="198" fontId="0" fillId="0" borderId="0" applyFont="0" applyFill="0" applyBorder="0" applyAlignment="0" applyProtection="0"/>
    <xf numFmtId="199" fontId="128" fillId="0" borderId="0" applyFont="0" applyFill="0" applyBorder="0" applyAlignment="0" applyProtection="0"/>
    <xf numFmtId="193" fontId="36" fillId="0" borderId="7" applyNumberFormat="0" applyFill="0">
      <alignment horizontal="right"/>
      <protection/>
    </xf>
    <xf numFmtId="193" fontId="36" fillId="0" borderId="7" applyNumberFormat="0" applyFill="0">
      <alignment horizontal="right"/>
      <protection/>
    </xf>
    <xf numFmtId="193" fontId="36" fillId="0" borderId="7" applyNumberFormat="0" applyFill="0">
      <alignment horizontal="right"/>
      <protection/>
    </xf>
    <xf numFmtId="193" fontId="36" fillId="0" borderId="7" applyNumberFormat="0" applyFill="0">
      <alignment horizontal="right"/>
      <protection/>
    </xf>
    <xf numFmtId="194" fontId="37" fillId="0" borderId="7">
      <alignment horizontal="right" vertical="center"/>
      <protection/>
    </xf>
    <xf numFmtId="194" fontId="37" fillId="0" borderId="7">
      <alignment horizontal="right" vertical="center"/>
      <protection/>
    </xf>
    <xf numFmtId="49" fontId="38" fillId="0" borderId="7">
      <alignment horizontal="left" vertical="center"/>
      <protection/>
    </xf>
    <xf numFmtId="49" fontId="38" fillId="0" borderId="7">
      <alignment horizontal="left" vertical="center"/>
      <protection/>
    </xf>
    <xf numFmtId="193" fontId="36" fillId="0" borderId="7" applyNumberFormat="0" applyFill="0">
      <alignment horizontal="right"/>
      <protection/>
    </xf>
    <xf numFmtId="202" fontId="30" fillId="48" borderId="0" applyNumberFormat="0" applyBorder="0">
      <alignment/>
      <protection locked="0"/>
    </xf>
    <xf numFmtId="3" fontId="75" fillId="0" borderId="5">
      <alignment horizontal="right" vertical="top"/>
      <protection/>
    </xf>
    <xf numFmtId="165" fontId="75" fillId="0" borderId="8">
      <alignment/>
      <protection/>
    </xf>
    <xf numFmtId="165" fontId="76" fillId="0" borderId="8">
      <alignment/>
      <protection/>
    </xf>
    <xf numFmtId="0" fontId="14" fillId="24" borderId="9">
      <alignment horizontal="centerContinuous" vertical="top" wrapText="1"/>
      <protection/>
    </xf>
    <xf numFmtId="0" fontId="77" fillId="0" borderId="0">
      <alignment horizontal="left" vertical="top"/>
      <protection/>
    </xf>
    <xf numFmtId="200" fontId="50" fillId="0" borderId="0" applyFont="0" applyFill="0" applyBorder="0" applyAlignment="0" applyProtection="0"/>
    <xf numFmtId="0" fontId="129" fillId="0" borderId="0" applyNumberFormat="0" applyFill="0" applyBorder="0" applyAlignment="0" applyProtection="0"/>
    <xf numFmtId="0" fontId="51" fillId="0" borderId="0" applyNumberFormat="0" applyFill="0" applyBorder="0" applyAlignment="0" applyProtection="0"/>
    <xf numFmtId="201" fontId="128" fillId="0" borderId="0" applyBorder="0" applyProtection="0">
      <alignment/>
    </xf>
    <xf numFmtId="2" fontId="52" fillId="0" borderId="0" applyFill="0" applyBorder="0" applyAlignment="0" applyProtection="0"/>
    <xf numFmtId="0" fontId="0" fillId="49" borderId="0">
      <alignment/>
      <protection locked="0"/>
    </xf>
    <xf numFmtId="0" fontId="14" fillId="47" borderId="0">
      <alignment vertical="center"/>
      <protection locked="0"/>
    </xf>
    <xf numFmtId="0" fontId="53" fillId="0" borderId="0" applyNumberFormat="0" applyFill="0" applyBorder="0" applyAlignment="0" applyProtection="0"/>
    <xf numFmtId="0" fontId="5" fillId="0" borderId="0" applyNumberFormat="0" applyFill="0" applyBorder="0" applyAlignment="0" applyProtection="0"/>
    <xf numFmtId="0" fontId="14" fillId="0" borderId="0">
      <alignment/>
      <protection locked="0"/>
    </xf>
    <xf numFmtId="0" fontId="130" fillId="50" borderId="0" applyNumberFormat="0" applyBorder="0" applyAlignment="0" applyProtection="0"/>
    <xf numFmtId="0" fontId="54" fillId="51" borderId="0" applyNumberFormat="0" applyBorder="0" applyAlignment="0" applyProtection="0"/>
    <xf numFmtId="174" fontId="2" fillId="0" borderId="0">
      <alignment horizontal="left" vertical="center"/>
      <protection/>
    </xf>
    <xf numFmtId="0" fontId="131" fillId="0" borderId="10" applyNumberFormat="0" applyFill="0" applyAlignment="0" applyProtection="0"/>
    <xf numFmtId="0" fontId="55" fillId="0" borderId="11" applyNumberFormat="0" applyFill="0" applyAlignment="0" applyProtection="0"/>
    <xf numFmtId="0" fontId="132" fillId="0" borderId="12" applyNumberFormat="0" applyFill="0" applyAlignment="0" applyProtection="0"/>
    <xf numFmtId="0" fontId="56" fillId="0" borderId="13" applyNumberFormat="0" applyFill="0" applyAlignment="0" applyProtection="0"/>
    <xf numFmtId="0" fontId="133" fillId="0" borderId="14" applyNumberFormat="0" applyFill="0" applyAlignment="0" applyProtection="0"/>
    <xf numFmtId="0" fontId="57" fillId="0" borderId="15" applyNumberFormat="0" applyFill="0" applyAlignment="0" applyProtection="0"/>
    <xf numFmtId="0" fontId="133" fillId="0" borderId="0" applyNumberFormat="0" applyFill="0" applyBorder="0" applyAlignment="0" applyProtection="0"/>
    <xf numFmtId="0" fontId="57" fillId="0" borderId="0" applyNumberFormat="0" applyFill="0" applyBorder="0" applyAlignment="0" applyProtection="0"/>
    <xf numFmtId="0" fontId="134" fillId="0" borderId="0" applyBorder="0" applyProtection="0">
      <alignment horizontal="left"/>
    </xf>
    <xf numFmtId="0" fontId="39" fillId="0" borderId="7">
      <alignment horizontal="left"/>
      <protection/>
    </xf>
    <xf numFmtId="0" fontId="39" fillId="0" borderId="7">
      <alignment horizontal="left"/>
      <protection/>
    </xf>
    <xf numFmtId="0" fontId="39" fillId="0" borderId="7">
      <alignment horizontal="left"/>
      <protection/>
    </xf>
    <xf numFmtId="0" fontId="39" fillId="0" borderId="7">
      <alignment horizontal="left"/>
      <protection/>
    </xf>
    <xf numFmtId="0" fontId="40" fillId="0" borderId="16">
      <alignment horizontal="right" vertical="center"/>
      <protection/>
    </xf>
    <xf numFmtId="0" fontId="41" fillId="0" borderId="7">
      <alignment horizontal="left" vertical="center"/>
      <protection/>
    </xf>
    <xf numFmtId="0" fontId="41" fillId="0" borderId="7">
      <alignment horizontal="left" vertical="center"/>
      <protection/>
    </xf>
    <xf numFmtId="0" fontId="36" fillId="0" borderId="7">
      <alignment horizontal="left" vertical="center"/>
      <protection/>
    </xf>
    <xf numFmtId="0" fontId="36" fillId="0" borderId="7">
      <alignment horizontal="left" vertical="center"/>
      <protection/>
    </xf>
    <xf numFmtId="0" fontId="39" fillId="0" borderId="7">
      <alignment horizontal="left"/>
      <protection/>
    </xf>
    <xf numFmtId="0" fontId="39" fillId="52" borderId="0">
      <alignment horizontal="centerContinuous" wrapText="1"/>
      <protection/>
    </xf>
    <xf numFmtId="49" fontId="39" fillId="52" borderId="17">
      <alignment horizontal="left" vertical="center"/>
      <protection/>
    </xf>
    <xf numFmtId="49" fontId="39" fillId="52" borderId="17">
      <alignment horizontal="left" vertical="center"/>
      <protection/>
    </xf>
    <xf numFmtId="0" fontId="39" fillId="52" borderId="0">
      <alignment horizontal="centerContinuous" vertical="center" wrapText="1"/>
      <protection/>
    </xf>
    <xf numFmtId="0" fontId="58" fillId="0" borderId="0" applyNumberFormat="0" applyFill="0" applyBorder="0" applyAlignment="0" applyProtection="0"/>
    <xf numFmtId="0" fontId="4"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35" fillId="0" borderId="0" applyFill="0" applyBorder="0" applyAlignment="0" applyProtection="0"/>
    <xf numFmtId="0" fontId="136" fillId="0" borderId="0" applyFill="0" applyBorder="0" applyAlignment="0" applyProtection="0"/>
    <xf numFmtId="0" fontId="137" fillId="0" borderId="0" applyBorder="0" applyProtection="0">
      <alignment/>
    </xf>
    <xf numFmtId="202" fontId="78" fillId="53" borderId="0" applyNumberFormat="0" applyBorder="0">
      <alignment horizontal="left"/>
      <protection locked="0"/>
    </xf>
    <xf numFmtId="0" fontId="138" fillId="54" borderId="1" applyNumberFormat="0" applyAlignment="0" applyProtection="0"/>
    <xf numFmtId="0" fontId="61" fillId="2" borderId="2" applyNumberFormat="0" applyAlignment="0" applyProtection="0"/>
    <xf numFmtId="202" fontId="30" fillId="55" borderId="0" applyNumberFormat="0" applyBorder="0">
      <alignment horizontal="right"/>
      <protection locked="0"/>
    </xf>
    <xf numFmtId="202" fontId="139" fillId="56" borderId="0" applyNumberFormat="0" applyBorder="0">
      <alignment horizontal="right"/>
      <protection locked="0"/>
    </xf>
    <xf numFmtId="0" fontId="79" fillId="0" borderId="0">
      <alignment/>
      <protection/>
    </xf>
    <xf numFmtId="0" fontId="140" fillId="0" borderId="18" applyNumberFormat="0" applyFill="0" applyAlignment="0" applyProtection="0"/>
    <xf numFmtId="0" fontId="62" fillId="0" borderId="19" applyNumberFormat="0" applyFill="0" applyAlignment="0" applyProtection="0"/>
    <xf numFmtId="202" fontId="80" fillId="55" borderId="0" applyNumberFormat="0" applyBorder="0">
      <alignment horizontal="right"/>
      <protection locked="0"/>
    </xf>
    <xf numFmtId="202" fontId="81" fillId="55" borderId="0" applyNumberFormat="0" applyBorder="0">
      <alignment horizontal="right"/>
      <protection locked="0"/>
    </xf>
    <xf numFmtId="0" fontId="141" fillId="57" borderId="0" applyNumberFormat="0" applyBorder="0" applyAlignment="0" applyProtection="0"/>
    <xf numFmtId="0" fontId="63" fillId="43" borderId="0" applyNumberFormat="0" applyBorder="0" applyAlignment="0" applyProtection="0"/>
    <xf numFmtId="0" fontId="128" fillId="0" borderId="0" applyNumberFormat="0" applyBorder="0" applyAlignment="0">
      <protection/>
    </xf>
    <xf numFmtId="0" fontId="12" fillId="0" borderId="0">
      <alignment/>
      <protection/>
    </xf>
    <xf numFmtId="0" fontId="122" fillId="0" borderId="0">
      <alignment/>
      <protection/>
    </xf>
    <xf numFmtId="0" fontId="12" fillId="0" borderId="0">
      <alignment/>
      <protection/>
    </xf>
    <xf numFmtId="0" fontId="128" fillId="0" borderId="0">
      <alignment/>
      <protection/>
    </xf>
    <xf numFmtId="0" fontId="142" fillId="0" borderId="0">
      <alignment/>
      <protection/>
    </xf>
    <xf numFmtId="0" fontId="122" fillId="0" borderId="0">
      <alignment/>
      <protection/>
    </xf>
    <xf numFmtId="0" fontId="122" fillId="0" borderId="0">
      <alignment/>
      <protection/>
    </xf>
    <xf numFmtId="0" fontId="121" fillId="0" borderId="0">
      <alignment/>
      <protection/>
    </xf>
    <xf numFmtId="0" fontId="12" fillId="0" borderId="0">
      <alignment/>
      <protection/>
    </xf>
    <xf numFmtId="0" fontId="0" fillId="0" borderId="0">
      <alignment/>
      <protection/>
    </xf>
    <xf numFmtId="0" fontId="12" fillId="0" borderId="0">
      <alignment/>
      <protection/>
    </xf>
    <xf numFmtId="0" fontId="64" fillId="0" borderId="0">
      <alignment/>
      <protection/>
    </xf>
    <xf numFmtId="0" fontId="143" fillId="0" borderId="0" applyBorder="0" applyProtection="0">
      <alignment/>
    </xf>
    <xf numFmtId="0" fontId="0" fillId="0" borderId="0">
      <alignment vertical="top" wrapText="1"/>
      <protection/>
    </xf>
    <xf numFmtId="0" fontId="12" fillId="0" borderId="0">
      <alignment/>
      <protection/>
    </xf>
    <xf numFmtId="0" fontId="0"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0" fillId="0" borderId="0">
      <alignment/>
      <protection/>
    </xf>
    <xf numFmtId="0" fontId="143" fillId="0" borderId="0" applyBorder="0" applyProtection="0">
      <alignment/>
    </xf>
    <xf numFmtId="0" fontId="0" fillId="0" borderId="0">
      <alignment/>
      <protection/>
    </xf>
    <xf numFmtId="0" fontId="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23" fillId="0" borderId="0">
      <alignment/>
      <protection/>
    </xf>
    <xf numFmtId="0" fontId="122" fillId="0" borderId="0">
      <alignment/>
      <protection/>
    </xf>
    <xf numFmtId="0" fontId="122" fillId="0" borderId="0">
      <alignment/>
      <protection/>
    </xf>
    <xf numFmtId="0" fontId="12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wrapText="1"/>
      <protection/>
    </xf>
    <xf numFmtId="0" fontId="122" fillId="0" borderId="0">
      <alignment/>
      <protection/>
    </xf>
    <xf numFmtId="0" fontId="122" fillId="0" borderId="0">
      <alignment/>
      <protection/>
    </xf>
    <xf numFmtId="0" fontId="122" fillId="0" borderId="0">
      <alignment/>
      <protection/>
    </xf>
    <xf numFmtId="0" fontId="122" fillId="0" borderId="0">
      <alignment/>
      <protection/>
    </xf>
    <xf numFmtId="0" fontId="0" fillId="0" borderId="0">
      <alignment/>
      <protection/>
    </xf>
    <xf numFmtId="0" fontId="12" fillId="0" borderId="0">
      <alignment/>
      <protection/>
    </xf>
    <xf numFmtId="0" fontId="122" fillId="0" borderId="0">
      <alignment/>
      <protection/>
    </xf>
    <xf numFmtId="0" fontId="122" fillId="0" borderId="0">
      <alignment/>
      <protection/>
    </xf>
    <xf numFmtId="0" fontId="0" fillId="0" borderId="0">
      <alignment/>
      <protection/>
    </xf>
    <xf numFmtId="0" fontId="1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8" borderId="20" applyNumberFormat="0" applyFont="0" applyAlignment="0" applyProtection="0"/>
    <xf numFmtId="0" fontId="122" fillId="58" borderId="20" applyNumberFormat="0" applyFont="0" applyAlignment="0" applyProtection="0"/>
    <xf numFmtId="0" fontId="0" fillId="59" borderId="21" applyNumberFormat="0" applyFont="0" applyAlignment="0" applyProtection="0"/>
    <xf numFmtId="0" fontId="122" fillId="58" borderId="20" applyNumberFormat="0" applyFont="0" applyAlignment="0" applyProtection="0"/>
    <xf numFmtId="0" fontId="122" fillId="58" borderId="20" applyNumberFormat="0" applyFont="0" applyAlignment="0" applyProtection="0"/>
    <xf numFmtId="0" fontId="19" fillId="0" borderId="0">
      <alignment/>
      <protection/>
    </xf>
    <xf numFmtId="203" fontId="82" fillId="0" borderId="0">
      <alignment horizontal="right"/>
      <protection/>
    </xf>
    <xf numFmtId="0" fontId="144" fillId="41" borderId="22" applyNumberFormat="0" applyAlignment="0" applyProtection="0"/>
    <xf numFmtId="0" fontId="65" fillId="42" borderId="2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2" fillId="0" borderId="0" applyFont="0" applyFill="0" applyBorder="0" applyAlignment="0" applyProtection="0"/>
    <xf numFmtId="9" fontId="145" fillId="0" borderId="0" applyFont="0" applyFill="0" applyBorder="0" applyAlignment="0" applyProtection="0"/>
    <xf numFmtId="9" fontId="12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4" fontId="50" fillId="0" borderId="0" applyFill="0" applyBorder="0" applyAlignment="0" applyProtection="0"/>
    <xf numFmtId="192" fontId="33" fillId="0" borderId="0" applyFill="0" applyAlignment="0" applyProtection="0"/>
    <xf numFmtId="0" fontId="0" fillId="0" borderId="0">
      <alignment/>
      <protection/>
    </xf>
    <xf numFmtId="0" fontId="139" fillId="0" borderId="0" applyBorder="0" applyProtection="0">
      <alignment/>
    </xf>
    <xf numFmtId="3" fontId="37" fillId="0" borderId="0">
      <alignment horizontal="left" vertical="center"/>
      <protection/>
    </xf>
    <xf numFmtId="0" fontId="83" fillId="0" borderId="0" applyNumberFormat="0" applyFill="0" applyBorder="0" applyAlignment="0" applyProtection="0"/>
    <xf numFmtId="0" fontId="34" fillId="0" borderId="0">
      <alignment horizontal="left" vertical="center"/>
      <protection/>
    </xf>
    <xf numFmtId="0" fontId="139" fillId="0" borderId="0" applyBorder="0" applyProtection="0">
      <alignment/>
    </xf>
    <xf numFmtId="0" fontId="0" fillId="47" borderId="24">
      <alignment vertical="center"/>
      <protection locked="0"/>
    </xf>
    <xf numFmtId="0" fontId="66" fillId="0" borderId="0">
      <alignment/>
      <protection/>
    </xf>
    <xf numFmtId="0" fontId="146" fillId="0" borderId="0" applyBorder="0" applyProtection="0">
      <alignment/>
    </xf>
    <xf numFmtId="0" fontId="42" fillId="0" borderId="0">
      <alignment horizontal="right"/>
      <protection/>
    </xf>
    <xf numFmtId="49" fontId="42" fillId="0" borderId="0">
      <alignment horizontal="center"/>
      <protection/>
    </xf>
    <xf numFmtId="0" fontId="38" fillId="0" borderId="0">
      <alignment horizontal="right"/>
      <protection/>
    </xf>
    <xf numFmtId="0" fontId="38" fillId="0" borderId="0">
      <alignment horizontal="right"/>
      <protection/>
    </xf>
    <xf numFmtId="0" fontId="42" fillId="0" borderId="0">
      <alignment horizontal="left"/>
      <protection/>
    </xf>
    <xf numFmtId="0" fontId="42"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1" fillId="0" borderId="0">
      <alignment/>
      <protection/>
    </xf>
    <xf numFmtId="49" fontId="37" fillId="0" borderId="0">
      <alignment horizontal="left" vertical="center"/>
      <protection/>
    </xf>
    <xf numFmtId="49" fontId="38" fillId="0" borderId="7">
      <alignment horizontal="left"/>
      <protection/>
    </xf>
    <xf numFmtId="49" fontId="38" fillId="0" borderId="7">
      <alignment horizontal="left"/>
      <protection/>
    </xf>
    <xf numFmtId="193" fontId="37" fillId="0" borderId="0" applyNumberFormat="0">
      <alignment horizontal="right"/>
      <protection/>
    </xf>
    <xf numFmtId="0" fontId="40" fillId="60" borderId="0">
      <alignment horizontal="centerContinuous" vertical="center" wrapText="1"/>
      <protection/>
    </xf>
    <xf numFmtId="0" fontId="40" fillId="0" borderId="25">
      <alignment horizontal="left" vertical="center"/>
      <protection/>
    </xf>
    <xf numFmtId="0" fontId="43" fillId="0" borderId="0">
      <alignment horizontal="left" vertical="top"/>
      <protection/>
    </xf>
    <xf numFmtId="165" fontId="68" fillId="61" borderId="26">
      <alignment vertical="center"/>
      <protection/>
    </xf>
    <xf numFmtId="176" fontId="69" fillId="61" borderId="26">
      <alignment vertical="center"/>
      <protection/>
    </xf>
    <xf numFmtId="165" fontId="70" fillId="62" borderId="26">
      <alignment vertical="center"/>
      <protection/>
    </xf>
    <xf numFmtId="0" fontId="0" fillId="63" borderId="27" applyBorder="0">
      <alignment horizontal="left" vertical="center"/>
      <protection/>
    </xf>
    <xf numFmtId="49" fontId="0" fillId="64" borderId="9">
      <alignment vertical="center" wrapText="1"/>
      <protection/>
    </xf>
    <xf numFmtId="0" fontId="0" fillId="65" borderId="28">
      <alignment horizontal="left" vertical="center" wrapText="1"/>
      <protection/>
    </xf>
    <xf numFmtId="0" fontId="19" fillId="66" borderId="9">
      <alignment horizontal="left" vertical="center" wrapText="1"/>
      <protection/>
    </xf>
    <xf numFmtId="0" fontId="0" fillId="26" borderId="9">
      <alignment horizontal="left" vertical="center" wrapText="1"/>
      <protection/>
    </xf>
    <xf numFmtId="0" fontId="0" fillId="67" borderId="9">
      <alignment horizontal="left" vertical="center" wrapText="1"/>
      <protection/>
    </xf>
    <xf numFmtId="0" fontId="0" fillId="43" borderId="0">
      <alignment/>
      <protection locked="0"/>
    </xf>
    <xf numFmtId="0" fontId="147" fillId="0" borderId="0" applyNumberFormat="0" applyFill="0" applyBorder="0" applyAlignment="0" applyProtection="0"/>
    <xf numFmtId="0" fontId="71" fillId="0" borderId="0" applyNumberFormat="0" applyFill="0" applyBorder="0" applyAlignment="0" applyProtection="0"/>
    <xf numFmtId="0" fontId="39" fillId="0" borderId="0">
      <alignment horizontal="left"/>
      <protection/>
    </xf>
    <xf numFmtId="0" fontId="35" fillId="0" borderId="0">
      <alignment horizontal="left"/>
      <protection/>
    </xf>
    <xf numFmtId="0" fontId="36" fillId="0" borderId="0">
      <alignment horizontal="left"/>
      <protection/>
    </xf>
    <xf numFmtId="0" fontId="43" fillId="0" borderId="0">
      <alignment horizontal="left" vertical="top"/>
      <protection/>
    </xf>
    <xf numFmtId="0" fontId="35" fillId="0" borderId="0">
      <alignment horizontal="left"/>
      <protection/>
    </xf>
    <xf numFmtId="0" fontId="36" fillId="0" borderId="0">
      <alignment horizontal="left"/>
      <protection/>
    </xf>
    <xf numFmtId="202" fontId="84" fillId="68" borderId="0" applyNumberFormat="0" applyBorder="0">
      <alignment horizontal="center"/>
      <protection locked="0"/>
    </xf>
    <xf numFmtId="202" fontId="3" fillId="55" borderId="0" applyNumberFormat="0" applyBorder="0">
      <alignment horizontal="left"/>
      <protection locked="0"/>
    </xf>
    <xf numFmtId="202" fontId="139" fillId="56" borderId="0" applyNumberFormat="0" applyBorder="0">
      <alignment horizontal="left"/>
      <protection locked="0"/>
    </xf>
    <xf numFmtId="202" fontId="31" fillId="48" borderId="0" applyNumberFormat="0" applyBorder="0">
      <alignment horizontal="center"/>
      <protection locked="0"/>
    </xf>
    <xf numFmtId="202" fontId="31" fillId="55" borderId="0" applyNumberFormat="0" applyBorder="0">
      <alignment horizontal="left"/>
      <protection locked="0"/>
    </xf>
    <xf numFmtId="0" fontId="7" fillId="48" borderId="0" applyNumberFormat="0" applyBorder="0">
      <alignment/>
      <protection locked="0"/>
    </xf>
    <xf numFmtId="202" fontId="7" fillId="48" borderId="0" applyNumberFormat="0" applyBorder="0">
      <alignment/>
      <protection locked="0"/>
    </xf>
    <xf numFmtId="202" fontId="3" fillId="69" borderId="0" applyNumberFormat="0" applyBorder="0">
      <alignment horizontal="left"/>
      <protection locked="0"/>
    </xf>
    <xf numFmtId="202" fontId="139" fillId="56" borderId="0" applyNumberFormat="0" applyBorder="0">
      <alignment horizontal="left"/>
      <protection locked="0"/>
    </xf>
    <xf numFmtId="202" fontId="85" fillId="48" borderId="0" applyNumberFormat="0" applyBorder="0">
      <alignment/>
      <protection locked="0"/>
    </xf>
    <xf numFmtId="0" fontId="148" fillId="0" borderId="29" applyNumberFormat="0" applyFill="0" applyAlignment="0" applyProtection="0"/>
    <xf numFmtId="0" fontId="72" fillId="0" borderId="30" applyNumberFormat="0" applyFill="0" applyAlignment="0" applyProtection="0"/>
    <xf numFmtId="202" fontId="3" fillId="70" borderId="0" applyNumberFormat="0" applyBorder="0">
      <alignment/>
      <protection locked="0"/>
    </xf>
    <xf numFmtId="202" fontId="3" fillId="70" borderId="0" applyNumberFormat="0" applyBorder="0">
      <alignment/>
      <protection locked="0"/>
    </xf>
    <xf numFmtId="0" fontId="3" fillId="53" borderId="0" applyNumberFormat="0" applyBorder="0">
      <alignment/>
      <protection locked="0"/>
    </xf>
    <xf numFmtId="202" fontId="86" fillId="71" borderId="0" applyNumberFormat="0" applyBorder="0">
      <alignment/>
      <protection locked="0"/>
    </xf>
    <xf numFmtId="202" fontId="87" fillId="71" borderId="0" applyNumberFormat="0" applyBorder="0">
      <alignment/>
      <protection locked="0"/>
    </xf>
    <xf numFmtId="202" fontId="3" fillId="55" borderId="0" applyNumberFormat="0" applyBorder="0">
      <alignment/>
      <protection locked="0"/>
    </xf>
    <xf numFmtId="202" fontId="3" fillId="55" borderId="0" applyNumberFormat="0" applyBorder="0">
      <alignment/>
      <protection locked="0"/>
    </xf>
    <xf numFmtId="202" fontId="3" fillId="55" borderId="0" applyNumberFormat="0" applyBorder="0">
      <alignment/>
      <protection locked="0"/>
    </xf>
    <xf numFmtId="202" fontId="3" fillId="53" borderId="0" applyNumberFormat="0" applyBorder="0">
      <alignment/>
      <protection locked="0"/>
    </xf>
    <xf numFmtId="202" fontId="88" fillId="72" borderId="0" applyNumberFormat="0" applyBorder="0">
      <alignment/>
      <protection locked="0"/>
    </xf>
    <xf numFmtId="204" fontId="0"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149" fillId="0" borderId="0" applyNumberFormat="0" applyFill="0" applyBorder="0" applyAlignment="0" applyProtection="0"/>
    <xf numFmtId="0" fontId="73" fillId="0" borderId="0" applyNumberFormat="0" applyFill="0" applyBorder="0" applyAlignment="0" applyProtection="0"/>
    <xf numFmtId="49" fontId="37" fillId="0" borderId="7">
      <alignment horizontal="left"/>
      <protection/>
    </xf>
    <xf numFmtId="49" fontId="37" fillId="0" borderId="7">
      <alignment horizontal="left"/>
      <protection/>
    </xf>
    <xf numFmtId="0" fontId="40" fillId="0" borderId="16">
      <alignment horizontal="left"/>
      <protection/>
    </xf>
    <xf numFmtId="0" fontId="39" fillId="0" borderId="0">
      <alignment horizontal="left" vertical="center"/>
      <protection/>
    </xf>
    <xf numFmtId="49" fontId="42" fillId="0" borderId="7">
      <alignment horizontal="left"/>
      <protection/>
    </xf>
  </cellStyleXfs>
  <cellXfs count="1315">
    <xf numFmtId="0" fontId="0" fillId="0" borderId="0" xfId="0" applyAlignment="1">
      <alignment/>
    </xf>
    <xf numFmtId="0" fontId="8" fillId="0" borderId="0" xfId="0" applyFont="1" applyFill="1" applyBorder="1" applyAlignment="1">
      <alignment/>
    </xf>
    <xf numFmtId="0" fontId="9" fillId="0" borderId="0" xfId="0" applyFont="1" applyFill="1" applyAlignment="1">
      <alignment/>
    </xf>
    <xf numFmtId="0" fontId="8" fillId="0" borderId="0" xfId="0" applyFont="1" applyFill="1" applyAlignment="1">
      <alignment/>
    </xf>
    <xf numFmtId="0" fontId="9" fillId="0" borderId="0" xfId="0" applyFont="1" applyFill="1" applyAlignment="1">
      <alignment horizontal="left"/>
    </xf>
    <xf numFmtId="0" fontId="8" fillId="0" borderId="17" xfId="0" applyFont="1" applyFill="1" applyBorder="1" applyAlignment="1">
      <alignment/>
    </xf>
    <xf numFmtId="0" fontId="9" fillId="0" borderId="17" xfId="0" applyFont="1" applyFill="1" applyBorder="1" applyAlignment="1">
      <alignment/>
    </xf>
    <xf numFmtId="0" fontId="9" fillId="73" borderId="0" xfId="0" applyFont="1" applyFill="1" applyAlignment="1">
      <alignment/>
    </xf>
    <xf numFmtId="0" fontId="9" fillId="0" borderId="0" xfId="0" applyFont="1" applyFill="1" applyAlignment="1">
      <alignment textRotation="90" wrapText="1"/>
    </xf>
    <xf numFmtId="0" fontId="9" fillId="0" borderId="0" xfId="0" applyFont="1" applyFill="1" applyAlignment="1">
      <alignment vertical="top" textRotation="90" wrapText="1"/>
    </xf>
    <xf numFmtId="0" fontId="8" fillId="0" borderId="0" xfId="0" applyFont="1" applyFill="1" applyAlignment="1">
      <alignment horizontal="center" textRotation="90" wrapText="1"/>
    </xf>
    <xf numFmtId="0" fontId="8" fillId="0" borderId="0" xfId="0" applyFont="1" applyFill="1" applyAlignment="1">
      <alignment textRotation="90" wrapText="1"/>
    </xf>
    <xf numFmtId="0" fontId="8" fillId="0" borderId="0" xfId="0" applyFont="1" applyFill="1" applyAlignment="1">
      <alignment horizontal="center"/>
    </xf>
    <xf numFmtId="0" fontId="9" fillId="0" borderId="0" xfId="0" applyFont="1" applyFill="1" applyAlignment="1">
      <alignment horizontal="center"/>
    </xf>
    <xf numFmtId="0" fontId="9" fillId="0" borderId="0" xfId="0" applyFont="1" applyFill="1" applyBorder="1" applyAlignment="1">
      <alignment/>
    </xf>
    <xf numFmtId="0" fontId="9" fillId="0" borderId="0" xfId="0" applyFont="1" applyFill="1" applyBorder="1" applyAlignment="1">
      <alignment horizontal="left"/>
    </xf>
    <xf numFmtId="1" fontId="9" fillId="0" borderId="0" xfId="0" applyNumberFormat="1" applyFont="1" applyFill="1" applyBorder="1" applyAlignment="1" quotePrefix="1">
      <alignment/>
    </xf>
    <xf numFmtId="2" fontId="9" fillId="0" borderId="0" xfId="0" applyNumberFormat="1" applyFont="1" applyFill="1" applyBorder="1" applyAlignment="1">
      <alignment/>
    </xf>
    <xf numFmtId="2" fontId="9" fillId="0" borderId="0" xfId="0" applyNumberFormat="1" applyFont="1" applyFill="1" applyBorder="1" applyAlignment="1">
      <alignment vertical="center"/>
    </xf>
    <xf numFmtId="4" fontId="9" fillId="0" borderId="0" xfId="0" applyNumberFormat="1" applyFont="1" applyFill="1" applyBorder="1" applyAlignment="1">
      <alignment/>
    </xf>
    <xf numFmtId="165" fontId="9" fillId="0" borderId="0" xfId="0" applyNumberFormat="1" applyFont="1" applyFill="1" applyBorder="1" applyAlignment="1">
      <alignment/>
    </xf>
    <xf numFmtId="0" fontId="9" fillId="0" borderId="0" xfId="0" applyFont="1" applyFill="1" applyBorder="1" applyAlignment="1" quotePrefix="1">
      <alignment/>
    </xf>
    <xf numFmtId="164" fontId="9" fillId="0" borderId="0" xfId="0" applyNumberFormat="1" applyFont="1" applyFill="1" applyBorder="1" applyAlignment="1">
      <alignment/>
    </xf>
    <xf numFmtId="165" fontId="9" fillId="0" borderId="0" xfId="0" applyNumberFormat="1" applyFont="1" applyFill="1" applyBorder="1" applyAlignment="1">
      <alignment horizontal="right" vertical="center"/>
    </xf>
    <xf numFmtId="1" fontId="9" fillId="0" borderId="0" xfId="0" applyNumberFormat="1" applyFont="1" applyFill="1" applyBorder="1" applyAlignment="1">
      <alignment/>
    </xf>
    <xf numFmtId="3" fontId="9" fillId="0" borderId="0" xfId="0" applyNumberFormat="1" applyFont="1" applyFill="1" applyBorder="1" applyAlignment="1">
      <alignment/>
    </xf>
    <xf numFmtId="1" fontId="9" fillId="0" borderId="0" xfId="0" applyNumberFormat="1" applyFont="1" applyFill="1" applyBorder="1" applyAlignment="1">
      <alignment horizontal="right"/>
    </xf>
    <xf numFmtId="172" fontId="9" fillId="0" borderId="0" xfId="0" applyNumberFormat="1" applyFont="1" applyFill="1" applyBorder="1" applyAlignment="1">
      <alignment/>
    </xf>
    <xf numFmtId="3" fontId="9" fillId="0" borderId="0" xfId="0" applyNumberFormat="1" applyFont="1" applyFill="1" applyAlignment="1">
      <alignment/>
    </xf>
    <xf numFmtId="3" fontId="10" fillId="0" borderId="0" xfId="0" applyNumberFormat="1" applyFont="1" applyFill="1" applyBorder="1" applyAlignment="1">
      <alignment/>
    </xf>
    <xf numFmtId="3" fontId="9" fillId="0" borderId="0" xfId="0" applyNumberFormat="1" applyFont="1" applyFill="1" applyAlignment="1" quotePrefix="1">
      <alignment horizontal="right"/>
    </xf>
    <xf numFmtId="0" fontId="9" fillId="0" borderId="0" xfId="0" applyFont="1" applyFill="1" applyBorder="1" applyAlignment="1">
      <alignment horizontal="right"/>
    </xf>
    <xf numFmtId="0" fontId="8" fillId="0" borderId="0" xfId="0" applyFont="1" applyFill="1" applyBorder="1" applyAlignment="1">
      <alignment horizontal="left"/>
    </xf>
    <xf numFmtId="0" fontId="8" fillId="0" borderId="17" xfId="0" applyFont="1" applyFill="1" applyBorder="1" applyAlignment="1">
      <alignment horizontal="center"/>
    </xf>
    <xf numFmtId="0" fontId="8" fillId="0" borderId="17" xfId="0" applyFont="1" applyFill="1" applyBorder="1" applyAlignment="1">
      <alignment horizontal="right"/>
    </xf>
    <xf numFmtId="0" fontId="0" fillId="0" borderId="0" xfId="0" applyFill="1" applyAlignment="1">
      <alignment/>
    </xf>
    <xf numFmtId="3" fontId="9" fillId="0" borderId="0" xfId="0" applyNumberFormat="1" applyFont="1" applyFill="1" applyBorder="1" applyAlignment="1">
      <alignment horizontal="right"/>
    </xf>
    <xf numFmtId="0" fontId="10" fillId="0" borderId="0" xfId="0" applyFont="1" applyFill="1" applyBorder="1" applyAlignment="1">
      <alignment horizontal="left"/>
    </xf>
    <xf numFmtId="0" fontId="10" fillId="0" borderId="0" xfId="0" applyFont="1" applyFill="1" applyBorder="1" applyAlignment="1">
      <alignment/>
    </xf>
    <xf numFmtId="0" fontId="9" fillId="73" borderId="0" xfId="0" applyFont="1" applyFill="1" applyAlignment="1">
      <alignment horizontal="left" textRotation="90" wrapText="1"/>
    </xf>
    <xf numFmtId="0" fontId="8" fillId="73" borderId="17" xfId="0" applyFont="1" applyFill="1" applyBorder="1" applyAlignment="1">
      <alignment horizontal="center"/>
    </xf>
    <xf numFmtId="0" fontId="9" fillId="73" borderId="0" xfId="0" applyFont="1" applyFill="1" applyAlignment="1">
      <alignment horizontal="center"/>
    </xf>
    <xf numFmtId="0" fontId="9" fillId="73" borderId="0" xfId="0" applyFont="1" applyFill="1" applyBorder="1" applyAlignment="1">
      <alignment/>
    </xf>
    <xf numFmtId="0" fontId="9" fillId="73" borderId="0" xfId="0" applyFont="1" applyFill="1" applyBorder="1" applyAlignment="1" quotePrefix="1">
      <alignment/>
    </xf>
    <xf numFmtId="0" fontId="9" fillId="73" borderId="0" xfId="0" applyFont="1" applyFill="1" applyBorder="1" applyAlignment="1">
      <alignment horizontal="left"/>
    </xf>
    <xf numFmtId="0" fontId="8" fillId="73" borderId="0" xfId="0" applyFont="1" applyFill="1" applyAlignment="1">
      <alignment textRotation="90" wrapText="1"/>
    </xf>
    <xf numFmtId="0" fontId="8" fillId="73" borderId="17" xfId="0" applyFont="1" applyFill="1" applyBorder="1" applyAlignment="1">
      <alignment horizontal="right"/>
    </xf>
    <xf numFmtId="2" fontId="9" fillId="73" borderId="0" xfId="0" applyNumberFormat="1" applyFont="1" applyFill="1" applyBorder="1" applyAlignment="1">
      <alignment vertical="center"/>
    </xf>
    <xf numFmtId="165" fontId="9" fillId="73" borderId="0" xfId="0" applyNumberFormat="1" applyFont="1" applyFill="1" applyBorder="1" applyAlignment="1">
      <alignment horizontal="right" vertical="center"/>
    </xf>
    <xf numFmtId="1" fontId="9" fillId="73" borderId="0" xfId="0" applyNumberFormat="1" applyFont="1" applyFill="1" applyBorder="1" applyAlignment="1">
      <alignment/>
    </xf>
    <xf numFmtId="164" fontId="9" fillId="73" borderId="0" xfId="0" applyNumberFormat="1" applyFont="1" applyFill="1" applyBorder="1" applyAlignment="1">
      <alignment/>
    </xf>
    <xf numFmtId="3" fontId="9" fillId="73" borderId="0" xfId="0" applyNumberFormat="1" applyFont="1" applyFill="1" applyBorder="1" applyAlignment="1">
      <alignment/>
    </xf>
    <xf numFmtId="2" fontId="9" fillId="73" borderId="0" xfId="0" applyNumberFormat="1" applyFont="1" applyFill="1" applyBorder="1" applyAlignment="1">
      <alignment/>
    </xf>
    <xf numFmtId="172" fontId="9" fillId="73" borderId="0" xfId="0" applyNumberFormat="1" applyFont="1" applyFill="1" applyBorder="1" applyAlignment="1">
      <alignment/>
    </xf>
    <xf numFmtId="3" fontId="9" fillId="73" borderId="0" xfId="0" applyNumberFormat="1" applyFont="1" applyFill="1" applyAlignment="1">
      <alignment/>
    </xf>
    <xf numFmtId="3" fontId="9" fillId="73" borderId="0" xfId="0" applyNumberFormat="1" applyFont="1" applyFill="1" applyAlignment="1">
      <alignment horizontal="right"/>
    </xf>
    <xf numFmtId="3" fontId="9" fillId="73" borderId="0" xfId="0" applyNumberFormat="1" applyFont="1" applyFill="1" applyAlignment="1" quotePrefix="1">
      <alignment horizontal="right"/>
    </xf>
    <xf numFmtId="0" fontId="8" fillId="73" borderId="0" xfId="0" applyFont="1" applyFill="1" applyAlignment="1">
      <alignment horizontal="center" textRotation="90" wrapText="1"/>
    </xf>
    <xf numFmtId="4" fontId="9" fillId="73" borderId="0" xfId="0" applyNumberFormat="1" applyFont="1" applyFill="1" applyBorder="1" applyAlignment="1">
      <alignment/>
    </xf>
    <xf numFmtId="171" fontId="9" fillId="73" borderId="0" xfId="0" applyNumberFormat="1" applyFont="1" applyFill="1" applyBorder="1" applyAlignment="1">
      <alignment/>
    </xf>
    <xf numFmtId="3" fontId="9" fillId="73" borderId="0" xfId="0" applyNumberFormat="1" applyFont="1" applyFill="1" applyBorder="1" applyAlignment="1" quotePrefix="1">
      <alignment horizontal="right"/>
    </xf>
    <xf numFmtId="0" fontId="1" fillId="0" borderId="0" xfId="0" applyFont="1" applyFill="1" applyBorder="1" applyAlignment="1">
      <alignment horizontal="left" vertical="center"/>
    </xf>
    <xf numFmtId="0" fontId="6" fillId="0" borderId="0" xfId="0" applyFont="1" applyFill="1" applyBorder="1" applyAlignment="1">
      <alignment textRotation="90" wrapText="1"/>
    </xf>
    <xf numFmtId="0" fontId="0" fillId="0" borderId="0" xfId="0" applyFill="1" applyAlignment="1">
      <alignment wrapText="1"/>
    </xf>
    <xf numFmtId="0" fontId="0" fillId="0" borderId="0" xfId="0" applyFill="1" applyAlignment="1">
      <alignment vertical="top"/>
    </xf>
    <xf numFmtId="0" fontId="9" fillId="0" borderId="0" xfId="0" applyFont="1" applyFill="1" applyAlignment="1">
      <alignment/>
    </xf>
    <xf numFmtId="0" fontId="13" fillId="0" borderId="0" xfId="0" applyFont="1" applyFill="1" applyAlignment="1">
      <alignment/>
    </xf>
    <xf numFmtId="0" fontId="9" fillId="0" borderId="17" xfId="0" applyFont="1" applyFill="1" applyBorder="1" applyAlignment="1">
      <alignment horizontal="left"/>
    </xf>
    <xf numFmtId="0" fontId="9" fillId="73" borderId="17" xfId="0" applyFont="1" applyFill="1" applyBorder="1" applyAlignment="1">
      <alignment/>
    </xf>
    <xf numFmtId="164" fontId="9" fillId="0" borderId="17" xfId="0" applyNumberFormat="1" applyFont="1" applyFill="1" applyBorder="1" applyAlignment="1">
      <alignment/>
    </xf>
    <xf numFmtId="164" fontId="9" fillId="73" borderId="17" xfId="0" applyNumberFormat="1" applyFont="1" applyFill="1" applyBorder="1" applyAlignment="1">
      <alignment/>
    </xf>
    <xf numFmtId="170" fontId="9" fillId="73" borderId="0" xfId="91" applyNumberFormat="1" applyFont="1" applyFill="1" applyBorder="1" applyAlignment="1">
      <alignment/>
    </xf>
    <xf numFmtId="3" fontId="9" fillId="74" borderId="0" xfId="0" applyNumberFormat="1" applyFont="1" applyFill="1" applyBorder="1" applyAlignment="1">
      <alignment horizontal="right"/>
    </xf>
    <xf numFmtId="2" fontId="9" fillId="74" borderId="0" xfId="0" applyNumberFormat="1" applyFont="1" applyFill="1" applyBorder="1" applyAlignment="1">
      <alignment/>
    </xf>
    <xf numFmtId="1" fontId="9" fillId="74" borderId="0" xfId="0" applyNumberFormat="1" applyFont="1" applyFill="1" applyBorder="1" applyAlignment="1">
      <alignment/>
    </xf>
    <xf numFmtId="164" fontId="9" fillId="74" borderId="0" xfId="0" applyNumberFormat="1" applyFont="1" applyFill="1" applyBorder="1" applyAlignment="1">
      <alignment/>
    </xf>
    <xf numFmtId="0" fontId="9" fillId="74" borderId="0" xfId="0" applyFont="1" applyFill="1" applyBorder="1" applyAlignment="1">
      <alignment/>
    </xf>
    <xf numFmtId="3" fontId="9" fillId="73" borderId="0" xfId="91" applyNumberFormat="1" applyFont="1" applyFill="1" applyBorder="1" applyAlignment="1">
      <alignment/>
    </xf>
    <xf numFmtId="3" fontId="9" fillId="0" borderId="0" xfId="91" applyNumberFormat="1" applyFont="1" applyFill="1" applyBorder="1" applyAlignment="1">
      <alignment/>
    </xf>
    <xf numFmtId="164" fontId="9" fillId="0" borderId="0" xfId="259" applyNumberFormat="1" applyFont="1" applyFill="1" applyBorder="1" applyAlignment="1">
      <alignment horizontal="right"/>
    </xf>
    <xf numFmtId="164" fontId="9" fillId="73" borderId="0" xfId="259" applyNumberFormat="1" applyFont="1" applyFill="1" applyBorder="1" applyAlignment="1">
      <alignment horizontal="right"/>
    </xf>
    <xf numFmtId="3" fontId="9" fillId="73" borderId="0" xfId="0" applyNumberFormat="1" applyFont="1" applyFill="1" applyBorder="1" applyAlignment="1">
      <alignment horizontal="right"/>
    </xf>
    <xf numFmtId="2" fontId="9" fillId="74" borderId="0" xfId="0" applyNumberFormat="1" applyFont="1" applyFill="1" applyBorder="1" applyAlignment="1">
      <alignment vertical="center"/>
    </xf>
    <xf numFmtId="165" fontId="9" fillId="74" borderId="0" xfId="0" applyNumberFormat="1" applyFont="1" applyFill="1" applyBorder="1" applyAlignment="1">
      <alignment horizontal="right" vertical="center"/>
    </xf>
    <xf numFmtId="3" fontId="9" fillId="74" borderId="0" xfId="0" applyNumberFormat="1" applyFont="1" applyFill="1" applyBorder="1" applyAlignment="1">
      <alignment/>
    </xf>
    <xf numFmtId="172" fontId="9" fillId="74" borderId="0" xfId="0" applyNumberFormat="1" applyFont="1" applyFill="1" applyBorder="1" applyAlignment="1">
      <alignment/>
    </xf>
    <xf numFmtId="1" fontId="9" fillId="74" borderId="0" xfId="0" applyNumberFormat="1" applyFont="1" applyFill="1" applyBorder="1" applyAlignment="1">
      <alignment horizontal="right"/>
    </xf>
    <xf numFmtId="3" fontId="9" fillId="74" borderId="0" xfId="91" applyNumberFormat="1" applyFont="1" applyFill="1" applyBorder="1" applyAlignment="1">
      <alignment/>
    </xf>
    <xf numFmtId="3" fontId="9" fillId="74" borderId="0" xfId="0" applyNumberFormat="1" applyFont="1" applyFill="1" applyAlignment="1">
      <alignment/>
    </xf>
    <xf numFmtId="164" fontId="9" fillId="74" borderId="0" xfId="259" applyNumberFormat="1" applyFont="1" applyFill="1" applyBorder="1" applyAlignment="1">
      <alignment horizontal="right"/>
    </xf>
    <xf numFmtId="2" fontId="9" fillId="74" borderId="0" xfId="0" applyNumberFormat="1" applyFont="1" applyFill="1" applyBorder="1" applyAlignment="1">
      <alignment horizontal="right"/>
    </xf>
    <xf numFmtId="171" fontId="9" fillId="0" borderId="0" xfId="0" applyNumberFormat="1" applyFont="1" applyFill="1" applyBorder="1" applyAlignment="1">
      <alignment/>
    </xf>
    <xf numFmtId="3" fontId="9" fillId="0" borderId="0" xfId="0" applyNumberFormat="1" applyFont="1" applyFill="1" applyAlignment="1">
      <alignment horizontal="right"/>
    </xf>
    <xf numFmtId="0" fontId="9" fillId="0" borderId="0" xfId="0" applyFont="1" applyAlignment="1">
      <alignment/>
    </xf>
    <xf numFmtId="0" fontId="1" fillId="0" borderId="0" xfId="0" applyFont="1" applyAlignment="1">
      <alignment/>
    </xf>
    <xf numFmtId="0" fontId="8" fillId="0" borderId="0" xfId="0" applyFont="1" applyBorder="1" applyAlignment="1" quotePrefix="1">
      <alignment horizontal="right" vertical="top"/>
    </xf>
    <xf numFmtId="0" fontId="0" fillId="0" borderId="31" xfId="0" applyFill="1" applyBorder="1" applyAlignment="1">
      <alignment/>
    </xf>
    <xf numFmtId="1" fontId="15" fillId="73" borderId="27" xfId="0" applyNumberFormat="1" applyFont="1" applyFill="1" applyBorder="1" applyAlignment="1">
      <alignment horizontal="center"/>
    </xf>
    <xf numFmtId="1" fontId="15" fillId="73" borderId="32" xfId="0" applyNumberFormat="1" applyFont="1" applyFill="1" applyBorder="1" applyAlignment="1">
      <alignment horizontal="center"/>
    </xf>
    <xf numFmtId="1" fontId="15" fillId="73" borderId="33" xfId="0" applyNumberFormat="1" applyFont="1" applyFill="1" applyBorder="1" applyAlignment="1">
      <alignment horizontal="center"/>
    </xf>
    <xf numFmtId="0" fontId="15" fillId="0" borderId="6" xfId="0" applyFont="1" applyFill="1" applyBorder="1" applyAlignment="1">
      <alignment horizontal="center" vertical="center"/>
    </xf>
    <xf numFmtId="0" fontId="15" fillId="0" borderId="34" xfId="0" applyFont="1" applyFill="1" applyBorder="1" applyAlignment="1">
      <alignment horizontal="center" vertical="center"/>
    </xf>
    <xf numFmtId="0" fontId="0" fillId="0" borderId="0" xfId="0" applyFont="1" applyAlignment="1">
      <alignment/>
    </xf>
    <xf numFmtId="0" fontId="0" fillId="0" borderId="33" xfId="0" applyBorder="1" applyAlignment="1">
      <alignment/>
    </xf>
    <xf numFmtId="0" fontId="1" fillId="0" borderId="0" xfId="0" applyFont="1" applyAlignment="1">
      <alignment horizontal="center"/>
    </xf>
    <xf numFmtId="0" fontId="15" fillId="0" borderId="0" xfId="0" applyFont="1" applyAlignment="1">
      <alignment/>
    </xf>
    <xf numFmtId="4" fontId="9" fillId="0" borderId="0" xfId="0" applyNumberFormat="1" applyFont="1" applyFill="1" applyBorder="1" applyAlignment="1">
      <alignment horizontal="right"/>
    </xf>
    <xf numFmtId="0" fontId="16" fillId="73" borderId="27" xfId="0" applyFont="1" applyFill="1" applyBorder="1" applyAlignment="1">
      <alignment horizontal="center" wrapText="1"/>
    </xf>
    <xf numFmtId="0" fontId="0" fillId="0" borderId="0" xfId="0" applyFill="1" applyBorder="1" applyAlignment="1">
      <alignment/>
    </xf>
    <xf numFmtId="0" fontId="0" fillId="0" borderId="35" xfId="0" applyFill="1" applyBorder="1" applyAlignment="1">
      <alignment/>
    </xf>
    <xf numFmtId="1" fontId="15" fillId="73" borderId="36" xfId="0" applyNumberFormat="1" applyFont="1" applyFill="1" applyBorder="1" applyAlignment="1">
      <alignment horizontal="center" vertical="center"/>
    </xf>
    <xf numFmtId="1" fontId="15" fillId="73" borderId="34" xfId="0" applyNumberFormat="1" applyFont="1" applyFill="1" applyBorder="1" applyAlignment="1">
      <alignment horizontal="center" vertical="center"/>
    </xf>
    <xf numFmtId="1" fontId="15" fillId="73" borderId="17" xfId="0" applyNumberFormat="1" applyFont="1" applyFill="1" applyBorder="1" applyAlignment="1">
      <alignment horizontal="center" vertical="center"/>
    </xf>
    <xf numFmtId="0" fontId="15" fillId="51" borderId="27" xfId="0" applyFont="1" applyFill="1" applyBorder="1" applyAlignment="1">
      <alignment horizontal="center" vertical="center"/>
    </xf>
    <xf numFmtId="0" fontId="15" fillId="51" borderId="6" xfId="0" applyFont="1" applyFill="1" applyBorder="1" applyAlignment="1">
      <alignment horizontal="center" vertical="center"/>
    </xf>
    <xf numFmtId="0" fontId="15" fillId="51" borderId="34" xfId="0" applyFont="1" applyFill="1" applyBorder="1" applyAlignment="1">
      <alignment horizontal="center" vertical="center"/>
    </xf>
    <xf numFmtId="43" fontId="9" fillId="0" borderId="0" xfId="0" applyNumberFormat="1" applyFont="1" applyFill="1" applyBorder="1" applyAlignment="1">
      <alignment/>
    </xf>
    <xf numFmtId="164" fontId="18" fillId="51" borderId="33" xfId="0" applyNumberFormat="1" applyFont="1" applyFill="1" applyBorder="1" applyAlignment="1">
      <alignment horizontal="right" vertical="center"/>
    </xf>
    <xf numFmtId="164" fontId="15" fillId="51" borderId="33" xfId="0" applyNumberFormat="1" applyFont="1" applyFill="1" applyBorder="1" applyAlignment="1">
      <alignment horizontal="right" vertical="center"/>
    </xf>
    <xf numFmtId="164" fontId="18" fillId="51" borderId="0" xfId="0" applyNumberFormat="1" applyFont="1" applyFill="1" applyBorder="1" applyAlignment="1">
      <alignment horizontal="right" vertical="center"/>
    </xf>
    <xf numFmtId="164" fontId="15" fillId="51" borderId="0" xfId="0" applyNumberFormat="1" applyFont="1" applyFill="1" applyBorder="1" applyAlignment="1">
      <alignment horizontal="right" vertical="center"/>
    </xf>
    <xf numFmtId="164" fontId="18" fillId="51" borderId="17" xfId="0" applyNumberFormat="1" applyFont="1" applyFill="1" applyBorder="1" applyAlignment="1">
      <alignment horizontal="right" vertical="center"/>
    </xf>
    <xf numFmtId="164" fontId="15" fillId="51" borderId="17" xfId="0" applyNumberFormat="1" applyFont="1" applyFill="1" applyBorder="1" applyAlignment="1">
      <alignment horizontal="right" vertical="center"/>
    </xf>
    <xf numFmtId="164" fontId="17" fillId="0" borderId="0" xfId="0" applyNumberFormat="1" applyFont="1" applyBorder="1" applyAlignment="1">
      <alignment horizontal="right" vertical="center"/>
    </xf>
    <xf numFmtId="164" fontId="17" fillId="51" borderId="0" xfId="0" applyNumberFormat="1" applyFont="1" applyFill="1" applyBorder="1" applyAlignment="1">
      <alignment horizontal="right" vertical="center"/>
    </xf>
    <xf numFmtId="164" fontId="1" fillId="51" borderId="0" xfId="0" applyNumberFormat="1" applyFont="1" applyFill="1" applyBorder="1" applyAlignment="1">
      <alignment horizontal="right" vertical="center"/>
    </xf>
    <xf numFmtId="164" fontId="1" fillId="0" borderId="0" xfId="0" applyNumberFormat="1" applyFont="1" applyFill="1" applyBorder="1" applyAlignment="1">
      <alignment horizontal="right" vertical="center"/>
    </xf>
    <xf numFmtId="164" fontId="17" fillId="0" borderId="0" xfId="0" applyNumberFormat="1" applyFont="1" applyFill="1" applyBorder="1" applyAlignment="1">
      <alignment horizontal="right" vertical="center"/>
    </xf>
    <xf numFmtId="164" fontId="1" fillId="0" borderId="0" xfId="0" applyNumberFormat="1" applyFont="1" applyBorder="1" applyAlignment="1">
      <alignment horizontal="right" vertical="center"/>
    </xf>
    <xf numFmtId="164" fontId="1" fillId="0" borderId="31" xfId="0" applyNumberFormat="1" applyFont="1" applyBorder="1" applyAlignment="1">
      <alignment horizontal="right" vertical="center"/>
    </xf>
    <xf numFmtId="164" fontId="1" fillId="0" borderId="33" xfId="0" applyNumberFormat="1" applyFont="1" applyFill="1" applyBorder="1" applyAlignment="1">
      <alignment horizontal="right" vertical="center"/>
    </xf>
    <xf numFmtId="0" fontId="9" fillId="0" borderId="0" xfId="0" applyFont="1" applyBorder="1" applyAlignment="1">
      <alignment vertical="top"/>
    </xf>
    <xf numFmtId="0" fontId="1" fillId="0" borderId="0" xfId="0" applyFont="1" applyAlignment="1">
      <alignment vertical="top"/>
    </xf>
    <xf numFmtId="0" fontId="1" fillId="0" borderId="0" xfId="0" applyFont="1" applyBorder="1" applyAlignment="1">
      <alignment horizontal="right" vertical="center"/>
    </xf>
    <xf numFmtId="0" fontId="14" fillId="0" borderId="0" xfId="0" applyFont="1" applyAlignment="1">
      <alignment/>
    </xf>
    <xf numFmtId="0" fontId="15" fillId="73" borderId="34" xfId="0" applyFont="1" applyFill="1" applyBorder="1" applyAlignment="1">
      <alignment horizontal="center" vertical="top"/>
    </xf>
    <xf numFmtId="164" fontId="17" fillId="51" borderId="6" xfId="0" applyNumberFormat="1" applyFont="1" applyFill="1" applyBorder="1" applyAlignment="1">
      <alignment horizontal="right" vertical="center"/>
    </xf>
    <xf numFmtId="164" fontId="17" fillId="0" borderId="6" xfId="0" applyNumberFormat="1" applyFont="1" applyFill="1" applyBorder="1" applyAlignment="1">
      <alignment horizontal="right" vertical="center"/>
    </xf>
    <xf numFmtId="164" fontId="1" fillId="0" borderId="37" xfId="0" applyNumberFormat="1" applyFont="1" applyBorder="1" applyAlignment="1">
      <alignment horizontal="right" vertical="center"/>
    </xf>
    <xf numFmtId="164" fontId="1" fillId="51" borderId="6" xfId="0" applyNumberFormat="1" applyFont="1" applyFill="1" applyBorder="1" applyAlignment="1">
      <alignment horizontal="right" vertical="center"/>
    </xf>
    <xf numFmtId="2" fontId="1" fillId="0" borderId="6" xfId="0" applyNumberFormat="1" applyFont="1" applyFill="1" applyBorder="1" applyAlignment="1">
      <alignment horizontal="right" vertical="center"/>
    </xf>
    <xf numFmtId="164" fontId="1" fillId="0" borderId="37" xfId="0" applyNumberFormat="1" applyFont="1" applyFill="1" applyBorder="1" applyAlignment="1">
      <alignment horizontal="right" vertical="center"/>
    </xf>
    <xf numFmtId="164" fontId="1" fillId="0" borderId="38" xfId="0" applyNumberFormat="1" applyFont="1" applyFill="1" applyBorder="1" applyAlignment="1">
      <alignment horizontal="right" vertical="center"/>
    </xf>
    <xf numFmtId="164" fontId="1" fillId="0" borderId="39" xfId="0" applyNumberFormat="1" applyFont="1" applyFill="1" applyBorder="1" applyAlignment="1">
      <alignment horizontal="right" vertical="center"/>
    </xf>
    <xf numFmtId="164" fontId="1" fillId="51" borderId="38" xfId="0" applyNumberFormat="1" applyFont="1" applyFill="1" applyBorder="1" applyAlignment="1">
      <alignment horizontal="right" vertical="center"/>
    </xf>
    <xf numFmtId="164" fontId="1" fillId="0" borderId="6" xfId="0" applyNumberFormat="1" applyFont="1" applyFill="1" applyBorder="1" applyAlignment="1">
      <alignment horizontal="right" vertical="center"/>
    </xf>
    <xf numFmtId="164" fontId="1" fillId="51" borderId="39" xfId="0" applyNumberFormat="1" applyFont="1" applyFill="1" applyBorder="1" applyAlignment="1">
      <alignment horizontal="right" vertical="center"/>
    </xf>
    <xf numFmtId="164" fontId="1" fillId="51" borderId="17" xfId="0" applyNumberFormat="1" applyFont="1" applyFill="1" applyBorder="1" applyAlignment="1">
      <alignment horizontal="right" vertical="center"/>
    </xf>
    <xf numFmtId="0" fontId="15" fillId="0" borderId="0" xfId="0" applyFont="1" applyBorder="1" applyAlignment="1">
      <alignment/>
    </xf>
    <xf numFmtId="0" fontId="15" fillId="0" borderId="0" xfId="0" applyFont="1" applyAlignment="1">
      <alignment vertical="top"/>
    </xf>
    <xf numFmtId="1" fontId="15" fillId="0" borderId="0" xfId="0" applyNumberFormat="1" applyFont="1" applyFill="1" applyBorder="1" applyAlignment="1">
      <alignment horizontal="center" vertical="center"/>
    </xf>
    <xf numFmtId="0" fontId="1" fillId="0" borderId="0" xfId="0" applyFont="1" applyAlignment="1" quotePrefix="1">
      <alignment vertical="top"/>
    </xf>
    <xf numFmtId="0" fontId="0" fillId="0" borderId="0" xfId="0" applyAlignment="1">
      <alignment vertical="top"/>
    </xf>
    <xf numFmtId="164" fontId="18" fillId="51" borderId="27" xfId="0" applyNumberFormat="1" applyFont="1" applyFill="1" applyBorder="1" applyAlignment="1">
      <alignment horizontal="right" vertical="center"/>
    </xf>
    <xf numFmtId="164" fontId="18" fillId="51" borderId="6" xfId="0" applyNumberFormat="1" applyFont="1" applyFill="1" applyBorder="1" applyAlignment="1">
      <alignment horizontal="right" vertical="center"/>
    </xf>
    <xf numFmtId="164" fontId="1" fillId="51" borderId="6" xfId="0" applyNumberFormat="1" applyFont="1" applyFill="1" applyBorder="1" applyAlignment="1">
      <alignment horizontal="center" vertical="center"/>
    </xf>
    <xf numFmtId="164" fontId="1" fillId="0" borderId="6" xfId="0" applyNumberFormat="1" applyFont="1" applyFill="1" applyBorder="1" applyAlignment="1">
      <alignment horizontal="center" vertical="center"/>
    </xf>
    <xf numFmtId="164" fontId="1" fillId="51" borderId="34" xfId="0" applyNumberFormat="1" applyFont="1" applyFill="1" applyBorder="1" applyAlignment="1">
      <alignment horizontal="right" vertical="center"/>
    </xf>
    <xf numFmtId="164" fontId="1" fillId="0" borderId="34" xfId="0" applyNumberFormat="1" applyFont="1" applyFill="1" applyBorder="1" applyAlignment="1">
      <alignment horizontal="right" vertical="center"/>
    </xf>
    <xf numFmtId="164" fontId="1" fillId="0" borderId="31" xfId="0" applyNumberFormat="1" applyFont="1" applyFill="1" applyBorder="1" applyAlignment="1">
      <alignment horizontal="right" vertical="center"/>
    </xf>
    <xf numFmtId="164" fontId="1" fillId="51" borderId="31" xfId="0" applyNumberFormat="1" applyFont="1" applyFill="1" applyBorder="1" applyAlignment="1">
      <alignment horizontal="right" vertical="center"/>
    </xf>
    <xf numFmtId="165" fontId="9" fillId="0" borderId="0" xfId="0" applyNumberFormat="1" applyFont="1" applyFill="1" applyAlignment="1" quotePrefix="1">
      <alignment horizontal="right"/>
    </xf>
    <xf numFmtId="0" fontId="8" fillId="0" borderId="0" xfId="0" applyFont="1" applyFill="1" applyBorder="1" applyAlignment="1">
      <alignment horizontal="right"/>
    </xf>
    <xf numFmtId="0" fontId="6" fillId="0" borderId="0" xfId="0" applyFont="1" applyFill="1" applyBorder="1" applyAlignment="1">
      <alignment horizontal="right" textRotation="90" wrapText="1"/>
    </xf>
    <xf numFmtId="0" fontId="150" fillId="0" borderId="0" xfId="0" applyFont="1" applyFill="1" applyBorder="1" applyAlignment="1">
      <alignment/>
    </xf>
    <xf numFmtId="0" fontId="150" fillId="73" borderId="0" xfId="0" applyFont="1" applyFill="1" applyBorder="1" applyAlignment="1">
      <alignment/>
    </xf>
    <xf numFmtId="164" fontId="150" fillId="0" borderId="0" xfId="0" applyNumberFormat="1" applyFont="1" applyFill="1" applyBorder="1" applyAlignment="1">
      <alignment/>
    </xf>
    <xf numFmtId="0" fontId="150" fillId="0" borderId="17" xfId="0" applyFont="1" applyFill="1" applyBorder="1" applyAlignment="1">
      <alignment/>
    </xf>
    <xf numFmtId="3" fontId="150" fillId="0" borderId="0" xfId="0" applyNumberFormat="1" applyFont="1" applyFill="1" applyBorder="1" applyAlignment="1">
      <alignment/>
    </xf>
    <xf numFmtId="0" fontId="150" fillId="0" borderId="0" xfId="0" applyFont="1" applyFill="1" applyBorder="1" applyAlignment="1">
      <alignment horizontal="left"/>
    </xf>
    <xf numFmtId="0" fontId="150" fillId="74" borderId="0" xfId="0" applyFont="1" applyFill="1" applyBorder="1" applyAlignment="1">
      <alignment/>
    </xf>
    <xf numFmtId="0" fontId="9" fillId="0" borderId="0" xfId="0" applyFont="1" applyAlignment="1">
      <alignment vertical="top" wrapText="1"/>
    </xf>
    <xf numFmtId="0" fontId="1" fillId="0" borderId="0" xfId="0" applyFont="1" applyFill="1" applyBorder="1" applyAlignment="1">
      <alignment/>
    </xf>
    <xf numFmtId="3" fontId="151" fillId="74" borderId="0" xfId="0" applyNumberFormat="1" applyFont="1" applyFill="1" applyBorder="1" applyAlignment="1">
      <alignment horizontal="right" vertical="center"/>
    </xf>
    <xf numFmtId="3" fontId="151" fillId="0" borderId="0" xfId="0" applyNumberFormat="1" applyFont="1" applyFill="1" applyBorder="1" applyAlignment="1">
      <alignment horizontal="right" vertical="center"/>
    </xf>
    <xf numFmtId="3" fontId="151" fillId="73" borderId="0" xfId="0" applyNumberFormat="1" applyFont="1" applyFill="1" applyBorder="1" applyAlignment="1">
      <alignment horizontal="right" vertical="center"/>
    </xf>
    <xf numFmtId="3" fontId="151" fillId="0" borderId="0" xfId="0" applyNumberFormat="1" applyFont="1" applyFill="1" applyBorder="1" applyAlignment="1">
      <alignment/>
    </xf>
    <xf numFmtId="164" fontId="151" fillId="74" borderId="0" xfId="0" applyNumberFormat="1" applyFont="1" applyFill="1" applyBorder="1" applyAlignment="1">
      <alignment/>
    </xf>
    <xf numFmtId="164" fontId="151" fillId="0" borderId="0" xfId="0" applyNumberFormat="1" applyFont="1" applyFill="1" applyBorder="1" applyAlignment="1">
      <alignment/>
    </xf>
    <xf numFmtId="164" fontId="151" fillId="73" borderId="0" xfId="0" applyNumberFormat="1" applyFont="1" applyFill="1" applyBorder="1" applyAlignment="1">
      <alignment/>
    </xf>
    <xf numFmtId="0" fontId="151" fillId="0" borderId="0" xfId="0" applyFont="1" applyFill="1" applyBorder="1" applyAlignment="1">
      <alignment/>
    </xf>
    <xf numFmtId="0" fontId="152" fillId="0" borderId="0" xfId="0" applyFont="1" applyFill="1" applyBorder="1" applyAlignment="1" quotePrefix="1">
      <alignment/>
    </xf>
    <xf numFmtId="0" fontId="151" fillId="73" borderId="0" xfId="0" applyFont="1" applyFill="1" applyBorder="1" applyAlignment="1">
      <alignment/>
    </xf>
    <xf numFmtId="0" fontId="151" fillId="73" borderId="0" xfId="0" applyFont="1" applyFill="1" applyBorder="1" applyAlignment="1">
      <alignment horizontal="left"/>
    </xf>
    <xf numFmtId="3" fontId="151" fillId="0" borderId="0" xfId="0" applyNumberFormat="1" applyFont="1" applyFill="1" applyBorder="1" applyAlignment="1">
      <alignment horizontal="right"/>
    </xf>
    <xf numFmtId="0" fontId="0" fillId="0" borderId="17" xfId="0" applyFont="1" applyBorder="1" applyAlignment="1">
      <alignment horizontal="center" vertical="center"/>
    </xf>
    <xf numFmtId="0" fontId="15" fillId="75" borderId="6" xfId="0" applyFont="1" applyFill="1" applyBorder="1" applyAlignment="1">
      <alignment horizontal="center" vertical="center"/>
    </xf>
    <xf numFmtId="0" fontId="0" fillId="0" borderId="0" xfId="0" applyFont="1" applyFill="1" applyAlignment="1">
      <alignment/>
    </xf>
    <xf numFmtId="0" fontId="151" fillId="0" borderId="0" xfId="0" applyFont="1" applyFill="1" applyBorder="1" applyAlignment="1" quotePrefix="1">
      <alignment/>
    </xf>
    <xf numFmtId="164" fontId="151" fillId="0" borderId="0" xfId="0" applyNumberFormat="1" applyFont="1" applyFill="1" applyBorder="1" applyAlignment="1">
      <alignment horizontal="right"/>
    </xf>
    <xf numFmtId="165" fontId="151" fillId="0" borderId="0" xfId="0" applyNumberFormat="1" applyFont="1" applyFill="1" applyBorder="1" applyAlignment="1">
      <alignment/>
    </xf>
    <xf numFmtId="3" fontId="151" fillId="73" borderId="0" xfId="0" applyNumberFormat="1" applyFont="1" applyFill="1" applyBorder="1" applyAlignment="1">
      <alignment horizontal="right"/>
    </xf>
    <xf numFmtId="0" fontId="151" fillId="43" borderId="0" xfId="0" applyFont="1" applyFill="1" applyBorder="1" applyAlignment="1">
      <alignment/>
    </xf>
    <xf numFmtId="3" fontId="151" fillId="74" borderId="0" xfId="0" applyNumberFormat="1" applyFont="1" applyFill="1" applyBorder="1" applyAlignment="1">
      <alignment/>
    </xf>
    <xf numFmtId="3" fontId="151" fillId="73" borderId="0" xfId="0" applyNumberFormat="1" applyFont="1" applyFill="1" applyBorder="1" applyAlignment="1">
      <alignment/>
    </xf>
    <xf numFmtId="164" fontId="1" fillId="51" borderId="37" xfId="0" applyNumberFormat="1" applyFont="1" applyFill="1" applyBorder="1" applyAlignment="1">
      <alignment horizontal="right" vertical="center"/>
    </xf>
    <xf numFmtId="164" fontId="1" fillId="75" borderId="0" xfId="0" applyNumberFormat="1" applyFont="1" applyFill="1" applyBorder="1" applyAlignment="1">
      <alignment horizontal="right" vertical="center"/>
    </xf>
    <xf numFmtId="164" fontId="1" fillId="75" borderId="31" xfId="0" applyNumberFormat="1" applyFont="1" applyFill="1" applyBorder="1" applyAlignment="1">
      <alignment horizontal="right" vertical="center"/>
    </xf>
    <xf numFmtId="164" fontId="1" fillId="0" borderId="36" xfId="0" applyNumberFormat="1" applyFont="1" applyFill="1" applyBorder="1" applyAlignment="1">
      <alignment horizontal="right" vertical="center"/>
    </xf>
    <xf numFmtId="164" fontId="1" fillId="0" borderId="17" xfId="0" applyNumberFormat="1" applyFont="1" applyFill="1" applyBorder="1" applyAlignment="1">
      <alignment horizontal="right" vertical="center"/>
    </xf>
    <xf numFmtId="164" fontId="1" fillId="0" borderId="35" xfId="0" applyNumberFormat="1" applyFont="1" applyFill="1" applyBorder="1" applyAlignment="1">
      <alignment horizontal="right" vertical="center"/>
    </xf>
    <xf numFmtId="170" fontId="9" fillId="0" borderId="0" xfId="91" applyNumberFormat="1" applyFont="1" applyFill="1" applyBorder="1" applyAlignment="1">
      <alignment/>
    </xf>
    <xf numFmtId="0" fontId="9" fillId="0" borderId="0" xfId="0" applyFont="1" applyBorder="1" applyAlignment="1">
      <alignment horizontal="left" vertical="top"/>
    </xf>
    <xf numFmtId="0" fontId="8" fillId="0" borderId="0" xfId="0" applyFont="1" applyBorder="1" applyAlignment="1" quotePrefix="1">
      <alignment horizontal="right" vertical="center"/>
    </xf>
    <xf numFmtId="0" fontId="1" fillId="0" borderId="17" xfId="0" applyFont="1" applyBorder="1" applyAlignment="1">
      <alignment horizontal="right" vertical="center"/>
    </xf>
    <xf numFmtId="1" fontId="15" fillId="0" borderId="17" xfId="0" applyNumberFormat="1" applyFont="1" applyFill="1" applyBorder="1" applyAlignment="1">
      <alignment horizontal="center" vertical="center"/>
    </xf>
    <xf numFmtId="164" fontId="18" fillId="51" borderId="34" xfId="0" applyNumberFormat="1" applyFont="1" applyFill="1" applyBorder="1" applyAlignment="1">
      <alignment horizontal="right" vertical="center"/>
    </xf>
    <xf numFmtId="0" fontId="1" fillId="0" borderId="0" xfId="0" applyFont="1" applyFill="1" applyBorder="1" applyAlignment="1">
      <alignment horizontal="right" vertical="center"/>
    </xf>
    <xf numFmtId="4" fontId="0" fillId="0" borderId="0" xfId="0" applyNumberFormat="1" applyAlignment="1">
      <alignment/>
    </xf>
    <xf numFmtId="0" fontId="1" fillId="0" borderId="17" xfId="0" applyFont="1" applyBorder="1" applyAlignment="1">
      <alignment horizontal="right"/>
    </xf>
    <xf numFmtId="0" fontId="1" fillId="0" borderId="0" xfId="0" applyFont="1" applyBorder="1" applyAlignment="1">
      <alignment horizontal="right"/>
    </xf>
    <xf numFmtId="164" fontId="15" fillId="51" borderId="34" xfId="0" applyNumberFormat="1" applyFont="1" applyFill="1" applyBorder="1" applyAlignment="1">
      <alignment horizontal="right" vertical="center"/>
    </xf>
    <xf numFmtId="164" fontId="1" fillId="51" borderId="35" xfId="0" applyNumberFormat="1" applyFont="1" applyFill="1" applyBorder="1" applyAlignment="1">
      <alignment horizontal="right" vertical="center"/>
    </xf>
    <xf numFmtId="2" fontId="1" fillId="0" borderId="34" xfId="0" applyNumberFormat="1" applyFont="1" applyFill="1" applyBorder="1" applyAlignment="1">
      <alignment horizontal="right" vertical="center"/>
    </xf>
    <xf numFmtId="175" fontId="9" fillId="73" borderId="0" xfId="0" applyNumberFormat="1" applyFont="1" applyFill="1" applyBorder="1" applyAlignment="1">
      <alignment/>
    </xf>
    <xf numFmtId="164" fontId="10" fillId="0" borderId="0" xfId="0" applyNumberFormat="1" applyFont="1" applyFill="1" applyBorder="1" applyAlignment="1">
      <alignment/>
    </xf>
    <xf numFmtId="179" fontId="9" fillId="73" borderId="0" xfId="0" applyNumberFormat="1" applyFont="1" applyFill="1" applyBorder="1" applyAlignment="1">
      <alignment/>
    </xf>
    <xf numFmtId="175" fontId="9" fillId="0" borderId="0" xfId="0" applyNumberFormat="1" applyFont="1" applyFill="1" applyBorder="1" applyAlignment="1">
      <alignment/>
    </xf>
    <xf numFmtId="173" fontId="9" fillId="0" borderId="0" xfId="0" applyNumberFormat="1" applyFont="1" applyFill="1" applyBorder="1" applyAlignment="1">
      <alignment/>
    </xf>
    <xf numFmtId="175" fontId="9" fillId="0" borderId="0" xfId="0" applyNumberFormat="1" applyFont="1" applyFill="1" applyBorder="1" applyAlignment="1">
      <alignment horizontal="right"/>
    </xf>
    <xf numFmtId="3" fontId="9" fillId="0" borderId="40" xfId="91" applyNumberFormat="1" applyFont="1" applyFill="1" applyBorder="1" applyAlignment="1">
      <alignment horizontal="right"/>
    </xf>
    <xf numFmtId="3" fontId="9" fillId="0" borderId="41" xfId="91" applyNumberFormat="1" applyFont="1" applyFill="1" applyBorder="1" applyAlignment="1">
      <alignment horizontal="right"/>
    </xf>
    <xf numFmtId="175" fontId="9" fillId="0" borderId="17" xfId="0" applyNumberFormat="1" applyFont="1" applyFill="1" applyBorder="1" applyAlignment="1">
      <alignment horizontal="right"/>
    </xf>
    <xf numFmtId="175" fontId="9" fillId="73" borderId="17" xfId="0" applyNumberFormat="1" applyFont="1" applyFill="1" applyBorder="1" applyAlignment="1">
      <alignment/>
    </xf>
    <xf numFmtId="175" fontId="9" fillId="0" borderId="17" xfId="0" applyNumberFormat="1" applyFont="1" applyFill="1" applyBorder="1" applyAlignment="1">
      <alignment/>
    </xf>
    <xf numFmtId="164" fontId="10" fillId="0" borderId="17" xfId="0" applyNumberFormat="1" applyFont="1" applyFill="1" applyBorder="1" applyAlignment="1">
      <alignment/>
    </xf>
    <xf numFmtId="164" fontId="9" fillId="0" borderId="0" xfId="0" applyNumberFormat="1" applyFont="1" applyFill="1" applyBorder="1" applyAlignment="1">
      <alignment horizontal="right"/>
    </xf>
    <xf numFmtId="164" fontId="9" fillId="74" borderId="0" xfId="0" applyNumberFormat="1" applyFont="1" applyFill="1" applyBorder="1" applyAlignment="1">
      <alignment horizontal="right"/>
    </xf>
    <xf numFmtId="164" fontId="9" fillId="73" borderId="0" xfId="0" applyNumberFormat="1" applyFont="1" applyFill="1" applyBorder="1" applyAlignment="1">
      <alignment horizontal="right"/>
    </xf>
    <xf numFmtId="164" fontId="10" fillId="0" borderId="0" xfId="0" applyNumberFormat="1" applyFont="1" applyFill="1" applyBorder="1" applyAlignment="1">
      <alignment horizontal="right"/>
    </xf>
    <xf numFmtId="170" fontId="9" fillId="73" borderId="0" xfId="91" applyNumberFormat="1" applyFont="1" applyFill="1" applyBorder="1" applyAlignment="1">
      <alignment horizontal="right"/>
    </xf>
    <xf numFmtId="170" fontId="9" fillId="0" borderId="0" xfId="91" applyNumberFormat="1" applyFont="1" applyFill="1" applyBorder="1" applyAlignment="1">
      <alignment horizontal="right"/>
    </xf>
    <xf numFmtId="164" fontId="9" fillId="0" borderId="0" xfId="0" applyNumberFormat="1" applyFont="1" applyFill="1" applyBorder="1" applyAlignment="1">
      <alignment horizontal="right" vertical="center"/>
    </xf>
    <xf numFmtId="169" fontId="9" fillId="0" borderId="0" xfId="91" applyNumberFormat="1" applyFont="1" applyFill="1" applyBorder="1" applyAlignment="1">
      <alignment/>
    </xf>
    <xf numFmtId="169" fontId="9" fillId="0" borderId="17" xfId="91" applyNumberFormat="1" applyFont="1" applyFill="1" applyBorder="1" applyAlignment="1">
      <alignment/>
    </xf>
    <xf numFmtId="43" fontId="9" fillId="0" borderId="0" xfId="91" applyNumberFormat="1" applyFont="1" applyFill="1" applyBorder="1" applyAlignment="1">
      <alignment/>
    </xf>
    <xf numFmtId="170" fontId="9" fillId="0" borderId="0" xfId="0" applyNumberFormat="1" applyFont="1" applyFill="1" applyBorder="1" applyAlignment="1">
      <alignment/>
    </xf>
    <xf numFmtId="1" fontId="151" fillId="0" borderId="0" xfId="0" applyNumberFormat="1" applyFont="1" applyFill="1" applyBorder="1" applyAlignment="1">
      <alignment horizontal="right"/>
    </xf>
    <xf numFmtId="175" fontId="150" fillId="0" borderId="0" xfId="0" applyNumberFormat="1" applyFont="1" applyFill="1" applyBorder="1" applyAlignment="1">
      <alignment/>
    </xf>
    <xf numFmtId="175" fontId="150" fillId="0" borderId="17" xfId="0" applyNumberFormat="1" applyFont="1" applyFill="1" applyBorder="1" applyAlignment="1">
      <alignment/>
    </xf>
    <xf numFmtId="169" fontId="9" fillId="73" borderId="0" xfId="91" applyNumberFormat="1" applyFont="1" applyFill="1" applyBorder="1" applyAlignment="1">
      <alignment/>
    </xf>
    <xf numFmtId="0" fontId="15" fillId="74" borderId="37" xfId="0" applyFont="1" applyFill="1" applyBorder="1" applyAlignment="1">
      <alignment horizontal="right" vertical="center"/>
    </xf>
    <xf numFmtId="164" fontId="15" fillId="51" borderId="27" xfId="0" applyNumberFormat="1" applyFont="1" applyFill="1" applyBorder="1" applyAlignment="1">
      <alignment horizontal="center" vertical="center"/>
    </xf>
    <xf numFmtId="164" fontId="15" fillId="51" borderId="6" xfId="0" applyNumberFormat="1" applyFont="1" applyFill="1" applyBorder="1" applyAlignment="1">
      <alignment horizontal="center" vertical="center"/>
    </xf>
    <xf numFmtId="164" fontId="15" fillId="51" borderId="34" xfId="0" applyNumberFormat="1" applyFont="1" applyFill="1" applyBorder="1" applyAlignment="1">
      <alignment horizontal="center" vertical="center"/>
    </xf>
    <xf numFmtId="164" fontId="17" fillId="51" borderId="37" xfId="0" applyNumberFormat="1" applyFont="1" applyFill="1" applyBorder="1" applyAlignment="1">
      <alignment horizontal="right" vertical="center"/>
    </xf>
    <xf numFmtId="164" fontId="17" fillId="51" borderId="6" xfId="0" applyNumberFormat="1" applyFont="1" applyFill="1" applyBorder="1" applyAlignment="1">
      <alignment horizontal="center" vertical="center"/>
    </xf>
    <xf numFmtId="164" fontId="17" fillId="0" borderId="37" xfId="0" applyNumberFormat="1" applyFont="1" applyFill="1" applyBorder="1" applyAlignment="1">
      <alignment horizontal="right" vertical="center"/>
    </xf>
    <xf numFmtId="164" fontId="1" fillId="51" borderId="36" xfId="0" applyNumberFormat="1" applyFont="1" applyFill="1" applyBorder="1" applyAlignment="1">
      <alignment horizontal="right" vertical="center"/>
    </xf>
    <xf numFmtId="164" fontId="1" fillId="51" borderId="34" xfId="0" applyNumberFormat="1" applyFont="1" applyFill="1" applyBorder="1" applyAlignment="1">
      <alignment horizontal="center" vertical="center"/>
    </xf>
    <xf numFmtId="164" fontId="1" fillId="0" borderId="34" xfId="0" applyNumberFormat="1" applyFont="1" applyFill="1" applyBorder="1" applyAlignment="1">
      <alignment horizontal="center" vertical="center"/>
    </xf>
    <xf numFmtId="0" fontId="15" fillId="0" borderId="0" xfId="0" applyFont="1" applyFill="1" applyBorder="1" applyAlignment="1" quotePrefix="1">
      <alignment wrapText="1"/>
    </xf>
    <xf numFmtId="0" fontId="15" fillId="0" borderId="0" xfId="0" applyFont="1" applyAlignment="1">
      <alignment horizontal="left" vertical="top"/>
    </xf>
    <xf numFmtId="0" fontId="0" fillId="0" borderId="0" xfId="0" applyNumberFormat="1" applyFont="1" applyFill="1" applyBorder="1" applyAlignment="1">
      <alignment/>
    </xf>
    <xf numFmtId="2" fontId="1" fillId="75" borderId="6" xfId="0" applyNumberFormat="1" applyFont="1" applyFill="1" applyBorder="1" applyAlignment="1">
      <alignment horizontal="right" vertical="center"/>
    </xf>
    <xf numFmtId="164" fontId="1" fillId="75" borderId="42" xfId="0" applyNumberFormat="1" applyFont="1" applyFill="1" applyBorder="1" applyAlignment="1">
      <alignment horizontal="right" vertical="center"/>
    </xf>
    <xf numFmtId="164" fontId="1" fillId="75" borderId="17" xfId="0" applyNumberFormat="1" applyFont="1" applyFill="1" applyBorder="1" applyAlignment="1">
      <alignment horizontal="right" vertical="center"/>
    </xf>
    <xf numFmtId="164" fontId="17" fillId="75" borderId="0" xfId="0" applyNumberFormat="1" applyFont="1" applyFill="1" applyBorder="1" applyAlignment="1">
      <alignment horizontal="right" vertical="center"/>
    </xf>
    <xf numFmtId="0" fontId="15" fillId="75" borderId="34" xfId="0" applyFont="1" applyFill="1" applyBorder="1" applyAlignment="1">
      <alignment horizontal="center" vertical="center"/>
    </xf>
    <xf numFmtId="164" fontId="1" fillId="75" borderId="37" xfId="0" applyNumberFormat="1" applyFont="1" applyFill="1" applyBorder="1" applyAlignment="1">
      <alignment horizontal="right" vertical="center"/>
    </xf>
    <xf numFmtId="164" fontId="1" fillId="75" borderId="6" xfId="0" applyNumberFormat="1" applyFont="1" applyFill="1" applyBorder="1" applyAlignment="1">
      <alignment horizontal="right" vertical="center"/>
    </xf>
    <xf numFmtId="164" fontId="1" fillId="75" borderId="34" xfId="0" applyNumberFormat="1" applyFont="1" applyFill="1" applyBorder="1" applyAlignment="1">
      <alignment horizontal="right" vertical="center"/>
    </xf>
    <xf numFmtId="2" fontId="1" fillId="75" borderId="34" xfId="0" applyNumberFormat="1" applyFont="1" applyFill="1" applyBorder="1" applyAlignment="1">
      <alignment horizontal="right" vertical="center"/>
    </xf>
    <xf numFmtId="164" fontId="1" fillId="75" borderId="6" xfId="0" applyNumberFormat="1" applyFont="1" applyFill="1" applyBorder="1" applyAlignment="1">
      <alignment horizontal="center" vertical="center"/>
    </xf>
    <xf numFmtId="164" fontId="1" fillId="75" borderId="34" xfId="0" applyNumberFormat="1" applyFont="1" applyFill="1" applyBorder="1" applyAlignment="1">
      <alignment horizontal="center" vertical="center"/>
    </xf>
    <xf numFmtId="164" fontId="1" fillId="75" borderId="36" xfId="0" applyNumberFormat="1" applyFont="1" applyFill="1" applyBorder="1" applyAlignment="1">
      <alignment horizontal="right" vertical="center"/>
    </xf>
    <xf numFmtId="0" fontId="15" fillId="75" borderId="27" xfId="0" applyFont="1" applyFill="1" applyBorder="1" applyAlignment="1">
      <alignment horizontal="center" vertical="center"/>
    </xf>
    <xf numFmtId="164" fontId="1" fillId="75" borderId="35" xfId="0" applyNumberFormat="1" applyFont="1" applyFill="1" applyBorder="1" applyAlignment="1">
      <alignment horizontal="right" vertical="center"/>
    </xf>
    <xf numFmtId="0" fontId="0" fillId="0" borderId="0" xfId="188" applyNumberFormat="1" applyFont="1" applyFill="1" applyBorder="1" applyAlignment="1">
      <alignment/>
      <protection/>
    </xf>
    <xf numFmtId="0" fontId="12" fillId="0" borderId="0" xfId="188">
      <alignment/>
      <protection/>
    </xf>
    <xf numFmtId="184" fontId="0" fillId="0" borderId="0" xfId="188" applyNumberFormat="1" applyFont="1" applyFill="1" applyBorder="1" applyAlignment="1">
      <alignment/>
      <protection/>
    </xf>
    <xf numFmtId="164" fontId="1" fillId="75" borderId="27" xfId="0" applyNumberFormat="1" applyFont="1" applyFill="1" applyBorder="1" applyAlignment="1">
      <alignment horizontal="right" vertical="center"/>
    </xf>
    <xf numFmtId="164" fontId="1" fillId="75" borderId="33" xfId="0" applyNumberFormat="1" applyFont="1" applyFill="1" applyBorder="1" applyAlignment="1">
      <alignment horizontal="right" vertical="center"/>
    </xf>
    <xf numFmtId="0" fontId="0" fillId="0" borderId="0" xfId="0" applyFont="1" applyFill="1" applyAlignment="1">
      <alignment/>
    </xf>
    <xf numFmtId="171"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xf>
    <xf numFmtId="41" fontId="9" fillId="0" borderId="0" xfId="0" applyNumberFormat="1" applyFont="1" applyFill="1" applyBorder="1" applyAlignment="1">
      <alignment horizontal="right"/>
    </xf>
    <xf numFmtId="41" fontId="9" fillId="73" borderId="0" xfId="0" applyNumberFormat="1" applyFont="1" applyFill="1" applyBorder="1" applyAlignment="1">
      <alignment horizontal="right"/>
    </xf>
    <xf numFmtId="41" fontId="151" fillId="0" borderId="0" xfId="0" applyNumberFormat="1" applyFont="1" applyFill="1" applyBorder="1" applyAlignment="1" quotePrefix="1">
      <alignment horizontal="right" vertical="center"/>
    </xf>
    <xf numFmtId="41" fontId="151" fillId="73" borderId="0" xfId="0" applyNumberFormat="1" applyFont="1" applyFill="1" applyBorder="1" applyAlignment="1" quotePrefix="1">
      <alignment horizontal="right" vertical="center"/>
    </xf>
    <xf numFmtId="2" fontId="153" fillId="0" borderId="0" xfId="0" applyNumberFormat="1" applyFont="1" applyAlignment="1">
      <alignment/>
    </xf>
    <xf numFmtId="186" fontId="18" fillId="51" borderId="32" xfId="0" applyNumberFormat="1" applyFont="1" applyFill="1" applyBorder="1" applyAlignment="1">
      <alignment horizontal="right" vertical="center"/>
    </xf>
    <xf numFmtId="186" fontId="18" fillId="51" borderId="33" xfId="0" applyNumberFormat="1" applyFont="1" applyFill="1" applyBorder="1" applyAlignment="1">
      <alignment horizontal="right" vertical="center"/>
    </xf>
    <xf numFmtId="166" fontId="1" fillId="0" borderId="0" xfId="0" applyNumberFormat="1" applyFont="1" applyFill="1" applyBorder="1" applyAlignment="1">
      <alignment horizontal="right" vertical="center"/>
    </xf>
    <xf numFmtId="186" fontId="18" fillId="51" borderId="37" xfId="0" applyNumberFormat="1" applyFont="1" applyFill="1" applyBorder="1" applyAlignment="1">
      <alignment horizontal="right" vertical="center"/>
    </xf>
    <xf numFmtId="186" fontId="18" fillId="51" borderId="0" xfId="0" applyNumberFormat="1" applyFont="1" applyFill="1" applyBorder="1" applyAlignment="1">
      <alignment horizontal="right" vertical="center"/>
    </xf>
    <xf numFmtId="186" fontId="15" fillId="51" borderId="0" xfId="0" applyNumberFormat="1" applyFont="1" applyFill="1" applyBorder="1" applyAlignment="1">
      <alignment horizontal="right" vertical="center"/>
    </xf>
    <xf numFmtId="186" fontId="18" fillId="51" borderId="36" xfId="0" applyNumberFormat="1" applyFont="1" applyFill="1" applyBorder="1" applyAlignment="1">
      <alignment horizontal="right" vertical="center"/>
    </xf>
    <xf numFmtId="186" fontId="18" fillId="51" borderId="17" xfId="0" applyNumberFormat="1" applyFont="1" applyFill="1" applyBorder="1" applyAlignment="1">
      <alignment horizontal="right" vertical="center"/>
    </xf>
    <xf numFmtId="164" fontId="17" fillId="75" borderId="37" xfId="0" applyNumberFormat="1" applyFont="1" applyFill="1" applyBorder="1" applyAlignment="1">
      <alignment horizontal="right" vertical="center"/>
    </xf>
    <xf numFmtId="164" fontId="1" fillId="75" borderId="43" xfId="0" applyNumberFormat="1" applyFont="1" applyFill="1" applyBorder="1" applyAlignment="1">
      <alignment horizontal="right" vertical="center"/>
    </xf>
    <xf numFmtId="164" fontId="1" fillId="75" borderId="27" xfId="0" applyNumberFormat="1" applyFont="1" applyFill="1" applyBorder="1" applyAlignment="1">
      <alignment horizontal="center" vertical="center"/>
    </xf>
    <xf numFmtId="164" fontId="1" fillId="0" borderId="32" xfId="0" applyNumberFormat="1" applyFont="1" applyFill="1" applyBorder="1" applyAlignment="1">
      <alignment horizontal="right" vertical="center"/>
    </xf>
    <xf numFmtId="164" fontId="1" fillId="0" borderId="44" xfId="0" applyNumberFormat="1" applyFont="1" applyFill="1" applyBorder="1" applyAlignment="1">
      <alignment horizontal="right" vertical="center"/>
    </xf>
    <xf numFmtId="164" fontId="17" fillId="75" borderId="33" xfId="0" applyNumberFormat="1" applyFont="1" applyFill="1" applyBorder="1" applyAlignment="1">
      <alignment horizontal="right" vertical="center"/>
    </xf>
    <xf numFmtId="164" fontId="17" fillId="75" borderId="43" xfId="0" applyNumberFormat="1" applyFont="1" applyFill="1" applyBorder="1" applyAlignment="1">
      <alignment horizontal="right" vertical="center"/>
    </xf>
    <xf numFmtId="164" fontId="17" fillId="0" borderId="31" xfId="0" applyNumberFormat="1" applyFont="1" applyFill="1" applyBorder="1" applyAlignment="1">
      <alignment horizontal="right" vertical="center"/>
    </xf>
    <xf numFmtId="0" fontId="1" fillId="0" borderId="0" xfId="188" applyFont="1">
      <alignment/>
      <protection/>
    </xf>
    <xf numFmtId="164" fontId="1" fillId="0" borderId="0" xfId="188" applyNumberFormat="1" applyFont="1">
      <alignment/>
      <protection/>
    </xf>
    <xf numFmtId="3" fontId="1" fillId="75" borderId="36" xfId="293" applyNumberFormat="1" applyFont="1" applyFill="1" applyBorder="1" applyAlignment="1">
      <alignment vertical="center"/>
      <protection/>
    </xf>
    <xf numFmtId="3" fontId="1" fillId="75" borderId="34" xfId="293" applyNumberFormat="1" applyFont="1" applyFill="1" applyBorder="1" applyAlignment="1">
      <alignment vertical="center"/>
      <protection/>
    </xf>
    <xf numFmtId="187" fontId="1" fillId="75" borderId="36" xfId="293" applyNumberFormat="1" applyFont="1" applyFill="1" applyBorder="1" applyAlignment="1">
      <alignment vertical="center"/>
      <protection/>
    </xf>
    <xf numFmtId="187" fontId="1" fillId="75" borderId="17" xfId="293" applyNumberFormat="1" applyFont="1" applyFill="1" applyBorder="1" applyAlignment="1">
      <alignment vertical="center"/>
      <protection/>
    </xf>
    <xf numFmtId="164" fontId="1" fillId="0" borderId="45" xfId="0" applyNumberFormat="1" applyFont="1" applyBorder="1" applyAlignment="1">
      <alignment horizontal="right" vertical="center"/>
    </xf>
    <xf numFmtId="164" fontId="17" fillId="0" borderId="6" xfId="0" applyNumberFormat="1" applyFont="1" applyFill="1" applyBorder="1" applyAlignment="1">
      <alignment horizontal="center" vertical="center"/>
    </xf>
    <xf numFmtId="0" fontId="1" fillId="0" borderId="0" xfId="0" applyFont="1" applyAlignment="1" quotePrefix="1">
      <alignment/>
    </xf>
    <xf numFmtId="164" fontId="17" fillId="0" borderId="39" xfId="0" applyNumberFormat="1" applyFont="1" applyFill="1" applyBorder="1" applyAlignment="1">
      <alignment horizontal="right" vertical="center"/>
    </xf>
    <xf numFmtId="164" fontId="17" fillId="0" borderId="31" xfId="0" applyNumberFormat="1" applyFont="1" applyBorder="1" applyAlignment="1">
      <alignment horizontal="right" vertical="center"/>
    </xf>
    <xf numFmtId="164" fontId="1" fillId="0" borderId="45" xfId="0" applyNumberFormat="1" applyFont="1" applyFill="1" applyBorder="1" applyAlignment="1">
      <alignment horizontal="right" vertical="center"/>
    </xf>
    <xf numFmtId="164" fontId="17" fillId="51" borderId="38" xfId="0" applyNumberFormat="1" applyFont="1" applyFill="1" applyBorder="1" applyAlignment="1">
      <alignment horizontal="right" vertical="center"/>
    </xf>
    <xf numFmtId="177" fontId="154" fillId="73" borderId="37" xfId="0" applyNumberFormat="1" applyFont="1" applyFill="1" applyBorder="1" applyAlignment="1">
      <alignment horizontal="center" vertical="center" wrapText="1"/>
    </xf>
    <xf numFmtId="164" fontId="153" fillId="0" borderId="0" xfId="0" applyNumberFormat="1" applyFont="1" applyAlignment="1">
      <alignment/>
    </xf>
    <xf numFmtId="2" fontId="151" fillId="0" borderId="0" xfId="0" applyNumberFormat="1" applyFont="1" applyFill="1" applyBorder="1" applyAlignment="1">
      <alignment horizontal="right"/>
    </xf>
    <xf numFmtId="0" fontId="15" fillId="74" borderId="32" xfId="0" applyFont="1" applyFill="1" applyBorder="1" applyAlignment="1">
      <alignment horizontal="center" vertical="center" wrapText="1"/>
    </xf>
    <xf numFmtId="164" fontId="1" fillId="0" borderId="0" xfId="188" applyNumberFormat="1" applyFont="1" applyFill="1">
      <alignment/>
      <protection/>
    </xf>
    <xf numFmtId="170" fontId="155" fillId="0" borderId="0" xfId="91" applyNumberFormat="1" applyFont="1" applyAlignment="1">
      <alignment/>
    </xf>
    <xf numFmtId="0" fontId="1" fillId="0" borderId="0" xfId="195" applyFont="1" applyAlignment="1">
      <alignment horizontal="center"/>
      <protection/>
    </xf>
    <xf numFmtId="0" fontId="0" fillId="0" borderId="0" xfId="195">
      <alignment/>
      <protection/>
    </xf>
    <xf numFmtId="0" fontId="8" fillId="0" borderId="0" xfId="195" applyFont="1" applyAlignment="1" quotePrefix="1">
      <alignment horizontal="right"/>
      <protection/>
    </xf>
    <xf numFmtId="0" fontId="1" fillId="0" borderId="0" xfId="195" applyFont="1" applyAlignment="1">
      <alignment horizontal="center" vertical="top"/>
      <protection/>
    </xf>
    <xf numFmtId="0" fontId="0" fillId="0" borderId="0" xfId="195" applyAlignment="1">
      <alignment vertical="top"/>
      <protection/>
    </xf>
    <xf numFmtId="0" fontId="0" fillId="0" borderId="0" xfId="195" applyFill="1" applyBorder="1">
      <alignment/>
      <protection/>
    </xf>
    <xf numFmtId="0" fontId="15" fillId="74" borderId="31" xfId="195" applyFont="1" applyFill="1" applyBorder="1" applyAlignment="1">
      <alignment horizontal="center" vertical="center"/>
      <protection/>
    </xf>
    <xf numFmtId="1" fontId="15" fillId="74" borderId="31" xfId="195" applyNumberFormat="1" applyFont="1" applyFill="1" applyBorder="1" applyAlignment="1">
      <alignment horizontal="center" vertical="center" wrapText="1"/>
      <protection/>
    </xf>
    <xf numFmtId="1" fontId="16" fillId="74" borderId="37" xfId="195" applyNumberFormat="1" applyFont="1" applyFill="1" applyBorder="1" applyAlignment="1">
      <alignment horizontal="right" vertical="center" wrapText="1"/>
      <protection/>
    </xf>
    <xf numFmtId="1" fontId="16" fillId="74" borderId="31" xfId="195" applyNumberFormat="1" applyFont="1" applyFill="1" applyBorder="1" applyAlignment="1">
      <alignment horizontal="center" vertical="center" wrapText="1"/>
      <protection/>
    </xf>
    <xf numFmtId="0" fontId="15" fillId="74" borderId="37" xfId="195" applyFont="1" applyFill="1" applyBorder="1" applyAlignment="1">
      <alignment horizontal="right" vertical="center"/>
      <protection/>
    </xf>
    <xf numFmtId="1" fontId="15" fillId="74" borderId="37" xfId="195" applyNumberFormat="1" applyFont="1" applyFill="1" applyBorder="1" applyAlignment="1">
      <alignment horizontal="right" vertical="center" wrapText="1"/>
      <protection/>
    </xf>
    <xf numFmtId="0" fontId="0" fillId="74" borderId="36" xfId="195" applyFill="1" applyBorder="1">
      <alignment/>
      <protection/>
    </xf>
    <xf numFmtId="0" fontId="0" fillId="74" borderId="31" xfId="195" applyFill="1" applyBorder="1">
      <alignment/>
      <protection/>
    </xf>
    <xf numFmtId="0" fontId="15" fillId="74" borderId="37" xfId="195" applyFont="1" applyFill="1" applyBorder="1" applyAlignment="1" quotePrefix="1">
      <alignment horizontal="right" vertical="center"/>
      <protection/>
    </xf>
    <xf numFmtId="0" fontId="15" fillId="74" borderId="31" xfId="195" applyFont="1" applyFill="1" applyBorder="1" applyAlignment="1" quotePrefix="1">
      <alignment horizontal="center" vertical="center"/>
      <protection/>
    </xf>
    <xf numFmtId="1" fontId="15" fillId="74" borderId="36" xfId="195" applyNumberFormat="1" applyFont="1" applyFill="1" applyBorder="1" applyAlignment="1">
      <alignment horizontal="right" vertical="center" wrapText="1"/>
      <protection/>
    </xf>
    <xf numFmtId="1" fontId="15" fillId="74" borderId="17" xfId="195" applyNumberFormat="1" applyFont="1" applyFill="1" applyBorder="1" applyAlignment="1">
      <alignment horizontal="center" vertical="center" wrapText="1"/>
      <protection/>
    </xf>
    <xf numFmtId="1" fontId="15" fillId="74" borderId="17" xfId="195" applyNumberFormat="1" applyFont="1" applyFill="1" applyBorder="1" applyAlignment="1">
      <alignment horizontal="right" vertical="center" wrapText="1"/>
      <protection/>
    </xf>
    <xf numFmtId="1" fontId="15" fillId="73" borderId="35" xfId="195" applyNumberFormat="1" applyFont="1" applyFill="1" applyBorder="1" applyAlignment="1">
      <alignment horizontal="center" vertical="center"/>
      <protection/>
    </xf>
    <xf numFmtId="0" fontId="15" fillId="51" borderId="27" xfId="195" applyFont="1" applyFill="1" applyBorder="1" applyAlignment="1">
      <alignment horizontal="center" vertical="center"/>
      <protection/>
    </xf>
    <xf numFmtId="182" fontId="15" fillId="51" borderId="32" xfId="195" applyNumberFormat="1" applyFont="1" applyFill="1" applyBorder="1" applyAlignment="1">
      <alignment horizontal="right" vertical="center"/>
      <protection/>
    </xf>
    <xf numFmtId="165" fontId="15" fillId="51" borderId="43" xfId="195" applyNumberFormat="1" applyFont="1" applyFill="1" applyBorder="1" applyAlignment="1">
      <alignment horizontal="right" vertical="center"/>
      <protection/>
    </xf>
    <xf numFmtId="166" fontId="15" fillId="51" borderId="32" xfId="195" applyNumberFormat="1" applyFont="1" applyFill="1" applyBorder="1" applyAlignment="1">
      <alignment horizontal="right" vertical="center"/>
      <protection/>
    </xf>
    <xf numFmtId="166" fontId="20" fillId="51" borderId="43" xfId="195" applyNumberFormat="1" applyFont="1" applyFill="1" applyBorder="1" applyAlignment="1">
      <alignment vertical="center"/>
      <protection/>
    </xf>
    <xf numFmtId="165" fontId="15" fillId="51" borderId="43" xfId="195" applyNumberFormat="1" applyFont="1" applyFill="1" applyBorder="1" applyAlignment="1">
      <alignment horizontal="right" vertical="center" wrapText="1"/>
      <protection/>
    </xf>
    <xf numFmtId="172" fontId="15" fillId="51" borderId="32" xfId="195" applyNumberFormat="1" applyFont="1" applyFill="1" applyBorder="1" applyAlignment="1">
      <alignment horizontal="right" vertical="center" wrapText="1"/>
      <protection/>
    </xf>
    <xf numFmtId="172" fontId="15" fillId="51" borderId="33" xfId="195" applyNumberFormat="1" applyFont="1" applyFill="1" applyBorder="1" applyAlignment="1">
      <alignment horizontal="right" vertical="center" wrapText="1"/>
      <protection/>
    </xf>
    <xf numFmtId="180" fontId="15" fillId="51" borderId="33" xfId="195" applyNumberFormat="1" applyFont="1" applyFill="1" applyBorder="1" applyAlignment="1">
      <alignment horizontal="right" vertical="center" wrapText="1"/>
      <protection/>
    </xf>
    <xf numFmtId="172" fontId="15" fillId="51" borderId="43" xfId="195" applyNumberFormat="1" applyFont="1" applyFill="1" applyBorder="1" applyAlignment="1">
      <alignment horizontal="right" vertical="center" wrapText="1"/>
      <protection/>
    </xf>
    <xf numFmtId="0" fontId="15" fillId="51" borderId="6" xfId="195" applyFont="1" applyFill="1" applyBorder="1" applyAlignment="1">
      <alignment horizontal="center" vertical="center"/>
      <protection/>
    </xf>
    <xf numFmtId="182" fontId="15" fillId="51" borderId="37" xfId="195" applyNumberFormat="1" applyFont="1" applyFill="1" applyBorder="1" applyAlignment="1">
      <alignment horizontal="right" vertical="center"/>
      <protection/>
    </xf>
    <xf numFmtId="165" fontId="15" fillId="51" borderId="31" xfId="195" applyNumberFormat="1" applyFont="1" applyFill="1" applyBorder="1" applyAlignment="1">
      <alignment horizontal="right" vertical="center"/>
      <protection/>
    </xf>
    <xf numFmtId="166" fontId="15" fillId="51" borderId="37" xfId="195" applyNumberFormat="1" applyFont="1" applyFill="1" applyBorder="1" applyAlignment="1">
      <alignment vertical="center"/>
      <protection/>
    </xf>
    <xf numFmtId="166" fontId="20" fillId="51" borderId="31" xfId="195" applyNumberFormat="1" applyFont="1" applyFill="1" applyBorder="1" applyAlignment="1">
      <alignment vertical="center"/>
      <protection/>
    </xf>
    <xf numFmtId="165" fontId="15" fillId="51" borderId="31" xfId="195" applyNumberFormat="1" applyFont="1" applyFill="1" applyBorder="1" applyAlignment="1">
      <alignment horizontal="right" vertical="center" wrapText="1"/>
      <protection/>
    </xf>
    <xf numFmtId="180" fontId="15" fillId="51" borderId="37" xfId="195" applyNumberFormat="1" applyFont="1" applyFill="1" applyBorder="1" applyAlignment="1">
      <alignment horizontal="right" vertical="center" wrapText="1"/>
      <protection/>
    </xf>
    <xf numFmtId="180" fontId="15" fillId="51" borderId="0" xfId="195" applyNumberFormat="1" applyFont="1" applyFill="1" applyBorder="1" applyAlignment="1">
      <alignment horizontal="right" vertical="center" wrapText="1"/>
      <protection/>
    </xf>
    <xf numFmtId="180" fontId="15" fillId="51" borderId="31" xfId="195" applyNumberFormat="1" applyFont="1" applyFill="1" applyBorder="1" applyAlignment="1">
      <alignment horizontal="right" vertical="center" wrapText="1"/>
      <protection/>
    </xf>
    <xf numFmtId="0" fontId="15" fillId="51" borderId="34" xfId="195" applyFont="1" applyFill="1" applyBorder="1" applyAlignment="1">
      <alignment horizontal="center" vertical="center"/>
      <protection/>
    </xf>
    <xf numFmtId="182" fontId="15" fillId="51" borderId="36" xfId="195" applyNumberFormat="1" applyFont="1" applyFill="1" applyBorder="1" applyAlignment="1">
      <alignment horizontal="right" vertical="center"/>
      <protection/>
    </xf>
    <xf numFmtId="165" fontId="15" fillId="51" borderId="35" xfId="195" applyNumberFormat="1" applyFont="1" applyFill="1" applyBorder="1" applyAlignment="1">
      <alignment horizontal="right" vertical="center"/>
      <protection/>
    </xf>
    <xf numFmtId="166" fontId="15" fillId="51" borderId="36" xfId="195" applyNumberFormat="1" applyFont="1" applyFill="1" applyBorder="1" applyAlignment="1">
      <alignment vertical="center"/>
      <protection/>
    </xf>
    <xf numFmtId="165" fontId="20" fillId="51" borderId="35" xfId="195" applyNumberFormat="1" applyFont="1" applyFill="1" applyBorder="1" applyAlignment="1">
      <alignment horizontal="right" vertical="center"/>
      <protection/>
    </xf>
    <xf numFmtId="165" fontId="15" fillId="51" borderId="35" xfId="195" applyNumberFormat="1" applyFont="1" applyFill="1" applyBorder="1" applyAlignment="1">
      <alignment horizontal="right" vertical="center" wrapText="1"/>
      <protection/>
    </xf>
    <xf numFmtId="180" fontId="15" fillId="51" borderId="36" xfId="195" applyNumberFormat="1" applyFont="1" applyFill="1" applyBorder="1" applyAlignment="1">
      <alignment horizontal="right" vertical="center" wrapText="1"/>
      <protection/>
    </xf>
    <xf numFmtId="180" fontId="18" fillId="51" borderId="17" xfId="195" applyNumberFormat="1" applyFont="1" applyFill="1" applyBorder="1" applyAlignment="1">
      <alignment horizontal="right" vertical="center" wrapText="1"/>
      <protection/>
    </xf>
    <xf numFmtId="180" fontId="15" fillId="51" borderId="17" xfId="195" applyNumberFormat="1" applyFont="1" applyFill="1" applyBorder="1" applyAlignment="1">
      <alignment horizontal="right" vertical="center" wrapText="1"/>
      <protection/>
    </xf>
    <xf numFmtId="180" fontId="15" fillId="51" borderId="35" xfId="195" applyNumberFormat="1" applyFont="1" applyFill="1" applyBorder="1" applyAlignment="1">
      <alignment horizontal="right" vertical="center" wrapText="1"/>
      <protection/>
    </xf>
    <xf numFmtId="0" fontId="15" fillId="0" borderId="6" xfId="195" applyFont="1" applyFill="1" applyBorder="1" applyAlignment="1">
      <alignment horizontal="center" vertical="center"/>
      <protection/>
    </xf>
    <xf numFmtId="164" fontId="1" fillId="0" borderId="37" xfId="195" applyNumberFormat="1" applyFont="1" applyBorder="1" applyAlignment="1">
      <alignment vertical="center"/>
      <protection/>
    </xf>
    <xf numFmtId="165" fontId="1" fillId="0" borderId="31" xfId="195" applyNumberFormat="1" applyFont="1" applyFill="1" applyBorder="1" applyAlignment="1">
      <alignment horizontal="right" vertical="center"/>
      <protection/>
    </xf>
    <xf numFmtId="167" fontId="1" fillId="0" borderId="37" xfId="195" applyNumberFormat="1" applyFont="1" applyFill="1" applyBorder="1" applyAlignment="1">
      <alignment horizontal="right" vertical="center" wrapText="1"/>
      <protection/>
    </xf>
    <xf numFmtId="166" fontId="21" fillId="0" borderId="31" xfId="195" applyNumberFormat="1" applyFont="1" applyBorder="1" applyAlignment="1">
      <alignment vertical="center"/>
      <protection/>
    </xf>
    <xf numFmtId="164" fontId="1" fillId="0" borderId="37" xfId="195" applyNumberFormat="1" applyFont="1" applyFill="1" applyBorder="1" applyAlignment="1">
      <alignment horizontal="right" vertical="center" wrapText="1"/>
      <protection/>
    </xf>
    <xf numFmtId="165" fontId="1" fillId="0" borderId="31" xfId="195" applyNumberFormat="1" applyFont="1" applyFill="1" applyBorder="1" applyAlignment="1">
      <alignment horizontal="right" vertical="center" wrapText="1"/>
      <protection/>
    </xf>
    <xf numFmtId="172" fontId="1" fillId="0" borderId="0" xfId="195" applyNumberFormat="1" applyFont="1" applyFill="1" applyBorder="1" applyAlignment="1">
      <alignment horizontal="right" vertical="center" wrapText="1"/>
      <protection/>
    </xf>
    <xf numFmtId="172" fontId="1" fillId="0" borderId="31" xfId="195" applyNumberFormat="1" applyFont="1" applyFill="1" applyBorder="1" applyAlignment="1">
      <alignment horizontal="right" vertical="center" wrapText="1"/>
      <protection/>
    </xf>
    <xf numFmtId="164" fontId="1" fillId="51" borderId="37" xfId="195" applyNumberFormat="1" applyFont="1" applyFill="1" applyBorder="1" applyAlignment="1">
      <alignment vertical="center"/>
      <protection/>
    </xf>
    <xf numFmtId="165" fontId="1" fillId="51" borderId="31" xfId="195" applyNumberFormat="1" applyFont="1" applyFill="1" applyBorder="1" applyAlignment="1">
      <alignment horizontal="right" vertical="center"/>
      <protection/>
    </xf>
    <xf numFmtId="167" fontId="1" fillId="51" borderId="37" xfId="195" applyNumberFormat="1" applyFont="1" applyFill="1" applyBorder="1" applyAlignment="1">
      <alignment horizontal="right" vertical="center" wrapText="1"/>
      <protection/>
    </xf>
    <xf numFmtId="166" fontId="21" fillId="51" borderId="31" xfId="195" applyNumberFormat="1" applyFont="1" applyFill="1" applyBorder="1" applyAlignment="1">
      <alignment vertical="center"/>
      <protection/>
    </xf>
    <xf numFmtId="164" fontId="1" fillId="51" borderId="37" xfId="195" applyNumberFormat="1" applyFont="1" applyFill="1" applyBorder="1" applyAlignment="1">
      <alignment horizontal="right" vertical="center" wrapText="1"/>
      <protection/>
    </xf>
    <xf numFmtId="165" fontId="1" fillId="51" borderId="31" xfId="195" applyNumberFormat="1" applyFont="1" applyFill="1" applyBorder="1" applyAlignment="1">
      <alignment horizontal="right" vertical="center" wrapText="1"/>
      <protection/>
    </xf>
    <xf numFmtId="172" fontId="17" fillId="51" borderId="0" xfId="195" applyNumberFormat="1" applyFont="1" applyFill="1" applyBorder="1" applyAlignment="1">
      <alignment horizontal="right" vertical="center" wrapText="1"/>
      <protection/>
    </xf>
    <xf numFmtId="172" fontId="1" fillId="51" borderId="31" xfId="195" applyNumberFormat="1" applyFont="1" applyFill="1" applyBorder="1" applyAlignment="1">
      <alignment horizontal="right" vertical="center" wrapText="1"/>
      <protection/>
    </xf>
    <xf numFmtId="172" fontId="1" fillId="51" borderId="0" xfId="195" applyNumberFormat="1" applyFont="1" applyFill="1" applyBorder="1" applyAlignment="1">
      <alignment horizontal="right" vertical="center" wrapText="1"/>
      <protection/>
    </xf>
    <xf numFmtId="182" fontId="1" fillId="0" borderId="37" xfId="195" applyNumberFormat="1" applyFont="1" applyFill="1" applyBorder="1" applyAlignment="1">
      <alignment horizontal="right" vertical="center"/>
      <protection/>
    </xf>
    <xf numFmtId="167" fontId="17" fillId="0" borderId="37" xfId="195" applyNumberFormat="1" applyFont="1" applyFill="1" applyBorder="1" applyAlignment="1">
      <alignment horizontal="right" vertical="center" wrapText="1"/>
      <protection/>
    </xf>
    <xf numFmtId="164" fontId="17" fillId="51" borderId="37" xfId="195" applyNumberFormat="1" applyFont="1" applyFill="1" applyBorder="1" applyAlignment="1">
      <alignment horizontal="right" vertical="center" wrapText="1"/>
      <protection/>
    </xf>
    <xf numFmtId="182" fontId="17" fillId="0" borderId="37" xfId="195" applyNumberFormat="1" applyFont="1" applyFill="1" applyBorder="1" applyAlignment="1">
      <alignment horizontal="right" vertical="center"/>
      <protection/>
    </xf>
    <xf numFmtId="172" fontId="17" fillId="0" borderId="0" xfId="195" applyNumberFormat="1" applyFont="1" applyFill="1" applyBorder="1" applyAlignment="1">
      <alignment horizontal="right" vertical="center" wrapText="1"/>
      <protection/>
    </xf>
    <xf numFmtId="182" fontId="17" fillId="51" borderId="37" xfId="195" applyNumberFormat="1" applyFont="1" applyFill="1" applyBorder="1" applyAlignment="1">
      <alignment horizontal="right" vertical="center"/>
      <protection/>
    </xf>
    <xf numFmtId="182" fontId="1" fillId="51" borderId="37" xfId="195" applyNumberFormat="1" applyFont="1" applyFill="1" applyBorder="1" applyAlignment="1">
      <alignment horizontal="right" vertical="center"/>
      <protection/>
    </xf>
    <xf numFmtId="164" fontId="17" fillId="0" borderId="37" xfId="195" applyNumberFormat="1" applyFont="1" applyFill="1" applyBorder="1" applyAlignment="1">
      <alignment horizontal="right" vertical="center" wrapText="1"/>
      <protection/>
    </xf>
    <xf numFmtId="164" fontId="1" fillId="51" borderId="36" xfId="195" applyNumberFormat="1" applyFont="1" applyFill="1" applyBorder="1" applyAlignment="1">
      <alignment vertical="center"/>
      <protection/>
    </xf>
    <xf numFmtId="165" fontId="1" fillId="51" borderId="35" xfId="195" applyNumberFormat="1" applyFont="1" applyFill="1" applyBorder="1" applyAlignment="1">
      <alignment horizontal="right" vertical="center"/>
      <protection/>
    </xf>
    <xf numFmtId="167" fontId="1" fillId="51" borderId="36" xfId="195" applyNumberFormat="1" applyFont="1" applyFill="1" applyBorder="1" applyAlignment="1">
      <alignment horizontal="right" vertical="center" wrapText="1"/>
      <protection/>
    </xf>
    <xf numFmtId="166" fontId="21" fillId="51" borderId="35" xfId="195" applyNumberFormat="1" applyFont="1" applyFill="1" applyBorder="1" applyAlignment="1">
      <alignment vertical="center"/>
      <protection/>
    </xf>
    <xf numFmtId="182" fontId="1" fillId="51" borderId="36" xfId="195" applyNumberFormat="1" applyFont="1" applyFill="1" applyBorder="1" applyAlignment="1">
      <alignment horizontal="right" vertical="center"/>
      <protection/>
    </xf>
    <xf numFmtId="165" fontId="1" fillId="51" borderId="35" xfId="195" applyNumberFormat="1" applyFont="1" applyFill="1" applyBorder="1" applyAlignment="1">
      <alignment horizontal="right" vertical="center" wrapText="1"/>
      <protection/>
    </xf>
    <xf numFmtId="172" fontId="1" fillId="51" borderId="17" xfId="195" applyNumberFormat="1" applyFont="1" applyFill="1" applyBorder="1" applyAlignment="1">
      <alignment horizontal="right" vertical="center" wrapText="1"/>
      <protection/>
    </xf>
    <xf numFmtId="172" fontId="1" fillId="51" borderId="35" xfId="195" applyNumberFormat="1" applyFont="1" applyFill="1" applyBorder="1" applyAlignment="1">
      <alignment horizontal="right" vertical="center" wrapText="1"/>
      <protection/>
    </xf>
    <xf numFmtId="164" fontId="1" fillId="51" borderId="32" xfId="195" applyNumberFormat="1" applyFont="1" applyFill="1" applyBorder="1" applyAlignment="1">
      <alignment vertical="center"/>
      <protection/>
    </xf>
    <xf numFmtId="165" fontId="1" fillId="51" borderId="43" xfId="195" applyNumberFormat="1" applyFont="1" applyFill="1" applyBorder="1" applyAlignment="1">
      <alignment horizontal="right" vertical="center"/>
      <protection/>
    </xf>
    <xf numFmtId="167" fontId="1" fillId="51" borderId="32" xfId="195" applyNumberFormat="1" applyFont="1" applyFill="1" applyBorder="1" applyAlignment="1">
      <alignment horizontal="right" vertical="center" wrapText="1"/>
      <protection/>
    </xf>
    <xf numFmtId="166" fontId="21" fillId="51" borderId="43" xfId="195" applyNumberFormat="1" applyFont="1" applyFill="1" applyBorder="1" applyAlignment="1">
      <alignment vertical="center"/>
      <protection/>
    </xf>
    <xf numFmtId="164" fontId="1" fillId="51" borderId="32" xfId="195" applyNumberFormat="1" applyFont="1" applyFill="1" applyBorder="1" applyAlignment="1">
      <alignment horizontal="right" vertical="center" wrapText="1"/>
      <protection/>
    </xf>
    <xf numFmtId="165" fontId="1" fillId="51" borderId="43" xfId="195" applyNumberFormat="1" applyFont="1" applyFill="1" applyBorder="1" applyAlignment="1">
      <alignment horizontal="right" vertical="center" wrapText="1"/>
      <protection/>
    </xf>
    <xf numFmtId="172" fontId="1" fillId="51" borderId="33" xfId="195" applyNumberFormat="1" applyFont="1" applyFill="1" applyBorder="1" applyAlignment="1">
      <alignment horizontal="right" vertical="center" wrapText="1"/>
      <protection/>
    </xf>
    <xf numFmtId="172" fontId="1" fillId="51" borderId="43" xfId="195" applyNumberFormat="1" applyFont="1" applyFill="1" applyBorder="1" applyAlignment="1">
      <alignment horizontal="right" vertical="center" wrapText="1"/>
      <protection/>
    </xf>
    <xf numFmtId="164" fontId="1" fillId="0" borderId="37" xfId="195" applyNumberFormat="1" applyFont="1" applyFill="1" applyBorder="1" applyAlignment="1">
      <alignment vertical="center"/>
      <protection/>
    </xf>
    <xf numFmtId="166" fontId="21" fillId="0" borderId="31" xfId="195" applyNumberFormat="1" applyFont="1" applyFill="1" applyBorder="1" applyAlignment="1">
      <alignment vertical="center"/>
      <protection/>
    </xf>
    <xf numFmtId="182" fontId="17" fillId="51" borderId="36" xfId="195" applyNumberFormat="1" applyFont="1" applyFill="1" applyBorder="1" applyAlignment="1">
      <alignment horizontal="right" vertical="center"/>
      <protection/>
    </xf>
    <xf numFmtId="172" fontId="17" fillId="51" borderId="17" xfId="195" applyNumberFormat="1" applyFont="1" applyFill="1" applyBorder="1" applyAlignment="1">
      <alignment horizontal="right" vertical="center" wrapText="1"/>
      <protection/>
    </xf>
    <xf numFmtId="172" fontId="17" fillId="51" borderId="35" xfId="195" applyNumberFormat="1" applyFont="1" applyFill="1" applyBorder="1" applyAlignment="1">
      <alignment horizontal="right" vertical="center" wrapText="1"/>
      <protection/>
    </xf>
    <xf numFmtId="0" fontId="15" fillId="0" borderId="0" xfId="195" applyFont="1" applyFill="1" applyBorder="1" applyAlignment="1">
      <alignment horizontal="left"/>
      <protection/>
    </xf>
    <xf numFmtId="0" fontId="9" fillId="0" borderId="0" xfId="195" applyFont="1" applyBorder="1" applyAlignment="1">
      <alignment vertical="top"/>
      <protection/>
    </xf>
    <xf numFmtId="0" fontId="9" fillId="0" borderId="0" xfId="195" applyFont="1" applyAlignment="1">
      <alignment vertical="top" wrapText="1"/>
      <protection/>
    </xf>
    <xf numFmtId="0" fontId="9" fillId="0" borderId="0" xfId="195" applyFont="1">
      <alignment/>
      <protection/>
    </xf>
    <xf numFmtId="0" fontId="1" fillId="0" borderId="0" xfId="195" applyFont="1">
      <alignment/>
      <protection/>
    </xf>
    <xf numFmtId="0" fontId="8" fillId="0" borderId="0" xfId="195" applyFont="1" applyBorder="1" applyAlignment="1" quotePrefix="1">
      <alignment horizontal="right" vertical="top"/>
      <protection/>
    </xf>
    <xf numFmtId="0" fontId="1" fillId="0" borderId="0" xfId="195" applyFont="1" applyAlignment="1">
      <alignment vertical="top"/>
      <protection/>
    </xf>
    <xf numFmtId="0" fontId="15" fillId="0" borderId="0" xfId="195" applyFont="1" applyBorder="1">
      <alignment/>
      <protection/>
    </xf>
    <xf numFmtId="0" fontId="1" fillId="0" borderId="0" xfId="195" applyFont="1" applyFill="1" applyBorder="1">
      <alignment/>
      <protection/>
    </xf>
    <xf numFmtId="0" fontId="1" fillId="0" borderId="17" xfId="195" applyFont="1" applyBorder="1" applyAlignment="1">
      <alignment horizontal="center"/>
      <protection/>
    </xf>
    <xf numFmtId="0" fontId="1" fillId="0" borderId="0" xfId="195" applyFont="1" applyAlignment="1">
      <alignment/>
      <protection/>
    </xf>
    <xf numFmtId="0" fontId="1" fillId="0" borderId="0" xfId="195" applyFont="1" applyBorder="1" applyAlignment="1">
      <alignment horizontal="right" vertical="center"/>
      <protection/>
    </xf>
    <xf numFmtId="0" fontId="14" fillId="0" borderId="0" xfId="195" applyFont="1">
      <alignment/>
      <protection/>
    </xf>
    <xf numFmtId="0" fontId="1" fillId="0" borderId="0" xfId="195" applyFont="1" applyBorder="1" applyAlignment="1">
      <alignment horizontal="right"/>
      <protection/>
    </xf>
    <xf numFmtId="0" fontId="0" fillId="0" borderId="31" xfId="195" applyFill="1" applyBorder="1">
      <alignment/>
      <protection/>
    </xf>
    <xf numFmtId="1" fontId="15" fillId="73" borderId="27" xfId="195" applyNumberFormat="1" applyFont="1" applyFill="1" applyBorder="1" applyAlignment="1">
      <alignment horizontal="center"/>
      <protection/>
    </xf>
    <xf numFmtId="1" fontId="15" fillId="73" borderId="33" xfId="195" applyNumberFormat="1" applyFont="1" applyFill="1" applyBorder="1" applyAlignment="1">
      <alignment horizontal="center"/>
      <protection/>
    </xf>
    <xf numFmtId="0" fontId="16" fillId="73" borderId="27" xfId="195" applyFont="1" applyFill="1" applyBorder="1" applyAlignment="1">
      <alignment horizontal="center" wrapText="1"/>
      <protection/>
    </xf>
    <xf numFmtId="1" fontId="15" fillId="0" borderId="0" xfId="195" applyNumberFormat="1" applyFont="1" applyFill="1" applyBorder="1" applyAlignment="1">
      <alignment horizontal="center" vertical="center"/>
      <protection/>
    </xf>
    <xf numFmtId="0" fontId="1" fillId="0" borderId="0" xfId="195" applyFont="1" applyBorder="1">
      <alignment/>
      <protection/>
    </xf>
    <xf numFmtId="1" fontId="15" fillId="73" borderId="34" xfId="195" applyNumberFormat="1" applyFont="1" applyFill="1" applyBorder="1" applyAlignment="1">
      <alignment horizontal="center" vertical="center"/>
      <protection/>
    </xf>
    <xf numFmtId="1" fontId="15" fillId="73" borderId="6" xfId="195" applyNumberFormat="1" applyFont="1" applyFill="1" applyBorder="1" applyAlignment="1">
      <alignment horizontal="center" vertical="center"/>
      <protection/>
    </xf>
    <xf numFmtId="1" fontId="15" fillId="73" borderId="0" xfId="195" applyNumberFormat="1" applyFont="1" applyFill="1" applyBorder="1" applyAlignment="1">
      <alignment horizontal="center" vertical="center"/>
      <protection/>
    </xf>
    <xf numFmtId="0" fontId="15" fillId="73" borderId="6" xfId="195" applyFont="1" applyFill="1" applyBorder="1" applyAlignment="1">
      <alignment horizontal="center" vertical="top"/>
      <protection/>
    </xf>
    <xf numFmtId="164" fontId="15" fillId="51" borderId="27" xfId="195" applyNumberFormat="1" applyFont="1" applyFill="1" applyBorder="1" applyAlignment="1">
      <alignment horizontal="right" vertical="center"/>
      <protection/>
    </xf>
    <xf numFmtId="164" fontId="15" fillId="51" borderId="33" xfId="195" applyNumberFormat="1" applyFont="1" applyFill="1" applyBorder="1" applyAlignment="1">
      <alignment horizontal="right" vertical="center"/>
      <protection/>
    </xf>
    <xf numFmtId="164" fontId="15" fillId="51" borderId="6" xfId="195" applyNumberFormat="1" applyFont="1" applyFill="1" applyBorder="1" applyAlignment="1">
      <alignment horizontal="right" vertical="center"/>
      <protection/>
    </xf>
    <xf numFmtId="164" fontId="15" fillId="51" borderId="0" xfId="195" applyNumberFormat="1" applyFont="1" applyFill="1" applyBorder="1" applyAlignment="1">
      <alignment horizontal="right" vertical="center"/>
      <protection/>
    </xf>
    <xf numFmtId="164" fontId="15" fillId="51" borderId="34" xfId="195" applyNumberFormat="1" applyFont="1" applyFill="1" applyBorder="1" applyAlignment="1">
      <alignment horizontal="right" vertical="center"/>
      <protection/>
    </xf>
    <xf numFmtId="164" fontId="15" fillId="51" borderId="17" xfId="195" applyNumberFormat="1" applyFont="1" applyFill="1" applyBorder="1" applyAlignment="1">
      <alignment horizontal="right" vertical="center"/>
      <protection/>
    </xf>
    <xf numFmtId="2" fontId="1" fillId="0" borderId="6" xfId="195" applyNumberFormat="1" applyFont="1" applyBorder="1" applyAlignment="1">
      <alignment horizontal="right" vertical="center"/>
      <protection/>
    </xf>
    <xf numFmtId="164" fontId="1" fillId="0" borderId="0" xfId="195" applyNumberFormat="1" applyFont="1" applyBorder="1" applyAlignment="1">
      <alignment horizontal="right" vertical="center"/>
      <protection/>
    </xf>
    <xf numFmtId="164" fontId="1" fillId="0" borderId="6" xfId="195" applyNumberFormat="1" applyFont="1" applyBorder="1" applyAlignment="1">
      <alignment horizontal="right" vertical="center"/>
      <protection/>
    </xf>
    <xf numFmtId="2" fontId="1" fillId="51" borderId="6" xfId="195" applyNumberFormat="1" applyFont="1" applyFill="1" applyBorder="1" applyAlignment="1">
      <alignment horizontal="right" vertical="center"/>
      <protection/>
    </xf>
    <xf numFmtId="164" fontId="1" fillId="51" borderId="0" xfId="195" applyNumberFormat="1" applyFont="1" applyFill="1" applyBorder="1" applyAlignment="1">
      <alignment horizontal="right" vertical="center"/>
      <protection/>
    </xf>
    <xf numFmtId="164" fontId="1" fillId="51" borderId="38" xfId="195" applyNumberFormat="1" applyFont="1" applyFill="1" applyBorder="1" applyAlignment="1">
      <alignment horizontal="right" vertical="center"/>
      <protection/>
    </xf>
    <xf numFmtId="164" fontId="1" fillId="51" borderId="6" xfId="195" applyNumberFormat="1" applyFont="1" applyFill="1" applyBorder="1" applyAlignment="1">
      <alignment horizontal="right" vertical="center"/>
      <protection/>
    </xf>
    <xf numFmtId="2" fontId="1" fillId="0" borderId="6" xfId="195" applyNumberFormat="1" applyFont="1" applyFill="1" applyBorder="1" applyAlignment="1">
      <alignment horizontal="right" vertical="center"/>
      <protection/>
    </xf>
    <xf numFmtId="164" fontId="1" fillId="0" borderId="0" xfId="195" applyNumberFormat="1" applyFont="1" applyFill="1" applyBorder="1" applyAlignment="1">
      <alignment horizontal="right" vertical="center"/>
      <protection/>
    </xf>
    <xf numFmtId="164" fontId="17" fillId="0" borderId="0" xfId="195" applyNumberFormat="1" applyFont="1" applyFill="1" applyBorder="1" applyAlignment="1">
      <alignment horizontal="right" vertical="center"/>
      <protection/>
    </xf>
    <xf numFmtId="164" fontId="1" fillId="0" borderId="6" xfId="195" applyNumberFormat="1" applyFont="1" applyFill="1" applyBorder="1" applyAlignment="1">
      <alignment horizontal="right" vertical="center"/>
      <protection/>
    </xf>
    <xf numFmtId="0" fontId="15" fillId="76" borderId="6" xfId="195" applyFont="1" applyFill="1" applyBorder="1" applyAlignment="1">
      <alignment horizontal="center" vertical="center"/>
      <protection/>
    </xf>
    <xf numFmtId="2" fontId="1" fillId="76" borderId="6" xfId="195" applyNumberFormat="1" applyFont="1" applyFill="1" applyBorder="1" applyAlignment="1">
      <alignment horizontal="right" vertical="center"/>
      <protection/>
    </xf>
    <xf numFmtId="164" fontId="1" fillId="76" borderId="0" xfId="195" applyNumberFormat="1" applyFont="1" applyFill="1" applyBorder="1" applyAlignment="1">
      <alignment horizontal="right" vertical="center"/>
      <protection/>
    </xf>
    <xf numFmtId="164" fontId="1" fillId="76" borderId="6" xfId="195" applyNumberFormat="1" applyFont="1" applyFill="1" applyBorder="1" applyAlignment="1">
      <alignment horizontal="right" vertical="center"/>
      <protection/>
    </xf>
    <xf numFmtId="164" fontId="1" fillId="51" borderId="31" xfId="195" applyNumberFormat="1" applyFont="1" applyFill="1" applyBorder="1" applyAlignment="1">
      <alignment horizontal="right" vertical="center"/>
      <protection/>
    </xf>
    <xf numFmtId="164" fontId="1" fillId="0" borderId="37" xfId="195" applyNumberFormat="1" applyFont="1" applyFill="1" applyBorder="1" applyAlignment="1">
      <alignment horizontal="right" vertical="center"/>
      <protection/>
    </xf>
    <xf numFmtId="164" fontId="1" fillId="0" borderId="31" xfId="195" applyNumberFormat="1" applyFont="1" applyFill="1" applyBorder="1" applyAlignment="1">
      <alignment horizontal="right" vertical="center"/>
      <protection/>
    </xf>
    <xf numFmtId="164" fontId="1" fillId="51" borderId="37" xfId="195" applyNumberFormat="1" applyFont="1" applyFill="1" applyBorder="1" applyAlignment="1">
      <alignment horizontal="right" vertical="center"/>
      <protection/>
    </xf>
    <xf numFmtId="164" fontId="17" fillId="51" borderId="37" xfId="195" applyNumberFormat="1" applyFont="1" applyFill="1" applyBorder="1" applyAlignment="1">
      <alignment horizontal="right" vertical="center"/>
      <protection/>
    </xf>
    <xf numFmtId="164" fontId="17" fillId="51" borderId="0" xfId="195" applyNumberFormat="1" applyFont="1" applyFill="1" applyBorder="1" applyAlignment="1">
      <alignment horizontal="right" vertical="center"/>
      <protection/>
    </xf>
    <xf numFmtId="164" fontId="17" fillId="51" borderId="31" xfId="195" applyNumberFormat="1" applyFont="1" applyFill="1" applyBorder="1" applyAlignment="1">
      <alignment horizontal="right" vertical="center"/>
      <protection/>
    </xf>
    <xf numFmtId="164" fontId="17" fillId="51" borderId="6" xfId="195" applyNumberFormat="1" applyFont="1" applyFill="1" applyBorder="1" applyAlignment="1">
      <alignment horizontal="right" vertical="center"/>
      <protection/>
    </xf>
    <xf numFmtId="164" fontId="1" fillId="76" borderId="31" xfId="195" applyNumberFormat="1" applyFont="1" applyFill="1" applyBorder="1" applyAlignment="1">
      <alignment horizontal="right" vertical="center"/>
      <protection/>
    </xf>
    <xf numFmtId="0" fontId="15" fillId="75" borderId="6" xfId="195" applyFont="1" applyFill="1" applyBorder="1" applyAlignment="1">
      <alignment horizontal="center" vertical="center"/>
      <protection/>
    </xf>
    <xf numFmtId="2" fontId="1" fillId="75" borderId="6" xfId="195" applyNumberFormat="1" applyFont="1" applyFill="1" applyBorder="1" applyAlignment="1">
      <alignment horizontal="right" vertical="center"/>
      <protection/>
    </xf>
    <xf numFmtId="164" fontId="1" fillId="75" borderId="0" xfId="195" applyNumberFormat="1" applyFont="1" applyFill="1" applyBorder="1" applyAlignment="1">
      <alignment horizontal="right" vertical="center"/>
      <protection/>
    </xf>
    <xf numFmtId="164" fontId="1" fillId="75" borderId="38" xfId="195" applyNumberFormat="1" applyFont="1" applyFill="1" applyBorder="1" applyAlignment="1">
      <alignment horizontal="right" vertical="center"/>
      <protection/>
    </xf>
    <xf numFmtId="164" fontId="1" fillId="75" borderId="17" xfId="195" applyNumberFormat="1" applyFont="1" applyFill="1" applyBorder="1" applyAlignment="1">
      <alignment horizontal="right" vertical="center"/>
      <protection/>
    </xf>
    <xf numFmtId="164" fontId="1" fillId="75" borderId="35" xfId="195" applyNumberFormat="1" applyFont="1" applyFill="1" applyBorder="1" applyAlignment="1">
      <alignment horizontal="right" vertical="center"/>
      <protection/>
    </xf>
    <xf numFmtId="164" fontId="1" fillId="75" borderId="6" xfId="195" applyNumberFormat="1" applyFont="1" applyFill="1" applyBorder="1" applyAlignment="1">
      <alignment horizontal="right"/>
      <protection/>
    </xf>
    <xf numFmtId="0" fontId="15" fillId="75" borderId="27" xfId="195" applyFont="1" applyFill="1" applyBorder="1" applyAlignment="1">
      <alignment horizontal="center" vertical="center"/>
      <protection/>
    </xf>
    <xf numFmtId="2" fontId="1" fillId="75" borderId="27" xfId="195" applyNumberFormat="1" applyFont="1" applyFill="1" applyBorder="1" applyAlignment="1">
      <alignment horizontal="right" vertical="center"/>
      <protection/>
    </xf>
    <xf numFmtId="164" fontId="1" fillId="75" borderId="33" xfId="195" applyNumberFormat="1" applyFont="1" applyFill="1" applyBorder="1" applyAlignment="1">
      <alignment horizontal="right" vertical="center"/>
      <protection/>
    </xf>
    <xf numFmtId="164" fontId="1" fillId="75" borderId="27" xfId="195" applyNumberFormat="1" applyFont="1" applyFill="1" applyBorder="1" applyAlignment="1">
      <alignment horizontal="right"/>
      <protection/>
    </xf>
    <xf numFmtId="164" fontId="1" fillId="0" borderId="6" xfId="195" applyNumberFormat="1" applyFont="1" applyBorder="1" applyAlignment="1">
      <alignment horizontal="right"/>
      <protection/>
    </xf>
    <xf numFmtId="2" fontId="1" fillId="51" borderId="34" xfId="195" applyNumberFormat="1" applyFont="1" applyFill="1" applyBorder="1" applyAlignment="1">
      <alignment horizontal="right" vertical="center"/>
      <protection/>
    </xf>
    <xf numFmtId="164" fontId="1" fillId="51" borderId="34" xfId="195" applyNumberFormat="1" applyFont="1" applyFill="1" applyBorder="1" applyAlignment="1">
      <alignment horizontal="right" vertical="center"/>
      <protection/>
    </xf>
    <xf numFmtId="2" fontId="1" fillId="0" borderId="27" xfId="195" applyNumberFormat="1" applyFont="1" applyFill="1" applyBorder="1" applyAlignment="1">
      <alignment horizontal="right" vertical="center"/>
      <protection/>
    </xf>
    <xf numFmtId="164" fontId="1" fillId="0" borderId="33" xfId="195" applyNumberFormat="1" applyFont="1" applyFill="1" applyBorder="1" applyAlignment="1">
      <alignment horizontal="right" vertical="center"/>
      <protection/>
    </xf>
    <xf numFmtId="0" fontId="15" fillId="0" borderId="34" xfId="195" applyFont="1" applyFill="1" applyBorder="1" applyAlignment="1">
      <alignment horizontal="center" vertical="center"/>
      <protection/>
    </xf>
    <xf numFmtId="2" fontId="1" fillId="0" borderId="34" xfId="195" applyNumberFormat="1" applyFont="1" applyFill="1" applyBorder="1" applyAlignment="1">
      <alignment horizontal="right" vertical="center"/>
      <protection/>
    </xf>
    <xf numFmtId="164" fontId="1" fillId="0" borderId="46" xfId="195" applyNumberFormat="1" applyFont="1" applyFill="1" applyBorder="1" applyAlignment="1">
      <alignment horizontal="right" vertical="center"/>
      <protection/>
    </xf>
    <xf numFmtId="164" fontId="1" fillId="0" borderId="17" xfId="195" applyNumberFormat="1" applyFont="1" applyFill="1" applyBorder="1" applyAlignment="1">
      <alignment horizontal="right" vertical="center"/>
      <protection/>
    </xf>
    <xf numFmtId="164" fontId="1" fillId="0" borderId="17" xfId="195" applyNumberFormat="1" applyFont="1" applyBorder="1" applyAlignment="1">
      <alignment horizontal="right" vertical="center"/>
      <protection/>
    </xf>
    <xf numFmtId="0" fontId="15" fillId="0" borderId="0" xfId="195" applyNumberFormat="1" applyFont="1" applyAlignment="1">
      <alignment vertical="top"/>
      <protection/>
    </xf>
    <xf numFmtId="0" fontId="15" fillId="0" borderId="0" xfId="195" applyNumberFormat="1" applyFont="1" applyBorder="1" applyAlignment="1">
      <alignment horizontal="left" vertical="top"/>
      <protection/>
    </xf>
    <xf numFmtId="0" fontId="1" fillId="0" borderId="0" xfId="195" applyNumberFormat="1" applyFont="1" applyAlignment="1">
      <alignment vertical="top"/>
      <protection/>
    </xf>
    <xf numFmtId="0" fontId="15" fillId="0" borderId="0" xfId="195" applyFont="1">
      <alignment/>
      <protection/>
    </xf>
    <xf numFmtId="1" fontId="26" fillId="77" borderId="33" xfId="195" applyNumberFormat="1" applyFont="1" applyFill="1" applyBorder="1" applyAlignment="1">
      <alignment horizontal="center" vertical="center"/>
      <protection/>
    </xf>
    <xf numFmtId="9" fontId="1" fillId="0" borderId="0" xfId="195" applyNumberFormat="1" applyFont="1" applyAlignment="1">
      <alignment horizontal="center"/>
      <protection/>
    </xf>
    <xf numFmtId="9" fontId="1" fillId="0" borderId="0" xfId="195" applyNumberFormat="1" applyFont="1" applyAlignment="1">
      <alignment horizontal="center" vertical="top"/>
      <protection/>
    </xf>
    <xf numFmtId="0" fontId="13" fillId="0" borderId="0" xfId="195" applyNumberFormat="1" applyFont="1" applyBorder="1" applyAlignment="1">
      <alignment horizontal="center" vertical="top"/>
      <protection/>
    </xf>
    <xf numFmtId="0" fontId="0" fillId="0" borderId="0" xfId="195" applyBorder="1">
      <alignment/>
      <protection/>
    </xf>
    <xf numFmtId="164" fontId="18" fillId="51" borderId="33" xfId="195" applyNumberFormat="1" applyFont="1" applyFill="1" applyBorder="1" applyAlignment="1">
      <alignment horizontal="right" vertical="center"/>
      <protection/>
    </xf>
    <xf numFmtId="164" fontId="18" fillId="51" borderId="27" xfId="195" applyNumberFormat="1" applyFont="1" applyFill="1" applyBorder="1" applyAlignment="1">
      <alignment horizontal="right" vertical="center"/>
      <protection/>
    </xf>
    <xf numFmtId="164" fontId="18" fillId="51" borderId="0" xfId="195" applyNumberFormat="1" applyFont="1" applyFill="1" applyBorder="1" applyAlignment="1">
      <alignment horizontal="right" vertical="center"/>
      <protection/>
    </xf>
    <xf numFmtId="164" fontId="18" fillId="51" borderId="6" xfId="195" applyNumberFormat="1" applyFont="1" applyFill="1" applyBorder="1" applyAlignment="1">
      <alignment horizontal="right" vertical="center"/>
      <protection/>
    </xf>
    <xf numFmtId="164" fontId="18" fillId="51" borderId="17" xfId="195" applyNumberFormat="1" applyFont="1" applyFill="1" applyBorder="1" applyAlignment="1">
      <alignment horizontal="right" vertical="center"/>
      <protection/>
    </xf>
    <xf numFmtId="164" fontId="18" fillId="51" borderId="34" xfId="195" applyNumberFormat="1" applyFont="1" applyFill="1" applyBorder="1" applyAlignment="1">
      <alignment horizontal="right" vertical="center"/>
      <protection/>
    </xf>
    <xf numFmtId="164" fontId="17" fillId="0" borderId="0" xfId="195" applyNumberFormat="1" applyFont="1" applyBorder="1" applyAlignment="1">
      <alignment horizontal="right" vertical="center"/>
      <protection/>
    </xf>
    <xf numFmtId="164" fontId="17" fillId="0" borderId="6" xfId="195" applyNumberFormat="1" applyFont="1" applyBorder="1" applyAlignment="1">
      <alignment horizontal="right" vertical="center"/>
      <protection/>
    </xf>
    <xf numFmtId="164" fontId="1" fillId="0" borderId="39" xfId="195" applyNumberFormat="1" applyFont="1" applyFill="1" applyBorder="1" applyAlignment="1">
      <alignment horizontal="right" vertical="center"/>
      <protection/>
    </xf>
    <xf numFmtId="164" fontId="1" fillId="0" borderId="38" xfId="195" applyNumberFormat="1" applyFont="1" applyFill="1" applyBorder="1" applyAlignment="1">
      <alignment horizontal="right" vertical="center"/>
      <protection/>
    </xf>
    <xf numFmtId="164" fontId="1" fillId="51" borderId="6" xfId="195" applyNumberFormat="1" applyFont="1" applyFill="1" applyBorder="1" applyAlignment="1">
      <alignment horizontal="center" vertical="center"/>
      <protection/>
    </xf>
    <xf numFmtId="164" fontId="1" fillId="0" borderId="6" xfId="195" applyNumberFormat="1" applyFont="1" applyBorder="1" applyAlignment="1">
      <alignment horizontal="center" vertical="center"/>
      <protection/>
    </xf>
    <xf numFmtId="164" fontId="1" fillId="51" borderId="39" xfId="195" applyNumberFormat="1" applyFont="1" applyFill="1" applyBorder="1" applyAlignment="1">
      <alignment horizontal="right" vertical="center"/>
      <protection/>
    </xf>
    <xf numFmtId="164" fontId="1" fillId="0" borderId="6" xfId="195" applyNumberFormat="1" applyFont="1" applyFill="1" applyBorder="1" applyAlignment="1">
      <alignment horizontal="center" vertical="center"/>
      <protection/>
    </xf>
    <xf numFmtId="164" fontId="17" fillId="51" borderId="6" xfId="195" applyNumberFormat="1" applyFont="1" applyFill="1" applyBorder="1" applyAlignment="1">
      <alignment horizontal="center" vertical="center"/>
      <protection/>
    </xf>
    <xf numFmtId="164" fontId="17" fillId="76" borderId="0" xfId="195" applyNumberFormat="1" applyFont="1" applyFill="1" applyBorder="1" applyAlignment="1">
      <alignment horizontal="right" vertical="center"/>
      <protection/>
    </xf>
    <xf numFmtId="164" fontId="17" fillId="76" borderId="31" xfId="195" applyNumberFormat="1" applyFont="1" applyFill="1" applyBorder="1" applyAlignment="1">
      <alignment horizontal="right" vertical="center"/>
      <protection/>
    </xf>
    <xf numFmtId="164" fontId="17" fillId="76" borderId="6" xfId="195" applyNumberFormat="1" applyFont="1" applyFill="1" applyBorder="1" applyAlignment="1">
      <alignment horizontal="right" vertical="center"/>
      <protection/>
    </xf>
    <xf numFmtId="164" fontId="1" fillId="76" borderId="6" xfId="195" applyNumberFormat="1" applyFont="1" applyFill="1" applyBorder="1" applyAlignment="1">
      <alignment horizontal="center" vertical="center"/>
      <protection/>
    </xf>
    <xf numFmtId="164" fontId="17" fillId="75" borderId="0" xfId="195" applyNumberFormat="1" applyFont="1" applyFill="1" applyBorder="1" applyAlignment="1">
      <alignment horizontal="right" vertical="center"/>
      <protection/>
    </xf>
    <xf numFmtId="164" fontId="17" fillId="75" borderId="31" xfId="195" applyNumberFormat="1" applyFont="1" applyFill="1" applyBorder="1" applyAlignment="1">
      <alignment horizontal="right" vertical="center"/>
      <protection/>
    </xf>
    <xf numFmtId="0" fontId="15" fillId="0" borderId="27" xfId="195" applyFont="1" applyFill="1" applyBorder="1" applyAlignment="1">
      <alignment horizontal="center" vertical="center"/>
      <protection/>
    </xf>
    <xf numFmtId="164" fontId="1" fillId="0" borderId="43" xfId="195" applyNumberFormat="1" applyFont="1" applyFill="1" applyBorder="1" applyAlignment="1">
      <alignment horizontal="right" vertical="center"/>
      <protection/>
    </xf>
    <xf numFmtId="164" fontId="1" fillId="0" borderId="27" xfId="195" applyNumberFormat="1" applyFont="1" applyFill="1" applyBorder="1" applyAlignment="1">
      <alignment horizontal="center"/>
      <protection/>
    </xf>
    <xf numFmtId="164" fontId="1" fillId="75" borderId="31" xfId="195" applyNumberFormat="1" applyFont="1" applyFill="1" applyBorder="1" applyAlignment="1">
      <alignment horizontal="right" vertical="center"/>
      <protection/>
    </xf>
    <xf numFmtId="164" fontId="1" fillId="75" borderId="6" xfId="195" applyNumberFormat="1" applyFont="1" applyFill="1" applyBorder="1" applyAlignment="1">
      <alignment horizontal="center" vertical="center"/>
      <protection/>
    </xf>
    <xf numFmtId="164" fontId="17" fillId="0" borderId="31" xfId="195" applyNumberFormat="1" applyFont="1" applyFill="1" applyBorder="1" applyAlignment="1">
      <alignment horizontal="right" vertical="center"/>
      <protection/>
    </xf>
    <xf numFmtId="164" fontId="1" fillId="0" borderId="35" xfId="195" applyNumberFormat="1" applyFont="1" applyFill="1" applyBorder="1" applyAlignment="1">
      <alignment horizontal="right" vertical="center"/>
      <protection/>
    </xf>
    <xf numFmtId="164" fontId="1" fillId="0" borderId="34" xfId="195" applyNumberFormat="1" applyFont="1" applyFill="1" applyBorder="1" applyAlignment="1">
      <alignment horizontal="right" vertical="center"/>
      <protection/>
    </xf>
    <xf numFmtId="0" fontId="15" fillId="75" borderId="34" xfId="195" applyFont="1" applyFill="1" applyBorder="1" applyAlignment="1">
      <alignment horizontal="center" vertical="center"/>
      <protection/>
    </xf>
    <xf numFmtId="2" fontId="1" fillId="75" borderId="34" xfId="195" applyNumberFormat="1" applyFont="1" applyFill="1" applyBorder="1" applyAlignment="1">
      <alignment horizontal="right" vertical="center"/>
      <protection/>
    </xf>
    <xf numFmtId="164" fontId="1" fillId="75" borderId="36" xfId="195" applyNumberFormat="1" applyFont="1" applyFill="1" applyBorder="1" applyAlignment="1">
      <alignment horizontal="right" vertical="center"/>
      <protection/>
    </xf>
    <xf numFmtId="164" fontId="1" fillId="75" borderId="47" xfId="195" applyNumberFormat="1" applyFont="1" applyFill="1" applyBorder="1" applyAlignment="1">
      <alignment horizontal="right" vertical="center"/>
      <protection/>
    </xf>
    <xf numFmtId="164" fontId="1" fillId="75" borderId="34" xfId="195" applyNumberFormat="1" applyFont="1" applyFill="1" applyBorder="1" applyAlignment="1">
      <alignment horizontal="right"/>
      <protection/>
    </xf>
    <xf numFmtId="0" fontId="15" fillId="0" borderId="0" xfId="195" applyFont="1" applyBorder="1" applyAlignment="1">
      <alignment horizontal="left" wrapText="1"/>
      <protection/>
    </xf>
    <xf numFmtId="0" fontId="15" fillId="0" borderId="0" xfId="195" applyFont="1" applyAlignment="1">
      <alignment vertical="top"/>
      <protection/>
    </xf>
    <xf numFmtId="2" fontId="1" fillId="51" borderId="37" xfId="195" applyNumberFormat="1" applyFont="1" applyFill="1" applyBorder="1" applyAlignment="1">
      <alignment horizontal="right" vertical="center"/>
      <protection/>
    </xf>
    <xf numFmtId="2" fontId="1" fillId="76" borderId="37" xfId="195" applyNumberFormat="1" applyFont="1" applyFill="1" applyBorder="1" applyAlignment="1">
      <alignment horizontal="right" vertical="center"/>
      <protection/>
    </xf>
    <xf numFmtId="2" fontId="1" fillId="0" borderId="37" xfId="195" applyNumberFormat="1" applyFont="1" applyBorder="1" applyAlignment="1">
      <alignment horizontal="right" vertical="center"/>
      <protection/>
    </xf>
    <xf numFmtId="2" fontId="1" fillId="0" borderId="38" xfId="195" applyNumberFormat="1" applyFont="1" applyBorder="1" applyAlignment="1">
      <alignment horizontal="right" vertical="center"/>
      <protection/>
    </xf>
    <xf numFmtId="164" fontId="1" fillId="76" borderId="37" xfId="195" applyNumberFormat="1" applyFont="1" applyFill="1" applyBorder="1" applyAlignment="1">
      <alignment horizontal="right" vertical="center"/>
      <protection/>
    </xf>
    <xf numFmtId="164" fontId="1" fillId="0" borderId="37" xfId="195" applyNumberFormat="1" applyFont="1" applyBorder="1" applyAlignment="1">
      <alignment horizontal="right" vertical="center"/>
      <protection/>
    </xf>
    <xf numFmtId="164" fontId="17" fillId="51" borderId="38" xfId="195" applyNumberFormat="1" applyFont="1" applyFill="1" applyBorder="1" applyAlignment="1">
      <alignment horizontal="right" vertical="center"/>
      <protection/>
    </xf>
    <xf numFmtId="164" fontId="1" fillId="0" borderId="38" xfId="195" applyNumberFormat="1" applyFont="1" applyBorder="1" applyAlignment="1">
      <alignment horizontal="right" vertical="center"/>
      <protection/>
    </xf>
    <xf numFmtId="164" fontId="1" fillId="0" borderId="31" xfId="195" applyNumberFormat="1" applyFont="1" applyBorder="1" applyAlignment="1">
      <alignment horizontal="right" vertical="center"/>
      <protection/>
    </xf>
    <xf numFmtId="0" fontId="9" fillId="0" borderId="0" xfId="195" applyFont="1" applyAlignment="1">
      <alignment vertical="top"/>
      <protection/>
    </xf>
    <xf numFmtId="0" fontId="8" fillId="0" borderId="0" xfId="195" applyFont="1" applyAlignment="1" quotePrefix="1">
      <alignment horizontal="right" vertical="top"/>
      <protection/>
    </xf>
    <xf numFmtId="0" fontId="0" fillId="0" borderId="0" xfId="195" applyFill="1">
      <alignment/>
      <protection/>
    </xf>
    <xf numFmtId="0" fontId="15" fillId="73" borderId="28" xfId="195" applyFont="1" applyFill="1" applyBorder="1" applyAlignment="1">
      <alignment horizontal="center" vertical="center" wrapText="1"/>
      <protection/>
    </xf>
    <xf numFmtId="0" fontId="15" fillId="73" borderId="24" xfId="195" applyFont="1" applyFill="1" applyBorder="1" applyAlignment="1">
      <alignment horizontal="center" vertical="center" wrapText="1"/>
      <protection/>
    </xf>
    <xf numFmtId="0" fontId="15" fillId="73" borderId="48" xfId="195" applyFont="1" applyFill="1" applyBorder="1" applyAlignment="1">
      <alignment horizontal="center" vertical="center" wrapText="1"/>
      <protection/>
    </xf>
    <xf numFmtId="0" fontId="15" fillId="0" borderId="0" xfId="195" applyFont="1" applyFill="1" applyBorder="1" applyAlignment="1">
      <alignment horizontal="center" vertical="center" wrapText="1"/>
      <protection/>
    </xf>
    <xf numFmtId="164" fontId="18" fillId="51" borderId="33" xfId="195" applyNumberFormat="1" applyFont="1" applyFill="1" applyBorder="1" applyAlignment="1">
      <alignment horizontal="right"/>
      <protection/>
    </xf>
    <xf numFmtId="164" fontId="0" fillId="0" borderId="0" xfId="195" applyNumberFormat="1">
      <alignment/>
      <protection/>
    </xf>
    <xf numFmtId="164" fontId="18" fillId="51" borderId="0" xfId="195" applyNumberFormat="1" applyFont="1" applyFill="1" applyBorder="1" applyAlignment="1">
      <alignment horizontal="right"/>
      <protection/>
    </xf>
    <xf numFmtId="164" fontId="18" fillId="51" borderId="17" xfId="195" applyNumberFormat="1" applyFont="1" applyFill="1" applyBorder="1" applyAlignment="1">
      <alignment horizontal="right"/>
      <protection/>
    </xf>
    <xf numFmtId="164" fontId="17" fillId="51" borderId="0" xfId="195" applyNumberFormat="1" applyFont="1" applyFill="1" applyBorder="1" applyAlignment="1">
      <alignment horizontal="right"/>
      <protection/>
    </xf>
    <xf numFmtId="164" fontId="17" fillId="0" borderId="0" xfId="195" applyNumberFormat="1" applyFont="1" applyFill="1" applyBorder="1" applyAlignment="1">
      <alignment horizontal="center" vertical="center"/>
      <protection/>
    </xf>
    <xf numFmtId="164" fontId="17" fillId="75" borderId="0" xfId="195" applyNumberFormat="1" applyFont="1" applyFill="1" applyBorder="1" applyAlignment="1">
      <alignment horizontal="center" vertical="center"/>
      <protection/>
    </xf>
    <xf numFmtId="164" fontId="17" fillId="0" borderId="33" xfId="195" applyNumberFormat="1" applyFont="1" applyFill="1" applyBorder="1" applyAlignment="1">
      <alignment horizontal="right" vertical="center"/>
      <protection/>
    </xf>
    <xf numFmtId="164" fontId="17" fillId="0" borderId="33" xfId="195" applyNumberFormat="1" applyFont="1" applyFill="1" applyBorder="1" applyAlignment="1">
      <alignment horizontal="center" vertical="center"/>
      <protection/>
    </xf>
    <xf numFmtId="164" fontId="17" fillId="0" borderId="17" xfId="195" applyNumberFormat="1" applyFont="1" applyFill="1" applyBorder="1" applyAlignment="1">
      <alignment horizontal="right" vertical="center"/>
      <protection/>
    </xf>
    <xf numFmtId="164" fontId="17" fillId="75" borderId="33" xfId="195" applyNumberFormat="1" applyFont="1" applyFill="1" applyBorder="1" applyAlignment="1">
      <alignment horizontal="right" vertical="center"/>
      <protection/>
    </xf>
    <xf numFmtId="164" fontId="17" fillId="75" borderId="17" xfId="195" applyNumberFormat="1" applyFont="1" applyFill="1" applyBorder="1" applyAlignment="1">
      <alignment horizontal="right" vertical="center"/>
      <protection/>
    </xf>
    <xf numFmtId="0" fontId="15" fillId="0" borderId="0" xfId="195" applyFont="1" applyAlignment="1">
      <alignment/>
      <protection/>
    </xf>
    <xf numFmtId="0" fontId="15" fillId="0" borderId="0" xfId="195" applyFont="1" applyAlignment="1">
      <alignment horizontal="left"/>
      <protection/>
    </xf>
    <xf numFmtId="0" fontId="15" fillId="0" borderId="0" xfId="195" applyFont="1" applyAlignment="1">
      <alignment horizontal="left" vertical="center"/>
      <protection/>
    </xf>
    <xf numFmtId="2" fontId="1" fillId="0" borderId="0" xfId="195" applyNumberFormat="1" applyFont="1" applyBorder="1" applyAlignment="1">
      <alignment vertical="center"/>
      <protection/>
    </xf>
    <xf numFmtId="0" fontId="15" fillId="51" borderId="9" xfId="195" applyFont="1" applyFill="1" applyBorder="1" applyAlignment="1">
      <alignment horizontal="center"/>
      <protection/>
    </xf>
    <xf numFmtId="164" fontId="18" fillId="51" borderId="24" xfId="195" applyNumberFormat="1" applyFont="1" applyFill="1" applyBorder="1" applyAlignment="1">
      <alignment horizontal="center"/>
      <protection/>
    </xf>
    <xf numFmtId="0" fontId="15" fillId="51" borderId="9" xfId="195" applyFont="1" applyFill="1" applyBorder="1" applyAlignment="1">
      <alignment horizontal="center" vertical="center"/>
      <protection/>
    </xf>
    <xf numFmtId="164" fontId="18" fillId="51" borderId="24" xfId="195" applyNumberFormat="1" applyFont="1" applyFill="1" applyBorder="1" applyAlignment="1">
      <alignment horizontal="center" vertical="center"/>
      <protection/>
    </xf>
    <xf numFmtId="164" fontId="0" fillId="0" borderId="0" xfId="195" applyNumberFormat="1" applyFont="1" applyFill="1" applyBorder="1" applyAlignment="1">
      <alignment horizontal="center" vertical="center"/>
      <protection/>
    </xf>
    <xf numFmtId="9" fontId="1" fillId="0" borderId="0" xfId="189" applyNumberFormat="1" applyFont="1" applyAlignment="1">
      <alignment horizontal="center"/>
      <protection/>
    </xf>
    <xf numFmtId="0" fontId="9" fillId="0" borderId="0" xfId="189" applyFont="1" applyBorder="1" applyAlignment="1">
      <alignment vertical="top"/>
      <protection/>
    </xf>
    <xf numFmtId="0" fontId="9" fillId="0" borderId="0" xfId="189" applyFont="1" applyFill="1" applyBorder="1" applyAlignment="1" quotePrefix="1">
      <alignment horizontal="right"/>
      <protection/>
    </xf>
    <xf numFmtId="0" fontId="8" fillId="0" borderId="0" xfId="189" applyFont="1" applyBorder="1" applyAlignment="1" quotePrefix="1">
      <alignment horizontal="right"/>
      <protection/>
    </xf>
    <xf numFmtId="0" fontId="1" fillId="0" borderId="0" xfId="189" applyFont="1">
      <alignment/>
      <protection/>
    </xf>
    <xf numFmtId="0" fontId="8" fillId="0" borderId="0" xfId="189" applyFont="1" applyBorder="1" applyAlignment="1" quotePrefix="1">
      <alignment horizontal="right" vertical="top"/>
      <protection/>
    </xf>
    <xf numFmtId="9" fontId="1" fillId="0" borderId="0" xfId="189" applyNumberFormat="1" applyFont="1" applyAlignment="1">
      <alignment horizontal="center" vertical="top"/>
      <protection/>
    </xf>
    <xf numFmtId="0" fontId="8" fillId="0" borderId="0" xfId="189" applyFont="1" applyBorder="1" applyAlignment="1">
      <alignment horizontal="center" vertical="top"/>
      <protection/>
    </xf>
    <xf numFmtId="0" fontId="1" fillId="0" borderId="0" xfId="189" applyFont="1" applyAlignment="1">
      <alignment vertical="top"/>
      <protection/>
    </xf>
    <xf numFmtId="0" fontId="1" fillId="0" borderId="0" xfId="189" applyFont="1" applyBorder="1" applyAlignment="1">
      <alignment horizontal="right" vertical="center"/>
      <protection/>
    </xf>
    <xf numFmtId="166" fontId="1" fillId="0" borderId="0" xfId="189" applyNumberFormat="1" applyFont="1" applyBorder="1" applyAlignment="1">
      <alignment horizontal="right" vertical="center"/>
      <protection/>
    </xf>
    <xf numFmtId="0" fontId="14" fillId="0" borderId="0" xfId="189" applyFont="1">
      <alignment/>
      <protection/>
    </xf>
    <xf numFmtId="0" fontId="0" fillId="0" borderId="31" xfId="189" applyFill="1" applyBorder="1">
      <alignment/>
      <protection/>
    </xf>
    <xf numFmtId="1" fontId="15" fillId="73" borderId="27" xfId="189" applyNumberFormat="1" applyFont="1" applyFill="1" applyBorder="1" applyAlignment="1">
      <alignment horizontal="center"/>
      <protection/>
    </xf>
    <xf numFmtId="1" fontId="15" fillId="73" borderId="33" xfId="189" applyNumberFormat="1" applyFont="1" applyFill="1" applyBorder="1" applyAlignment="1">
      <alignment horizontal="center"/>
      <protection/>
    </xf>
    <xf numFmtId="0" fontId="16" fillId="73" borderId="27" xfId="189" applyFont="1" applyFill="1" applyBorder="1" applyAlignment="1">
      <alignment horizontal="center" wrapText="1"/>
      <protection/>
    </xf>
    <xf numFmtId="0" fontId="0" fillId="0" borderId="0" xfId="189" applyFill="1" applyBorder="1">
      <alignment/>
      <protection/>
    </xf>
    <xf numFmtId="0" fontId="0" fillId="0" borderId="35" xfId="189" applyFill="1" applyBorder="1">
      <alignment/>
      <protection/>
    </xf>
    <xf numFmtId="1" fontId="15" fillId="73" borderId="34" xfId="189" applyNumberFormat="1" applyFont="1" applyFill="1" applyBorder="1" applyAlignment="1">
      <alignment horizontal="center" vertical="center"/>
      <protection/>
    </xf>
    <xf numFmtId="1" fontId="15" fillId="73" borderId="17" xfId="189" applyNumberFormat="1" applyFont="1" applyFill="1" applyBorder="1" applyAlignment="1">
      <alignment horizontal="center" vertical="center"/>
      <protection/>
    </xf>
    <xf numFmtId="1" fontId="15" fillId="73" borderId="0" xfId="189" applyNumberFormat="1" applyFont="1" applyFill="1" applyBorder="1" applyAlignment="1">
      <alignment horizontal="center" vertical="center"/>
      <protection/>
    </xf>
    <xf numFmtId="0" fontId="15" fillId="73" borderId="34" xfId="189" applyFont="1" applyFill="1" applyBorder="1" applyAlignment="1">
      <alignment horizontal="center" vertical="top"/>
      <protection/>
    </xf>
    <xf numFmtId="0" fontId="15" fillId="51" borderId="27" xfId="189" applyFont="1" applyFill="1" applyBorder="1" applyAlignment="1">
      <alignment horizontal="center" vertical="center"/>
      <protection/>
    </xf>
    <xf numFmtId="2" fontId="18" fillId="51" borderId="27" xfId="189" applyNumberFormat="1" applyFont="1" applyFill="1" applyBorder="1" applyAlignment="1">
      <alignment vertical="center"/>
      <protection/>
    </xf>
    <xf numFmtId="186" fontId="18" fillId="51" borderId="32" xfId="189" applyNumberFormat="1" applyFont="1" applyFill="1" applyBorder="1" applyAlignment="1">
      <alignment vertical="center"/>
      <protection/>
    </xf>
    <xf numFmtId="186" fontId="18" fillId="51" borderId="33" xfId="189" applyNumberFormat="1" applyFont="1" applyFill="1" applyBorder="1" applyAlignment="1">
      <alignment vertical="center"/>
      <protection/>
    </xf>
    <xf numFmtId="186" fontId="18" fillId="51" borderId="33" xfId="189" applyNumberFormat="1" applyFont="1" applyFill="1" applyBorder="1" applyAlignment="1">
      <alignment horizontal="right"/>
      <protection/>
    </xf>
    <xf numFmtId="164" fontId="18" fillId="51" borderId="27" xfId="189" applyNumberFormat="1" applyFont="1" applyFill="1" applyBorder="1" applyAlignment="1">
      <alignment horizontal="right"/>
      <protection/>
    </xf>
    <xf numFmtId="0" fontId="1" fillId="0" borderId="0" xfId="189" applyFont="1" applyAlignment="1">
      <alignment horizontal="center"/>
      <protection/>
    </xf>
    <xf numFmtId="0" fontId="15" fillId="75" borderId="6" xfId="189" applyFont="1" applyFill="1" applyBorder="1" applyAlignment="1">
      <alignment horizontal="center" vertical="center"/>
      <protection/>
    </xf>
    <xf numFmtId="2" fontId="18" fillId="51" borderId="6" xfId="189" applyNumberFormat="1" applyFont="1" applyFill="1" applyBorder="1" applyAlignment="1">
      <alignment vertical="center"/>
      <protection/>
    </xf>
    <xf numFmtId="186" fontId="18" fillId="51" borderId="37" xfId="189" applyNumberFormat="1" applyFont="1" applyFill="1" applyBorder="1" applyAlignment="1">
      <alignment vertical="center"/>
      <protection/>
    </xf>
    <xf numFmtId="186" fontId="18" fillId="51" borderId="0" xfId="189" applyNumberFormat="1" applyFont="1" applyFill="1" applyBorder="1" applyAlignment="1">
      <alignment vertical="center"/>
      <protection/>
    </xf>
    <xf numFmtId="186" fontId="18" fillId="51" borderId="0" xfId="189" applyNumberFormat="1" applyFont="1" applyFill="1" applyBorder="1" applyAlignment="1">
      <alignment horizontal="right"/>
      <protection/>
    </xf>
    <xf numFmtId="164" fontId="18" fillId="51" borderId="6" xfId="189" applyNumberFormat="1" applyFont="1" applyFill="1" applyBorder="1" applyAlignment="1">
      <alignment horizontal="right"/>
      <protection/>
    </xf>
    <xf numFmtId="0" fontId="15" fillId="75" borderId="34" xfId="189" applyFont="1" applyFill="1" applyBorder="1" applyAlignment="1">
      <alignment horizontal="center" vertical="center"/>
      <protection/>
    </xf>
    <xf numFmtId="2" fontId="18" fillId="51" borderId="34" xfId="189" applyNumberFormat="1" applyFont="1" applyFill="1" applyBorder="1" applyAlignment="1">
      <alignment vertical="center"/>
      <protection/>
    </xf>
    <xf numFmtId="186" fontId="18" fillId="51" borderId="36" xfId="189" applyNumberFormat="1" applyFont="1" applyFill="1" applyBorder="1" applyAlignment="1">
      <alignment vertical="center"/>
      <protection/>
    </xf>
    <xf numFmtId="186" fontId="18" fillId="51" borderId="17" xfId="189" applyNumberFormat="1" applyFont="1" applyFill="1" applyBorder="1" applyAlignment="1">
      <alignment vertical="center"/>
      <protection/>
    </xf>
    <xf numFmtId="186" fontId="18" fillId="51" borderId="17" xfId="189" applyNumberFormat="1" applyFont="1" applyFill="1" applyBorder="1" applyAlignment="1">
      <alignment horizontal="right"/>
      <protection/>
    </xf>
    <xf numFmtId="164" fontId="18" fillId="51" borderId="34" xfId="189" applyNumberFormat="1" applyFont="1" applyFill="1" applyBorder="1" applyAlignment="1">
      <alignment horizontal="right"/>
      <protection/>
    </xf>
    <xf numFmtId="0" fontId="15" fillId="0" borderId="6" xfId="189" applyFont="1" applyFill="1" applyBorder="1" applyAlignment="1">
      <alignment horizontal="center" vertical="center"/>
      <protection/>
    </xf>
    <xf numFmtId="2" fontId="1" fillId="0" borderId="6" xfId="189" applyNumberFormat="1" applyFont="1" applyBorder="1" applyAlignment="1">
      <alignment horizontal="right" vertical="center"/>
      <protection/>
    </xf>
    <xf numFmtId="164" fontId="1" fillId="0" borderId="0" xfId="189" applyNumberFormat="1" applyFont="1">
      <alignment/>
      <protection/>
    </xf>
    <xf numFmtId="164" fontId="1" fillId="0" borderId="6" xfId="189" applyNumberFormat="1" applyFont="1" applyBorder="1" applyAlignment="1">
      <alignment horizontal="right" vertical="center"/>
      <protection/>
    </xf>
    <xf numFmtId="2" fontId="1" fillId="75" borderId="6" xfId="189" applyNumberFormat="1" applyFont="1" applyFill="1" applyBorder="1" applyAlignment="1">
      <alignment horizontal="right" vertical="center"/>
      <protection/>
    </xf>
    <xf numFmtId="164" fontId="1" fillId="75" borderId="0" xfId="189" applyNumberFormat="1" applyFont="1" applyFill="1" applyBorder="1" applyAlignment="1">
      <alignment horizontal="right" vertical="center"/>
      <protection/>
    </xf>
    <xf numFmtId="164" fontId="17" fillId="75" borderId="0" xfId="189" applyNumberFormat="1" applyFont="1" applyFill="1" applyBorder="1" applyAlignment="1">
      <alignment horizontal="right" vertical="center"/>
      <protection/>
    </xf>
    <xf numFmtId="164" fontId="17" fillId="75" borderId="6" xfId="189" applyNumberFormat="1" applyFont="1" applyFill="1" applyBorder="1" applyAlignment="1">
      <alignment horizontal="right" vertical="center"/>
      <protection/>
    </xf>
    <xf numFmtId="0" fontId="156" fillId="0" borderId="0" xfId="189" applyFont="1">
      <alignment/>
      <protection/>
    </xf>
    <xf numFmtId="0" fontId="1" fillId="0" borderId="0" xfId="189" applyFont="1" applyFill="1" applyAlignment="1">
      <alignment horizontal="center"/>
      <protection/>
    </xf>
    <xf numFmtId="2" fontId="1" fillId="0" borderId="6" xfId="189" applyNumberFormat="1" applyFont="1" applyFill="1" applyBorder="1" applyAlignment="1" quotePrefix="1">
      <alignment horizontal="right" vertical="center"/>
      <protection/>
    </xf>
    <xf numFmtId="164" fontId="1" fillId="0" borderId="0" xfId="189" applyNumberFormat="1" applyFont="1" applyFill="1" applyBorder="1" applyAlignment="1" quotePrefix="1">
      <alignment horizontal="right" vertical="center"/>
      <protection/>
    </xf>
    <xf numFmtId="164" fontId="1" fillId="0" borderId="0" xfId="189" applyNumberFormat="1" applyFont="1" applyFill="1" applyBorder="1" applyAlignment="1">
      <alignment horizontal="right" vertical="center"/>
      <protection/>
    </xf>
    <xf numFmtId="164" fontId="17" fillId="0" borderId="0" xfId="189" applyNumberFormat="1" applyFont="1" applyFill="1" applyBorder="1" applyAlignment="1">
      <alignment horizontal="right" vertical="center"/>
      <protection/>
    </xf>
    <xf numFmtId="164" fontId="1" fillId="78" borderId="0" xfId="189" applyNumberFormat="1" applyFont="1" applyFill="1" applyBorder="1" applyAlignment="1">
      <alignment horizontal="right" vertical="center"/>
      <protection/>
    </xf>
    <xf numFmtId="164" fontId="1" fillId="78" borderId="39" xfId="189" applyNumberFormat="1" applyFont="1" applyFill="1" applyBorder="1" applyAlignment="1">
      <alignment horizontal="right" vertical="center"/>
      <protection/>
    </xf>
    <xf numFmtId="164" fontId="1" fillId="78" borderId="6" xfId="189" applyNumberFormat="1" applyFont="1" applyFill="1" applyBorder="1" applyAlignment="1">
      <alignment horizontal="right" vertical="center"/>
      <protection/>
    </xf>
    <xf numFmtId="0" fontId="1" fillId="0" borderId="0" xfId="189" applyFont="1" applyFill="1">
      <alignment/>
      <protection/>
    </xf>
    <xf numFmtId="164" fontId="1" fillId="75" borderId="0" xfId="189" applyNumberFormat="1" applyFont="1" applyFill="1" applyBorder="1">
      <alignment/>
      <protection/>
    </xf>
    <xf numFmtId="164" fontId="1" fillId="51" borderId="6" xfId="189" applyNumberFormat="1" applyFont="1" applyFill="1" applyBorder="1">
      <alignment/>
      <protection/>
    </xf>
    <xf numFmtId="2" fontId="1" fillId="0" borderId="6" xfId="189" applyNumberFormat="1" applyFont="1" applyFill="1" applyBorder="1" applyAlignment="1">
      <alignment horizontal="right" vertical="center"/>
      <protection/>
    </xf>
    <xf numFmtId="164" fontId="1" fillId="0" borderId="38" xfId="189" applyNumberFormat="1" applyFont="1" applyFill="1" applyBorder="1" applyAlignment="1">
      <alignment horizontal="right" vertical="center"/>
      <protection/>
    </xf>
    <xf numFmtId="164" fontId="1" fillId="0" borderId="6" xfId="189" applyNumberFormat="1" applyFont="1" applyFill="1" applyBorder="1" applyAlignment="1">
      <alignment horizontal="right" vertical="center"/>
      <protection/>
    </xf>
    <xf numFmtId="2" fontId="17" fillId="0" borderId="6" xfId="189" applyNumberFormat="1" applyFont="1" applyBorder="1">
      <alignment/>
      <protection/>
    </xf>
    <xf numFmtId="164" fontId="17" fillId="0" borderId="0" xfId="189" applyNumberFormat="1" applyFont="1" applyBorder="1">
      <alignment/>
      <protection/>
    </xf>
    <xf numFmtId="164" fontId="17" fillId="0" borderId="0" xfId="189" applyNumberFormat="1" applyFont="1" applyFill="1">
      <alignment/>
      <protection/>
    </xf>
    <xf numFmtId="164" fontId="17" fillId="0" borderId="6" xfId="189" applyNumberFormat="1" applyFont="1" applyFill="1" applyBorder="1" applyAlignment="1">
      <alignment horizontal="right" vertical="center"/>
      <protection/>
    </xf>
    <xf numFmtId="2" fontId="17" fillId="75" borderId="6" xfId="189" applyNumberFormat="1" applyFont="1" applyFill="1" applyBorder="1" applyAlignment="1">
      <alignment horizontal="right" vertical="center"/>
      <protection/>
    </xf>
    <xf numFmtId="164" fontId="1" fillId="0" borderId="0" xfId="189" applyNumberFormat="1" applyFont="1" applyBorder="1" applyAlignment="1">
      <alignment horizontal="right" vertical="center"/>
      <protection/>
    </xf>
    <xf numFmtId="164" fontId="17" fillId="0" borderId="0" xfId="189" applyNumberFormat="1" applyFont="1" applyBorder="1" applyAlignment="1">
      <alignment horizontal="right" vertical="center"/>
      <protection/>
    </xf>
    <xf numFmtId="164" fontId="1" fillId="75" borderId="6" xfId="189" applyNumberFormat="1" applyFont="1" applyFill="1" applyBorder="1" applyAlignment="1">
      <alignment horizontal="right" vertical="center"/>
      <protection/>
    </xf>
    <xf numFmtId="164" fontId="1" fillId="75" borderId="37" xfId="189" applyNumberFormat="1" applyFont="1" applyFill="1" applyBorder="1" applyAlignment="1">
      <alignment horizontal="right" vertical="center"/>
      <protection/>
    </xf>
    <xf numFmtId="164" fontId="1" fillId="75" borderId="38" xfId="189" applyNumberFormat="1" applyFont="1" applyFill="1" applyBorder="1" applyAlignment="1">
      <alignment horizontal="right" vertical="center"/>
      <protection/>
    </xf>
    <xf numFmtId="164" fontId="1" fillId="75" borderId="39" xfId="189" applyNumberFormat="1" applyFont="1" applyFill="1" applyBorder="1" applyAlignment="1">
      <alignment horizontal="right" vertical="center"/>
      <protection/>
    </xf>
    <xf numFmtId="164" fontId="17" fillId="0" borderId="0" xfId="189" applyNumberFormat="1" applyFont="1" applyFill="1" applyBorder="1">
      <alignment/>
      <protection/>
    </xf>
    <xf numFmtId="164" fontId="17" fillId="75" borderId="0" xfId="189" applyNumberFormat="1" applyFont="1" applyFill="1" applyBorder="1">
      <alignment/>
      <protection/>
    </xf>
    <xf numFmtId="164" fontId="1" fillId="0" borderId="39" xfId="189" applyNumberFormat="1" applyFont="1" applyFill="1" applyBorder="1" applyAlignment="1">
      <alignment horizontal="right" vertical="center"/>
      <protection/>
    </xf>
    <xf numFmtId="2" fontId="17" fillId="0" borderId="6" xfId="189" applyNumberFormat="1" applyFont="1" applyFill="1" applyBorder="1" applyAlignment="1">
      <alignment horizontal="right" vertical="center"/>
      <protection/>
    </xf>
    <xf numFmtId="164" fontId="1" fillId="0" borderId="31" xfId="189" applyNumberFormat="1" applyFont="1" applyFill="1" applyBorder="1" applyAlignment="1">
      <alignment horizontal="right" vertical="center"/>
      <protection/>
    </xf>
    <xf numFmtId="164" fontId="1" fillId="75" borderId="49" xfId="189" applyNumberFormat="1" applyFont="1" applyFill="1" applyBorder="1" applyAlignment="1">
      <alignment horizontal="right" vertical="center"/>
      <protection/>
    </xf>
    <xf numFmtId="164" fontId="1" fillId="75" borderId="17" xfId="189" applyNumberFormat="1" applyFont="1" applyFill="1" applyBorder="1" applyAlignment="1">
      <alignment horizontal="right" vertical="center"/>
      <protection/>
    </xf>
    <xf numFmtId="164" fontId="1" fillId="75" borderId="42" xfId="189" applyNumberFormat="1" applyFont="1" applyFill="1" applyBorder="1" applyAlignment="1">
      <alignment horizontal="right" vertical="center"/>
      <protection/>
    </xf>
    <xf numFmtId="0" fontId="15" fillId="0" borderId="27" xfId="189" applyFont="1" applyFill="1" applyBorder="1" applyAlignment="1">
      <alignment horizontal="center" vertical="center"/>
      <protection/>
    </xf>
    <xf numFmtId="2" fontId="1" fillId="0" borderId="27" xfId="189" applyNumberFormat="1" applyFont="1" applyFill="1" applyBorder="1" applyAlignment="1">
      <alignment horizontal="right" vertical="center"/>
      <protection/>
    </xf>
    <xf numFmtId="164" fontId="1" fillId="0" borderId="33" xfId="189" applyNumberFormat="1" applyFont="1" applyFill="1" applyBorder="1" applyAlignment="1">
      <alignment horizontal="right" vertical="center"/>
      <protection/>
    </xf>
    <xf numFmtId="164" fontId="17" fillId="0" borderId="33" xfId="189" applyNumberFormat="1" applyFont="1" applyFill="1" applyBorder="1" applyAlignment="1">
      <alignment horizontal="right" vertical="center"/>
      <protection/>
    </xf>
    <xf numFmtId="164" fontId="1" fillId="0" borderId="27" xfId="189" applyNumberFormat="1" applyFont="1" applyFill="1" applyBorder="1" applyAlignment="1">
      <alignment horizontal="right" vertical="center"/>
      <protection/>
    </xf>
    <xf numFmtId="0" fontId="15" fillId="0" borderId="34" xfId="189" applyFont="1" applyFill="1" applyBorder="1" applyAlignment="1">
      <alignment horizontal="center" vertical="center"/>
      <protection/>
    </xf>
    <xf numFmtId="2" fontId="1" fillId="0" borderId="34" xfId="189" applyNumberFormat="1" applyFont="1" applyFill="1" applyBorder="1" applyAlignment="1">
      <alignment horizontal="right" vertical="center"/>
      <protection/>
    </xf>
    <xf numFmtId="164" fontId="1" fillId="0" borderId="17" xfId="189" applyNumberFormat="1" applyFont="1" applyFill="1" applyBorder="1" applyAlignment="1">
      <alignment horizontal="right" vertical="center"/>
      <protection/>
    </xf>
    <xf numFmtId="164" fontId="17" fillId="0" borderId="17" xfId="189" applyNumberFormat="1" applyFont="1" applyFill="1" applyBorder="1" applyAlignment="1">
      <alignment horizontal="right" vertical="center"/>
      <protection/>
    </xf>
    <xf numFmtId="164" fontId="1" fillId="0" borderId="49" xfId="189" applyNumberFormat="1" applyFont="1" applyFill="1" applyBorder="1" applyAlignment="1">
      <alignment horizontal="right" vertical="center"/>
      <protection/>
    </xf>
    <xf numFmtId="164" fontId="1" fillId="0" borderId="34" xfId="189" applyNumberFormat="1" applyFont="1" applyFill="1" applyBorder="1" applyAlignment="1">
      <alignment horizontal="right" vertical="center"/>
      <protection/>
    </xf>
    <xf numFmtId="2" fontId="1" fillId="75" borderId="27" xfId="189" applyNumberFormat="1" applyFont="1" applyFill="1" applyBorder="1" applyAlignment="1">
      <alignment horizontal="right" vertical="center"/>
      <protection/>
    </xf>
    <xf numFmtId="164" fontId="1" fillId="75" borderId="33" xfId="189" applyNumberFormat="1" applyFont="1" applyFill="1" applyBorder="1" applyAlignment="1">
      <alignment horizontal="right" vertical="center"/>
      <protection/>
    </xf>
    <xf numFmtId="164" fontId="1" fillId="75" borderId="27" xfId="189" applyNumberFormat="1" applyFont="1" applyFill="1" applyBorder="1" applyAlignment="1">
      <alignment horizontal="right" vertical="center"/>
      <protection/>
    </xf>
    <xf numFmtId="2" fontId="1" fillId="75" borderId="34" xfId="189" applyNumberFormat="1" applyFont="1" applyFill="1" applyBorder="1" applyAlignment="1">
      <alignment horizontal="right" vertical="center"/>
      <protection/>
    </xf>
    <xf numFmtId="164" fontId="1" fillId="75" borderId="34" xfId="189" applyNumberFormat="1" applyFont="1" applyFill="1" applyBorder="1" applyAlignment="1">
      <alignment horizontal="right" vertical="center"/>
      <protection/>
    </xf>
    <xf numFmtId="0" fontId="15" fillId="0" borderId="0" xfId="189" applyFont="1" applyBorder="1">
      <alignment/>
      <protection/>
    </xf>
    <xf numFmtId="0" fontId="15" fillId="0" borderId="33" xfId="189" applyFont="1" applyBorder="1" applyAlignment="1">
      <alignment horizontal="left" wrapText="1"/>
      <protection/>
    </xf>
    <xf numFmtId="0" fontId="15" fillId="0" borderId="0" xfId="189" applyFont="1" applyBorder="1" applyAlignment="1">
      <alignment horizontal="left" wrapText="1"/>
      <protection/>
    </xf>
    <xf numFmtId="0" fontId="15" fillId="0" borderId="0" xfId="189" applyFont="1" applyAlignment="1">
      <alignment horizontal="left"/>
      <protection/>
    </xf>
    <xf numFmtId="0" fontId="1" fillId="0" borderId="0" xfId="189" applyFont="1" applyBorder="1" applyAlignment="1" quotePrefix="1">
      <alignment horizontal="left" vertical="center"/>
      <protection/>
    </xf>
    <xf numFmtId="0" fontId="1" fillId="0" borderId="0" xfId="189" applyFont="1" applyAlignment="1">
      <alignment vertical="center"/>
      <protection/>
    </xf>
    <xf numFmtId="0" fontId="1" fillId="0" borderId="0" xfId="189" applyFont="1" applyBorder="1" applyAlignment="1">
      <alignment horizontal="left" vertical="center"/>
      <protection/>
    </xf>
    <xf numFmtId="0" fontId="1" fillId="0" borderId="0" xfId="189" applyFont="1" applyBorder="1" applyAlignment="1">
      <alignment vertical="center"/>
      <protection/>
    </xf>
    <xf numFmtId="0" fontId="19" fillId="0" borderId="0" xfId="189" applyFont="1" applyBorder="1" applyAlignment="1">
      <alignment horizontal="left" vertical="center"/>
      <protection/>
    </xf>
    <xf numFmtId="164" fontId="19" fillId="0" borderId="0" xfId="189" applyNumberFormat="1" applyFont="1" applyBorder="1" applyAlignment="1">
      <alignment horizontal="left" vertical="center"/>
      <protection/>
    </xf>
    <xf numFmtId="0" fontId="15" fillId="0" borderId="0" xfId="189" applyFont="1" applyBorder="1" applyAlignment="1">
      <alignment vertical="top"/>
      <protection/>
    </xf>
    <xf numFmtId="0" fontId="15" fillId="0" borderId="0" xfId="189" applyFont="1">
      <alignment/>
      <protection/>
    </xf>
    <xf numFmtId="0" fontId="1" fillId="0" borderId="0" xfId="189" applyFont="1" applyBorder="1">
      <alignment/>
      <protection/>
    </xf>
    <xf numFmtId="1" fontId="15" fillId="0" borderId="0" xfId="189" applyNumberFormat="1" applyFont="1" applyFill="1" applyBorder="1" applyAlignment="1">
      <alignment horizontal="center" vertical="center"/>
      <protection/>
    </xf>
    <xf numFmtId="1" fontId="15" fillId="73" borderId="6" xfId="189" applyNumberFormat="1" applyFont="1" applyFill="1" applyBorder="1" applyAlignment="1">
      <alignment horizontal="center" vertical="center"/>
      <protection/>
    </xf>
    <xf numFmtId="0" fontId="15" fillId="73" borderId="6" xfId="189" applyFont="1" applyFill="1" applyBorder="1" applyAlignment="1">
      <alignment horizontal="center" vertical="top"/>
      <protection/>
    </xf>
    <xf numFmtId="164" fontId="1" fillId="51" borderId="27" xfId="189" applyNumberFormat="1" applyFont="1" applyFill="1" applyBorder="1" applyAlignment="1">
      <alignment horizontal="right"/>
      <protection/>
    </xf>
    <xf numFmtId="164" fontId="15" fillId="51" borderId="33" xfId="189" applyNumberFormat="1" applyFont="1" applyFill="1" applyBorder="1" applyAlignment="1">
      <alignment horizontal="right"/>
      <protection/>
    </xf>
    <xf numFmtId="164" fontId="18" fillId="51" borderId="33" xfId="189" applyNumberFormat="1" applyFont="1" applyFill="1" applyBorder="1" applyAlignment="1">
      <alignment horizontal="right"/>
      <protection/>
    </xf>
    <xf numFmtId="164" fontId="18" fillId="51" borderId="43" xfId="189" applyNumberFormat="1" applyFont="1" applyFill="1" applyBorder="1" applyAlignment="1">
      <alignment horizontal="right"/>
      <protection/>
    </xf>
    <xf numFmtId="164" fontId="18" fillId="51" borderId="0" xfId="189" applyNumberFormat="1" applyFont="1" applyFill="1" applyBorder="1" applyAlignment="1">
      <alignment horizontal="right"/>
      <protection/>
    </xf>
    <xf numFmtId="164" fontId="18" fillId="51" borderId="31" xfId="189" applyNumberFormat="1" applyFont="1" applyFill="1" applyBorder="1" applyAlignment="1">
      <alignment horizontal="right"/>
      <protection/>
    </xf>
    <xf numFmtId="164" fontId="17" fillId="51" borderId="34" xfId="189" applyNumberFormat="1" applyFont="1" applyFill="1" applyBorder="1" applyAlignment="1">
      <alignment horizontal="right"/>
      <protection/>
    </xf>
    <xf numFmtId="164" fontId="18" fillId="51" borderId="17" xfId="189" applyNumberFormat="1" applyFont="1" applyFill="1" applyBorder="1" applyAlignment="1">
      <alignment horizontal="right"/>
      <protection/>
    </xf>
    <xf numFmtId="164" fontId="15" fillId="51" borderId="17" xfId="189" applyNumberFormat="1" applyFont="1" applyFill="1" applyBorder="1" applyAlignment="1">
      <alignment horizontal="right"/>
      <protection/>
    </xf>
    <xf numFmtId="164" fontId="18" fillId="51" borderId="35" xfId="189" applyNumberFormat="1" applyFont="1" applyFill="1" applyBorder="1" applyAlignment="1">
      <alignment horizontal="right"/>
      <protection/>
    </xf>
    <xf numFmtId="164" fontId="1" fillId="0" borderId="31" xfId="189" applyNumberFormat="1" applyFont="1" applyBorder="1" applyAlignment="1">
      <alignment horizontal="right" vertical="center"/>
      <protection/>
    </xf>
    <xf numFmtId="164" fontId="1" fillId="51" borderId="31" xfId="189" applyNumberFormat="1" applyFont="1" applyFill="1" applyBorder="1" applyAlignment="1">
      <alignment horizontal="right" vertical="center"/>
      <protection/>
    </xf>
    <xf numFmtId="2" fontId="1" fillId="78" borderId="6" xfId="189" applyNumberFormat="1" applyFont="1" applyFill="1" applyBorder="1" applyAlignment="1" quotePrefix="1">
      <alignment horizontal="right" vertical="center"/>
      <protection/>
    </xf>
    <xf numFmtId="164" fontId="1" fillId="78" borderId="0" xfId="189" applyNumberFormat="1" applyFont="1" applyFill="1" applyBorder="1" applyAlignment="1" quotePrefix="1">
      <alignment horizontal="right" vertical="center"/>
      <protection/>
    </xf>
    <xf numFmtId="164" fontId="1" fillId="78" borderId="38" xfId="189" applyNumberFormat="1" applyFont="1" applyFill="1" applyBorder="1" applyAlignment="1">
      <alignment horizontal="right" vertical="center"/>
      <protection/>
    </xf>
    <xf numFmtId="164" fontId="1" fillId="78" borderId="31" xfId="189" applyNumberFormat="1" applyFont="1" applyFill="1" applyBorder="1" applyAlignment="1">
      <alignment horizontal="right" vertical="center"/>
      <protection/>
    </xf>
    <xf numFmtId="164" fontId="1" fillId="51" borderId="6" xfId="189" applyNumberFormat="1" applyFont="1" applyFill="1" applyBorder="1" applyAlignment="1">
      <alignment horizontal="right"/>
      <protection/>
    </xf>
    <xf numFmtId="2" fontId="1" fillId="78" borderId="6" xfId="189" applyNumberFormat="1" applyFont="1" applyFill="1" applyBorder="1" applyAlignment="1">
      <alignment horizontal="right" vertical="center"/>
      <protection/>
    </xf>
    <xf numFmtId="164" fontId="17" fillId="0" borderId="39" xfId="189" applyNumberFormat="1" applyFont="1" applyBorder="1" applyAlignment="1">
      <alignment horizontal="right" vertical="center"/>
      <protection/>
    </xf>
    <xf numFmtId="164" fontId="17" fillId="0" borderId="31" xfId="189" applyNumberFormat="1" applyFont="1" applyBorder="1" applyAlignment="1">
      <alignment horizontal="right" vertical="center"/>
      <protection/>
    </xf>
    <xf numFmtId="164" fontId="17" fillId="75" borderId="31" xfId="189" applyNumberFormat="1" applyFont="1" applyFill="1" applyBorder="1" applyAlignment="1">
      <alignment horizontal="right" vertical="center"/>
      <protection/>
    </xf>
    <xf numFmtId="164" fontId="1" fillId="0" borderId="39" xfId="189" applyNumberFormat="1" applyFont="1" applyBorder="1" applyAlignment="1">
      <alignment horizontal="right" vertical="center"/>
      <protection/>
    </xf>
    <xf numFmtId="164" fontId="1" fillId="75" borderId="31" xfId="189" applyNumberFormat="1" applyFont="1" applyFill="1" applyBorder="1" applyAlignment="1">
      <alignment horizontal="right" vertical="center"/>
      <protection/>
    </xf>
    <xf numFmtId="164" fontId="17" fillId="0" borderId="31" xfId="189" applyNumberFormat="1" applyFont="1" applyFill="1" applyBorder="1" applyAlignment="1">
      <alignment horizontal="right" vertical="center"/>
      <protection/>
    </xf>
    <xf numFmtId="0" fontId="1" fillId="75" borderId="0" xfId="189" applyFont="1" applyFill="1" applyAlignment="1">
      <alignment horizontal="center"/>
      <protection/>
    </xf>
    <xf numFmtId="164" fontId="17" fillId="0" borderId="39" xfId="189" applyNumberFormat="1" applyFont="1" applyFill="1" applyBorder="1">
      <alignment/>
      <protection/>
    </xf>
    <xf numFmtId="164" fontId="17" fillId="0" borderId="39" xfId="189" applyNumberFormat="1" applyFont="1" applyFill="1" applyBorder="1" applyAlignment="1">
      <alignment horizontal="right" vertical="center"/>
      <protection/>
    </xf>
    <xf numFmtId="164" fontId="17" fillId="75" borderId="39" xfId="189" applyNumberFormat="1" applyFont="1" applyFill="1" applyBorder="1" applyAlignment="1">
      <alignment horizontal="right" vertical="center"/>
      <protection/>
    </xf>
    <xf numFmtId="2" fontId="17" fillId="75" borderId="34" xfId="189" applyNumberFormat="1" applyFont="1" applyFill="1" applyBorder="1" applyAlignment="1">
      <alignment horizontal="right" vertical="center"/>
      <protection/>
    </xf>
    <xf numFmtId="164" fontId="17" fillId="75" borderId="17" xfId="189" applyNumberFormat="1" applyFont="1" applyFill="1" applyBorder="1" applyAlignment="1">
      <alignment horizontal="right" vertical="center"/>
      <protection/>
    </xf>
    <xf numFmtId="164" fontId="17" fillId="75" borderId="42" xfId="189" applyNumberFormat="1" applyFont="1" applyFill="1" applyBorder="1" applyAlignment="1">
      <alignment horizontal="right" vertical="center"/>
      <protection/>
    </xf>
    <xf numFmtId="164" fontId="17" fillId="75" borderId="35" xfId="189" applyNumberFormat="1" applyFont="1" applyFill="1" applyBorder="1" applyAlignment="1">
      <alignment horizontal="right" vertical="center"/>
      <protection/>
    </xf>
    <xf numFmtId="164" fontId="17" fillId="75" borderId="34" xfId="189" applyNumberFormat="1" applyFont="1" applyFill="1" applyBorder="1" applyAlignment="1">
      <alignment horizontal="right" vertical="center"/>
      <protection/>
    </xf>
    <xf numFmtId="164" fontId="1" fillId="0" borderId="0" xfId="189" applyNumberFormat="1" applyFont="1" applyBorder="1" applyAlignment="1">
      <alignment vertical="top"/>
      <protection/>
    </xf>
    <xf numFmtId="164" fontId="17" fillId="0" borderId="0" xfId="189" applyNumberFormat="1" applyFont="1" applyBorder="1" applyAlignment="1">
      <alignment vertical="top"/>
      <protection/>
    </xf>
    <xf numFmtId="164" fontId="17" fillId="0" borderId="31" xfId="189" applyNumberFormat="1" applyFont="1" applyBorder="1" applyAlignment="1">
      <alignment vertical="top"/>
      <protection/>
    </xf>
    <xf numFmtId="2" fontId="1" fillId="75" borderId="6" xfId="189" applyNumberFormat="1" applyFont="1" applyFill="1" applyBorder="1" applyAlignment="1" quotePrefix="1">
      <alignment horizontal="right" vertical="center"/>
      <protection/>
    </xf>
    <xf numFmtId="164" fontId="1" fillId="75" borderId="0" xfId="189" applyNumberFormat="1" applyFont="1" applyFill="1" applyBorder="1" applyAlignment="1" quotePrefix="1">
      <alignment horizontal="right" vertical="center"/>
      <protection/>
    </xf>
    <xf numFmtId="164" fontId="1" fillId="75" borderId="43" xfId="189" applyNumberFormat="1" applyFont="1" applyFill="1" applyBorder="1" applyAlignment="1">
      <alignment horizontal="right" vertical="center"/>
      <protection/>
    </xf>
    <xf numFmtId="164" fontId="1" fillId="75" borderId="35" xfId="189" applyNumberFormat="1" applyFont="1" applyFill="1" applyBorder="1" applyAlignment="1">
      <alignment horizontal="right" vertical="center"/>
      <protection/>
    </xf>
    <xf numFmtId="49" fontId="15" fillId="0" borderId="33" xfId="189" applyNumberFormat="1" applyFont="1" applyBorder="1" applyAlignment="1">
      <alignment horizontal="left"/>
      <protection/>
    </xf>
    <xf numFmtId="49" fontId="15" fillId="0" borderId="33" xfId="189" applyNumberFormat="1" applyFont="1" applyBorder="1" applyAlignment="1">
      <alignment horizontal="left" wrapText="1"/>
      <protection/>
    </xf>
    <xf numFmtId="0" fontId="15" fillId="0" borderId="0" xfId="189" applyFont="1" applyBorder="1" applyAlignment="1">
      <alignment horizontal="left"/>
      <protection/>
    </xf>
    <xf numFmtId="0" fontId="15" fillId="0" borderId="0" xfId="189" applyFont="1" applyBorder="1" applyAlignment="1" quotePrefix="1">
      <alignment horizontal="left" vertical="center"/>
      <protection/>
    </xf>
    <xf numFmtId="0" fontId="17" fillId="0" borderId="0" xfId="189" applyFont="1" applyBorder="1" applyAlignment="1">
      <alignment horizontal="left" vertical="center"/>
      <protection/>
    </xf>
    <xf numFmtId="0" fontId="1" fillId="0" borderId="0" xfId="189" applyFont="1" applyAlignment="1">
      <alignment/>
      <protection/>
    </xf>
    <xf numFmtId="49" fontId="1" fillId="0" borderId="0" xfId="189" applyNumberFormat="1" applyFont="1" applyAlignment="1">
      <alignment vertical="top"/>
      <protection/>
    </xf>
    <xf numFmtId="166" fontId="1" fillId="0" borderId="0" xfId="189" applyNumberFormat="1" applyFont="1" applyAlignment="1">
      <alignment vertical="top"/>
      <protection/>
    </xf>
    <xf numFmtId="49" fontId="15" fillId="0" borderId="0" xfId="189" applyNumberFormat="1" applyFont="1" applyAlignment="1">
      <alignment vertical="top"/>
      <protection/>
    </xf>
    <xf numFmtId="0" fontId="0" fillId="0" borderId="0" xfId="189" applyAlignment="1">
      <alignment horizontal="left" vertical="top" wrapText="1"/>
      <protection/>
    </xf>
    <xf numFmtId="0" fontId="14" fillId="0" borderId="0" xfId="189" applyFont="1" applyAlignment="1">
      <alignment horizontal="left" vertical="top" wrapText="1"/>
      <protection/>
    </xf>
    <xf numFmtId="168" fontId="1" fillId="0" borderId="0" xfId="189" applyNumberFormat="1" applyFont="1">
      <alignment/>
      <protection/>
    </xf>
    <xf numFmtId="166" fontId="1" fillId="0" borderId="0" xfId="189" applyNumberFormat="1" applyFont="1">
      <alignment/>
      <protection/>
    </xf>
    <xf numFmtId="1" fontId="1" fillId="0" borderId="0" xfId="189" applyNumberFormat="1" applyFont="1">
      <alignment/>
      <protection/>
    </xf>
    <xf numFmtId="0" fontId="1" fillId="0" borderId="0" xfId="189" applyFont="1" applyAlignment="1">
      <alignment horizontal="center" vertical="top"/>
      <protection/>
    </xf>
    <xf numFmtId="164" fontId="15" fillId="51" borderId="27" xfId="189" applyNumberFormat="1" applyFont="1" applyFill="1" applyBorder="1" applyAlignment="1">
      <alignment horizontal="right"/>
      <protection/>
    </xf>
    <xf numFmtId="164" fontId="18" fillId="51" borderId="27" xfId="189" applyNumberFormat="1" applyFont="1" applyFill="1" applyBorder="1" applyAlignment="1">
      <alignment horizontal="right" vertical="center"/>
      <protection/>
    </xf>
    <xf numFmtId="0" fontId="15" fillId="51" borderId="43" xfId="189" applyFont="1" applyFill="1" applyBorder="1" applyAlignment="1">
      <alignment horizontal="center" vertical="center"/>
      <protection/>
    </xf>
    <xf numFmtId="164" fontId="18" fillId="51" borderId="6" xfId="189" applyNumberFormat="1" applyFont="1" applyFill="1" applyBorder="1" applyAlignment="1">
      <alignment horizontal="right" vertical="center"/>
      <protection/>
    </xf>
    <xf numFmtId="0" fontId="15" fillId="51" borderId="31" xfId="189" applyFont="1" applyFill="1" applyBorder="1" applyAlignment="1">
      <alignment horizontal="center" vertical="center"/>
      <protection/>
    </xf>
    <xf numFmtId="164" fontId="18" fillId="51" borderId="34" xfId="189" applyNumberFormat="1" applyFont="1" applyFill="1" applyBorder="1" applyAlignment="1">
      <alignment vertical="center"/>
      <protection/>
    </xf>
    <xf numFmtId="164" fontId="17" fillId="0" borderId="6" xfId="189" applyNumberFormat="1" applyFont="1" applyBorder="1" applyAlignment="1">
      <alignment horizontal="right" vertical="center"/>
      <protection/>
    </xf>
    <xf numFmtId="2" fontId="1" fillId="75" borderId="6" xfId="189" applyNumberFormat="1" applyFont="1" applyFill="1" applyBorder="1" applyAlignment="1">
      <alignment horizontal="center" vertical="center"/>
      <protection/>
    </xf>
    <xf numFmtId="164" fontId="1" fillId="75" borderId="0" xfId="189" applyNumberFormat="1" applyFont="1" applyFill="1" applyBorder="1" applyAlignment="1">
      <alignment horizontal="center" vertical="center"/>
      <protection/>
    </xf>
    <xf numFmtId="2" fontId="17" fillId="78" borderId="6" xfId="189" applyNumberFormat="1" applyFont="1" applyFill="1" applyBorder="1" applyAlignment="1">
      <alignment horizontal="right" vertical="center"/>
      <protection/>
    </xf>
    <xf numFmtId="164" fontId="17" fillId="78" borderId="0" xfId="189" applyNumberFormat="1" applyFont="1" applyFill="1" applyBorder="1" applyAlignment="1">
      <alignment horizontal="right" vertical="center"/>
      <protection/>
    </xf>
    <xf numFmtId="2" fontId="1" fillId="0" borderId="6" xfId="189" applyNumberFormat="1" applyFont="1" applyBorder="1" applyAlignment="1">
      <alignment horizontal="center" vertical="center"/>
      <protection/>
    </xf>
    <xf numFmtId="164" fontId="1" fillId="0" borderId="0" xfId="189" applyNumberFormat="1" applyFont="1" applyBorder="1" applyAlignment="1">
      <alignment horizontal="center" vertical="center"/>
      <protection/>
    </xf>
    <xf numFmtId="2" fontId="1" fillId="0" borderId="6" xfId="189" applyNumberFormat="1" applyFont="1" applyFill="1" applyBorder="1" applyAlignment="1">
      <alignment horizontal="center" vertical="center"/>
      <protection/>
    </xf>
    <xf numFmtId="164" fontId="1" fillId="0" borderId="0" xfId="189" applyNumberFormat="1" applyFont="1" applyFill="1" applyBorder="1" applyAlignment="1">
      <alignment horizontal="center" vertical="center"/>
      <protection/>
    </xf>
    <xf numFmtId="164" fontId="1" fillId="0" borderId="6" xfId="189" applyNumberFormat="1" applyFont="1" applyFill="1" applyBorder="1" applyAlignment="1">
      <alignment horizontal="center" vertical="center"/>
      <protection/>
    </xf>
    <xf numFmtId="164" fontId="1" fillId="75" borderId="6" xfId="189" applyNumberFormat="1" applyFont="1" applyFill="1" applyBorder="1" applyAlignment="1">
      <alignment horizontal="center" vertical="center"/>
      <protection/>
    </xf>
    <xf numFmtId="164" fontId="17" fillId="75" borderId="6" xfId="189" applyNumberFormat="1" applyFont="1" applyFill="1" applyBorder="1" applyAlignment="1">
      <alignment horizontal="center" vertical="center"/>
      <protection/>
    </xf>
    <xf numFmtId="164" fontId="1" fillId="75" borderId="0" xfId="189" applyNumberFormat="1" applyFont="1" applyFill="1" applyBorder="1" applyAlignment="1">
      <alignment horizontal="right" vertical="center" wrapText="1"/>
      <protection/>
    </xf>
    <xf numFmtId="2" fontId="1" fillId="0" borderId="27" xfId="189" applyNumberFormat="1" applyFont="1" applyFill="1" applyBorder="1" applyAlignment="1">
      <alignment horizontal="center" vertical="center"/>
      <protection/>
    </xf>
    <xf numFmtId="164" fontId="1" fillId="0" borderId="33" xfId="189" applyNumberFormat="1" applyFont="1" applyFill="1" applyBorder="1" applyAlignment="1">
      <alignment horizontal="center" vertical="center"/>
      <protection/>
    </xf>
    <xf numFmtId="164" fontId="1" fillId="0" borderId="27" xfId="189" applyNumberFormat="1" applyFont="1" applyFill="1" applyBorder="1" applyAlignment="1">
      <alignment horizontal="center" vertical="center"/>
      <protection/>
    </xf>
    <xf numFmtId="164" fontId="17" fillId="75" borderId="0" xfId="189" applyNumberFormat="1" applyFont="1" applyFill="1" applyBorder="1" applyAlignment="1">
      <alignment horizontal="center" vertical="center"/>
      <protection/>
    </xf>
    <xf numFmtId="164" fontId="1" fillId="0" borderId="34" xfId="189" applyNumberFormat="1" applyFont="1" applyFill="1" applyBorder="1" applyAlignment="1">
      <alignment horizontal="center" vertical="center"/>
      <protection/>
    </xf>
    <xf numFmtId="2" fontId="1" fillId="75" borderId="27" xfId="189" applyNumberFormat="1" applyFont="1" applyFill="1" applyBorder="1" applyAlignment="1">
      <alignment horizontal="center" vertical="center"/>
      <protection/>
    </xf>
    <xf numFmtId="164" fontId="1" fillId="75" borderId="33" xfId="189" applyNumberFormat="1" applyFont="1" applyFill="1" applyBorder="1" applyAlignment="1">
      <alignment horizontal="center" vertical="center"/>
      <protection/>
    </xf>
    <xf numFmtId="164" fontId="1" fillId="75" borderId="27" xfId="189" applyNumberFormat="1" applyFont="1" applyFill="1" applyBorder="1" applyAlignment="1">
      <alignment horizontal="center" vertical="center"/>
      <protection/>
    </xf>
    <xf numFmtId="0" fontId="1" fillId="0" borderId="0" xfId="189" applyFont="1" applyBorder="1" applyAlignment="1">
      <alignment/>
      <protection/>
    </xf>
    <xf numFmtId="0" fontId="1" fillId="0" borderId="0" xfId="189" applyFont="1" applyAlignment="1">
      <alignment horizontal="left"/>
      <protection/>
    </xf>
    <xf numFmtId="0" fontId="15" fillId="0" borderId="0" xfId="189" applyFont="1" applyBorder="1" applyAlignment="1">
      <alignment horizontal="center"/>
      <protection/>
    </xf>
    <xf numFmtId="0" fontId="15" fillId="0" borderId="0" xfId="189" applyFont="1" applyBorder="1" applyAlignment="1">
      <alignment horizontal="left" vertical="top"/>
      <protection/>
    </xf>
    <xf numFmtId="0" fontId="15" fillId="0" borderId="0" xfId="189" applyFont="1" applyAlignment="1">
      <alignment vertical="top"/>
      <protection/>
    </xf>
    <xf numFmtId="0" fontId="1" fillId="0" borderId="0" xfId="189" applyFont="1" applyAlignment="1">
      <alignment horizontal="left" vertical="top" wrapText="1"/>
      <protection/>
    </xf>
    <xf numFmtId="168" fontId="1" fillId="0" borderId="0" xfId="189" applyNumberFormat="1" applyFont="1" applyAlignment="1">
      <alignment horizontal="left" vertical="top" wrapText="1"/>
      <protection/>
    </xf>
    <xf numFmtId="0" fontId="0" fillId="0" borderId="0" xfId="189">
      <alignment/>
      <protection/>
    </xf>
    <xf numFmtId="0" fontId="15" fillId="0" borderId="0" xfId="189" applyFont="1" applyBorder="1" applyAlignment="1">
      <alignment horizontal="center" vertical="top"/>
      <protection/>
    </xf>
    <xf numFmtId="164" fontId="15" fillId="0" borderId="0" xfId="189" applyNumberFormat="1" applyFont="1" applyBorder="1" applyAlignment="1">
      <alignment horizontal="center" vertical="top"/>
      <protection/>
    </xf>
    <xf numFmtId="2" fontId="1" fillId="0" borderId="0" xfId="189" applyNumberFormat="1" applyFont="1">
      <alignment/>
      <protection/>
    </xf>
    <xf numFmtId="0" fontId="9" fillId="0" borderId="0" xfId="189" applyFont="1">
      <alignment/>
      <protection/>
    </xf>
    <xf numFmtId="1" fontId="15" fillId="79" borderId="33" xfId="189" applyNumberFormat="1" applyFont="1" applyFill="1" applyBorder="1" applyAlignment="1">
      <alignment horizontal="center" wrapText="1"/>
      <protection/>
    </xf>
    <xf numFmtId="1" fontId="15" fillId="79" borderId="17" xfId="189" applyNumberFormat="1" applyFont="1" applyFill="1" applyBorder="1" applyAlignment="1">
      <alignment horizontal="center" wrapText="1"/>
      <protection/>
    </xf>
    <xf numFmtId="1" fontId="15" fillId="79" borderId="0" xfId="189" applyNumberFormat="1" applyFont="1" applyFill="1" applyBorder="1" applyAlignment="1">
      <alignment horizontal="center" wrapText="1"/>
      <protection/>
    </xf>
    <xf numFmtId="2" fontId="15" fillId="51" borderId="27" xfId="189" applyNumberFormat="1" applyFont="1" applyFill="1" applyBorder="1" applyAlignment="1">
      <alignment horizontal="right" vertical="center"/>
      <protection/>
    </xf>
    <xf numFmtId="164" fontId="15" fillId="51" borderId="32" xfId="189" applyNumberFormat="1" applyFont="1" applyFill="1" applyBorder="1" applyAlignment="1">
      <alignment horizontal="right" vertical="center"/>
      <protection/>
    </xf>
    <xf numFmtId="164" fontId="18" fillId="51" borderId="33" xfId="189" applyNumberFormat="1" applyFont="1" applyFill="1" applyBorder="1" applyAlignment="1">
      <alignment horizontal="right" vertical="center"/>
      <protection/>
    </xf>
    <xf numFmtId="164" fontId="15" fillId="51" borderId="33" xfId="189" applyNumberFormat="1" applyFont="1" applyFill="1" applyBorder="1" applyAlignment="1">
      <alignment horizontal="right" vertical="center"/>
      <protection/>
    </xf>
    <xf numFmtId="164" fontId="18" fillId="79" borderId="33" xfId="189" applyNumberFormat="1" applyFont="1" applyFill="1" applyBorder="1" applyAlignment="1">
      <alignment horizontal="center" vertical="center"/>
      <protection/>
    </xf>
    <xf numFmtId="164" fontId="18" fillId="79" borderId="43" xfId="189" applyNumberFormat="1" applyFont="1" applyFill="1" applyBorder="1" applyAlignment="1">
      <alignment horizontal="center" vertical="center"/>
      <protection/>
    </xf>
    <xf numFmtId="164" fontId="15" fillId="51" borderId="27" xfId="189" applyNumberFormat="1" applyFont="1" applyFill="1" applyBorder="1" applyAlignment="1">
      <alignment horizontal="right" vertical="center"/>
      <protection/>
    </xf>
    <xf numFmtId="2" fontId="15" fillId="51" borderId="6" xfId="189" applyNumberFormat="1" applyFont="1" applyFill="1" applyBorder="1" applyAlignment="1">
      <alignment horizontal="right" vertical="center"/>
      <protection/>
    </xf>
    <xf numFmtId="164" fontId="15" fillId="51" borderId="37" xfId="189" applyNumberFormat="1" applyFont="1" applyFill="1" applyBorder="1" applyAlignment="1">
      <alignment horizontal="right" vertical="center"/>
      <protection/>
    </xf>
    <xf numFmtId="164" fontId="15" fillId="51" borderId="0" xfId="189" applyNumberFormat="1" applyFont="1" applyFill="1" applyBorder="1" applyAlignment="1">
      <alignment horizontal="right" vertical="center"/>
      <protection/>
    </xf>
    <xf numFmtId="164" fontId="15" fillId="79" borderId="0" xfId="189" applyNumberFormat="1" applyFont="1" applyFill="1" applyBorder="1" applyAlignment="1">
      <alignment horizontal="center" vertical="center"/>
      <protection/>
    </xf>
    <xf numFmtId="164" fontId="15" fillId="79" borderId="31" xfId="189" applyNumberFormat="1" applyFont="1" applyFill="1" applyBorder="1" applyAlignment="1">
      <alignment horizontal="center" vertical="center"/>
      <protection/>
    </xf>
    <xf numFmtId="164" fontId="15" fillId="51" borderId="6" xfId="189" applyNumberFormat="1" applyFont="1" applyFill="1" applyBorder="1" applyAlignment="1">
      <alignment horizontal="right" vertical="center"/>
      <protection/>
    </xf>
    <xf numFmtId="2" fontId="15" fillId="51" borderId="34" xfId="189" applyNumberFormat="1" applyFont="1" applyFill="1" applyBorder="1" applyAlignment="1">
      <alignment vertical="center"/>
      <protection/>
    </xf>
    <xf numFmtId="164" fontId="15" fillId="51" borderId="36" xfId="189" applyNumberFormat="1" applyFont="1" applyFill="1" applyBorder="1" applyAlignment="1">
      <alignment vertical="center"/>
      <protection/>
    </xf>
    <xf numFmtId="164" fontId="18" fillId="51" borderId="17" xfId="189" applyNumberFormat="1" applyFont="1" applyFill="1" applyBorder="1" applyAlignment="1">
      <alignment vertical="center"/>
      <protection/>
    </xf>
    <xf numFmtId="164" fontId="15" fillId="51" borderId="17" xfId="189" applyNumberFormat="1" applyFont="1" applyFill="1" applyBorder="1" applyAlignment="1">
      <alignment vertical="center"/>
      <protection/>
    </xf>
    <xf numFmtId="164" fontId="15" fillId="79" borderId="17" xfId="189" applyNumberFormat="1" applyFont="1" applyFill="1" applyBorder="1" applyAlignment="1">
      <alignment horizontal="center" vertical="center"/>
      <protection/>
    </xf>
    <xf numFmtId="164" fontId="15" fillId="79" borderId="35" xfId="189" applyNumberFormat="1" applyFont="1" applyFill="1" applyBorder="1" applyAlignment="1">
      <alignment horizontal="center" vertical="center"/>
      <protection/>
    </xf>
    <xf numFmtId="164" fontId="15" fillId="51" borderId="34" xfId="189" applyNumberFormat="1" applyFont="1" applyFill="1" applyBorder="1" applyAlignment="1">
      <alignment vertical="center"/>
      <protection/>
    </xf>
    <xf numFmtId="164" fontId="1" fillId="79" borderId="33" xfId="189" applyNumberFormat="1" applyFont="1" applyFill="1" applyBorder="1" applyAlignment="1">
      <alignment horizontal="center" vertical="center"/>
      <protection/>
    </xf>
    <xf numFmtId="164" fontId="1" fillId="79" borderId="0" xfId="189" applyNumberFormat="1" applyFont="1" applyFill="1" applyBorder="1" applyAlignment="1">
      <alignment horizontal="center" vertical="center"/>
      <protection/>
    </xf>
    <xf numFmtId="164" fontId="1" fillId="79" borderId="31" xfId="189" applyNumberFormat="1" applyFont="1" applyFill="1" applyBorder="1" applyAlignment="1">
      <alignment horizontal="center" vertical="center"/>
      <protection/>
    </xf>
    <xf numFmtId="164" fontId="1" fillId="79" borderId="39" xfId="189" applyNumberFormat="1" applyFont="1" applyFill="1" applyBorder="1" applyAlignment="1">
      <alignment horizontal="center" vertical="center"/>
      <protection/>
    </xf>
    <xf numFmtId="164" fontId="17" fillId="79" borderId="0" xfId="189" applyNumberFormat="1" applyFont="1" applyFill="1" applyBorder="1" applyAlignment="1">
      <alignment horizontal="center" vertical="center"/>
      <protection/>
    </xf>
    <xf numFmtId="2" fontId="1" fillId="75" borderId="50" xfId="189" applyNumberFormat="1" applyFont="1" applyFill="1" applyBorder="1" applyAlignment="1">
      <alignment horizontal="right" vertical="center"/>
      <protection/>
    </xf>
    <xf numFmtId="164" fontId="1" fillId="75" borderId="36" xfId="189" applyNumberFormat="1" applyFont="1" applyFill="1" applyBorder="1" applyAlignment="1">
      <alignment horizontal="right" vertical="center"/>
      <protection/>
    </xf>
    <xf numFmtId="164" fontId="1" fillId="79" borderId="17" xfId="189" applyNumberFormat="1" applyFont="1" applyFill="1" applyBorder="1" applyAlignment="1">
      <alignment horizontal="center" vertical="center"/>
      <protection/>
    </xf>
    <xf numFmtId="164" fontId="1" fillId="79" borderId="35" xfId="189" applyNumberFormat="1" applyFont="1" applyFill="1" applyBorder="1" applyAlignment="1">
      <alignment horizontal="center" vertical="center"/>
      <protection/>
    </xf>
    <xf numFmtId="164" fontId="1" fillId="79" borderId="0" xfId="189" applyNumberFormat="1" applyFont="1" applyFill="1" applyBorder="1" applyAlignment="1">
      <alignment horizontal="right" vertical="center"/>
      <protection/>
    </xf>
    <xf numFmtId="164" fontId="1" fillId="79" borderId="31" xfId="189" applyNumberFormat="1" applyFont="1" applyFill="1" applyBorder="1" applyAlignment="1">
      <alignment horizontal="right" vertical="center"/>
      <protection/>
    </xf>
    <xf numFmtId="164" fontId="1" fillId="79" borderId="43" xfId="189" applyNumberFormat="1" applyFont="1" applyFill="1" applyBorder="1" applyAlignment="1">
      <alignment horizontal="center" vertical="center"/>
      <protection/>
    </xf>
    <xf numFmtId="164" fontId="1" fillId="79" borderId="17" xfId="189" applyNumberFormat="1" applyFont="1" applyFill="1" applyBorder="1" applyAlignment="1">
      <alignment horizontal="right" vertical="center"/>
      <protection/>
    </xf>
    <xf numFmtId="164" fontId="1" fillId="79" borderId="35" xfId="189" applyNumberFormat="1" applyFont="1" applyFill="1" applyBorder="1" applyAlignment="1">
      <alignment horizontal="right" vertical="center"/>
      <protection/>
    </xf>
    <xf numFmtId="49" fontId="15" fillId="0" borderId="0" xfId="189" applyNumberFormat="1" applyFont="1" applyBorder="1" applyAlignment="1">
      <alignment horizontal="left" wrapText="1"/>
      <protection/>
    </xf>
    <xf numFmtId="49" fontId="15" fillId="0" borderId="0" xfId="189" applyNumberFormat="1" applyFont="1" applyBorder="1" applyAlignment="1">
      <alignment horizontal="left"/>
      <protection/>
    </xf>
    <xf numFmtId="3" fontId="74" fillId="0" borderId="0" xfId="183" applyNumberFormat="1" applyFont="1" applyBorder="1" applyAlignment="1">
      <alignment horizontal="right"/>
      <protection/>
    </xf>
    <xf numFmtId="3" fontId="74" fillId="0" borderId="0" xfId="183" applyNumberFormat="1" applyFont="1" applyFill="1" applyBorder="1" applyAlignment="1">
      <alignment horizontal="right"/>
      <protection/>
    </xf>
    <xf numFmtId="164" fontId="15" fillId="0" borderId="0" xfId="189" applyNumberFormat="1" applyFont="1">
      <alignment/>
      <protection/>
    </xf>
    <xf numFmtId="2" fontId="1" fillId="75" borderId="38" xfId="189" applyNumberFormat="1" applyFont="1" applyFill="1" applyBorder="1" applyAlignment="1">
      <alignment horizontal="right" vertical="center"/>
      <protection/>
    </xf>
    <xf numFmtId="2" fontId="1" fillId="0" borderId="38" xfId="189" applyNumberFormat="1" applyFont="1" applyFill="1" applyBorder="1" applyAlignment="1" quotePrefix="1">
      <alignment horizontal="right" vertical="center"/>
      <protection/>
    </xf>
    <xf numFmtId="164" fontId="17" fillId="75" borderId="37" xfId="189" applyNumberFormat="1" applyFont="1" applyFill="1" applyBorder="1" applyAlignment="1">
      <alignment horizontal="right" vertical="center"/>
      <protection/>
    </xf>
    <xf numFmtId="164" fontId="1" fillId="75" borderId="44" xfId="189" applyNumberFormat="1" applyFont="1" applyFill="1" applyBorder="1" applyAlignment="1">
      <alignment horizontal="right" vertical="center"/>
      <protection/>
    </xf>
    <xf numFmtId="164" fontId="1" fillId="0" borderId="0" xfId="189" applyNumberFormat="1" applyFont="1" applyBorder="1">
      <alignment/>
      <protection/>
    </xf>
    <xf numFmtId="2" fontId="1" fillId="78" borderId="38" xfId="189" applyNumberFormat="1" applyFont="1" applyFill="1" applyBorder="1" applyAlignment="1" quotePrefix="1">
      <alignment horizontal="right" vertical="center"/>
      <protection/>
    </xf>
    <xf numFmtId="164" fontId="1" fillId="75" borderId="38" xfId="189" applyNumberFormat="1" applyFont="1" applyFill="1" applyBorder="1">
      <alignment/>
      <protection/>
    </xf>
    <xf numFmtId="164" fontId="17" fillId="75" borderId="44" xfId="189" applyNumberFormat="1" applyFont="1" applyFill="1" applyBorder="1" applyAlignment="1">
      <alignment horizontal="right" vertical="center"/>
      <protection/>
    </xf>
    <xf numFmtId="2" fontId="1" fillId="0" borderId="37" xfId="189" applyNumberFormat="1" applyFont="1" applyBorder="1" applyAlignment="1">
      <alignment horizontal="right" vertical="center"/>
      <protection/>
    </xf>
    <xf numFmtId="2" fontId="1" fillId="75" borderId="37" xfId="189" applyNumberFormat="1" applyFont="1" applyFill="1" applyBorder="1" applyAlignment="1">
      <alignment horizontal="right" vertical="center"/>
      <protection/>
    </xf>
    <xf numFmtId="164" fontId="17" fillId="0" borderId="38" xfId="189" applyNumberFormat="1" applyFont="1" applyFill="1" applyBorder="1" applyAlignment="1">
      <alignment horizontal="right" vertical="center"/>
      <protection/>
    </xf>
    <xf numFmtId="164" fontId="1" fillId="0" borderId="38" xfId="189" applyNumberFormat="1" applyFont="1" applyBorder="1" applyAlignment="1">
      <alignment horizontal="right" vertical="center"/>
      <protection/>
    </xf>
    <xf numFmtId="164" fontId="1" fillId="75" borderId="31" xfId="189" applyNumberFormat="1" applyFont="1" applyFill="1" applyBorder="1" applyAlignment="1">
      <alignment horizontal="center" vertical="center"/>
      <protection/>
    </xf>
    <xf numFmtId="0" fontId="15" fillId="75" borderId="27" xfId="189" applyFont="1" applyFill="1" applyBorder="1" applyAlignment="1">
      <alignment horizontal="center" vertical="center"/>
      <protection/>
    </xf>
    <xf numFmtId="2" fontId="1" fillId="75" borderId="51" xfId="189" applyNumberFormat="1" applyFont="1" applyFill="1" applyBorder="1" applyAlignment="1">
      <alignment horizontal="right" vertical="center"/>
      <protection/>
    </xf>
    <xf numFmtId="164" fontId="17" fillId="79" borderId="33" xfId="189" applyNumberFormat="1" applyFont="1" applyFill="1" applyBorder="1" applyAlignment="1">
      <alignment horizontal="center" vertical="center"/>
      <protection/>
    </xf>
    <xf numFmtId="0" fontId="14" fillId="0" borderId="32" xfId="189" applyFont="1" applyBorder="1" applyAlignment="1">
      <alignment vertical="center"/>
      <protection/>
    </xf>
    <xf numFmtId="0" fontId="0" fillId="0" borderId="33" xfId="189" applyBorder="1">
      <alignment/>
      <protection/>
    </xf>
    <xf numFmtId="0" fontId="0" fillId="0" borderId="43" xfId="189" applyBorder="1">
      <alignment/>
      <protection/>
    </xf>
    <xf numFmtId="0" fontId="14" fillId="0" borderId="32" xfId="189" applyFont="1" applyBorder="1" applyAlignment="1">
      <alignment horizontal="left"/>
      <protection/>
    </xf>
    <xf numFmtId="0" fontId="1" fillId="73" borderId="36" xfId="189" applyFont="1" applyFill="1" applyBorder="1" applyAlignment="1">
      <alignment horizontal="center" vertical="top" wrapText="1"/>
      <protection/>
    </xf>
    <xf numFmtId="0" fontId="1" fillId="73" borderId="17" xfId="189" applyFont="1" applyFill="1" applyBorder="1" applyAlignment="1">
      <alignment horizontal="center" vertical="top" wrapText="1"/>
      <protection/>
    </xf>
    <xf numFmtId="0" fontId="1" fillId="73" borderId="35" xfId="189" applyFont="1" applyFill="1" applyBorder="1" applyAlignment="1">
      <alignment horizontal="center" vertical="top" wrapText="1"/>
      <protection/>
    </xf>
    <xf numFmtId="0" fontId="1" fillId="73" borderId="6" xfId="189" applyFont="1" applyFill="1" applyBorder="1" applyAlignment="1">
      <alignment vertical="center"/>
      <protection/>
    </xf>
    <xf numFmtId="183" fontId="1" fillId="80" borderId="0" xfId="189" applyNumberFormat="1" applyFont="1" applyFill="1" applyAlignment="1">
      <alignment horizontal="right" vertical="center"/>
      <protection/>
    </xf>
    <xf numFmtId="183" fontId="1" fillId="0" borderId="0" xfId="189" applyNumberFormat="1" applyFont="1" applyAlignment="1">
      <alignment horizontal="right" vertical="center"/>
      <protection/>
    </xf>
    <xf numFmtId="0" fontId="1" fillId="73" borderId="27" xfId="189" applyFont="1" applyFill="1" applyBorder="1" applyAlignment="1">
      <alignment horizontal="right" vertical="center"/>
      <protection/>
    </xf>
    <xf numFmtId="183" fontId="1" fillId="51" borderId="0" xfId="189" applyNumberFormat="1" applyFont="1" applyFill="1" applyAlignment="1">
      <alignment horizontal="right" vertical="center"/>
      <protection/>
    </xf>
    <xf numFmtId="0" fontId="1" fillId="73" borderId="6" xfId="189" applyFont="1" applyFill="1" applyBorder="1" applyAlignment="1">
      <alignment horizontal="right" vertical="center"/>
      <protection/>
    </xf>
    <xf numFmtId="183" fontId="1" fillId="75" borderId="0" xfId="189" applyNumberFormat="1" applyFont="1" applyFill="1" applyAlignment="1">
      <alignment horizontal="right" vertical="center"/>
      <protection/>
    </xf>
    <xf numFmtId="183" fontId="1" fillId="0" borderId="37" xfId="189" applyNumberFormat="1" applyFont="1" applyFill="1" applyBorder="1" applyAlignment="1">
      <alignment horizontal="right" vertical="center"/>
      <protection/>
    </xf>
    <xf numFmtId="183" fontId="1" fillId="0" borderId="0" xfId="189" applyNumberFormat="1" applyFont="1" applyFill="1" applyBorder="1" applyAlignment="1">
      <alignment horizontal="right" vertical="center"/>
      <protection/>
    </xf>
    <xf numFmtId="183" fontId="1" fillId="81" borderId="0" xfId="189" applyNumberFormat="1" applyFont="1" applyFill="1" applyBorder="1" applyAlignment="1">
      <alignment horizontal="right" vertical="center"/>
      <protection/>
    </xf>
    <xf numFmtId="183" fontId="1" fillId="0" borderId="31" xfId="189" applyNumberFormat="1" applyFont="1" applyFill="1" applyBorder="1" applyAlignment="1">
      <alignment horizontal="right" vertical="center"/>
      <protection/>
    </xf>
    <xf numFmtId="183" fontId="1" fillId="75" borderId="0" xfId="189" applyNumberFormat="1" applyFont="1" applyFill="1" applyBorder="1" applyAlignment="1">
      <alignment horizontal="right" vertical="center"/>
      <protection/>
    </xf>
    <xf numFmtId="183" fontId="1" fillId="0" borderId="0" xfId="189" applyNumberFormat="1" applyFont="1" applyFill="1" applyAlignment="1">
      <alignment horizontal="right" vertical="center"/>
      <protection/>
    </xf>
    <xf numFmtId="183" fontId="1" fillId="81" borderId="0" xfId="189" applyNumberFormat="1" applyFont="1" applyFill="1" applyAlignment="1">
      <alignment horizontal="right" vertical="center"/>
      <protection/>
    </xf>
    <xf numFmtId="0" fontId="0" fillId="75" borderId="0" xfId="189" applyFill="1">
      <alignment/>
      <protection/>
    </xf>
    <xf numFmtId="0" fontId="1" fillId="73" borderId="34" xfId="189" applyFont="1" applyFill="1" applyBorder="1" applyAlignment="1">
      <alignment vertical="center"/>
      <protection/>
    </xf>
    <xf numFmtId="183" fontId="1" fillId="75" borderId="36" xfId="189" applyNumberFormat="1" applyFont="1" applyFill="1" applyBorder="1" applyAlignment="1">
      <alignment horizontal="right" vertical="center"/>
      <protection/>
    </xf>
    <xf numFmtId="183" fontId="1" fillId="75" borderId="17" xfId="189" applyNumberFormat="1" applyFont="1" applyFill="1" applyBorder="1" applyAlignment="1">
      <alignment horizontal="right" vertical="center"/>
      <protection/>
    </xf>
    <xf numFmtId="183" fontId="1" fillId="81" borderId="17" xfId="189" applyNumberFormat="1" applyFont="1" applyFill="1" applyBorder="1" applyAlignment="1">
      <alignment horizontal="right" vertical="center"/>
      <protection/>
    </xf>
    <xf numFmtId="0" fontId="1" fillId="73" borderId="34" xfId="189" applyFont="1" applyFill="1" applyBorder="1" applyAlignment="1">
      <alignment horizontal="right" vertical="center"/>
      <protection/>
    </xf>
    <xf numFmtId="2" fontId="0" fillId="0" borderId="0" xfId="189" applyNumberFormat="1">
      <alignment/>
      <protection/>
    </xf>
    <xf numFmtId="177" fontId="1" fillId="0" borderId="0" xfId="189" applyNumberFormat="1" applyFont="1">
      <alignment/>
      <protection/>
    </xf>
    <xf numFmtId="1" fontId="15" fillId="0" borderId="0" xfId="189" applyNumberFormat="1" applyFont="1" applyAlignment="1">
      <alignment vertical="top"/>
      <protection/>
    </xf>
    <xf numFmtId="0" fontId="15" fillId="75" borderId="35" xfId="189" applyFont="1" applyFill="1" applyBorder="1" applyAlignment="1">
      <alignment horizontal="center" vertical="center"/>
      <protection/>
    </xf>
    <xf numFmtId="177" fontId="1" fillId="75" borderId="35" xfId="189" applyNumberFormat="1" applyFont="1" applyFill="1" applyBorder="1" applyAlignment="1">
      <alignment horizontal="right" vertical="center"/>
      <protection/>
    </xf>
    <xf numFmtId="177" fontId="1" fillId="75" borderId="17" xfId="189" applyNumberFormat="1" applyFont="1" applyFill="1" applyBorder="1" applyAlignment="1">
      <alignment horizontal="right" vertical="center"/>
      <protection/>
    </xf>
    <xf numFmtId="171" fontId="1" fillId="75" borderId="17" xfId="189" applyNumberFormat="1" applyFont="1" applyFill="1" applyBorder="1" applyAlignment="1">
      <alignment horizontal="right" vertical="center"/>
      <protection/>
    </xf>
    <xf numFmtId="177" fontId="1" fillId="75" borderId="36" xfId="189" applyNumberFormat="1" applyFont="1" applyFill="1" applyBorder="1" applyAlignment="1">
      <alignment horizontal="right" vertical="center"/>
      <protection/>
    </xf>
    <xf numFmtId="177" fontId="17" fillId="0" borderId="0" xfId="189" applyNumberFormat="1" applyFont="1" applyFill="1" applyBorder="1" applyAlignment="1">
      <alignment horizontal="right" vertical="center"/>
      <protection/>
    </xf>
    <xf numFmtId="177" fontId="1" fillId="0" borderId="0" xfId="189" applyNumberFormat="1" applyFont="1" applyFill="1" applyBorder="1" applyAlignment="1">
      <alignment horizontal="right" vertical="center"/>
      <protection/>
    </xf>
    <xf numFmtId="171" fontId="1" fillId="0" borderId="0" xfId="189" applyNumberFormat="1" applyFont="1" applyFill="1" applyBorder="1" applyAlignment="1">
      <alignment horizontal="right" vertical="center"/>
      <protection/>
    </xf>
    <xf numFmtId="177" fontId="1" fillId="0" borderId="37" xfId="189" applyNumberFormat="1" applyFont="1" applyFill="1" applyBorder="1" applyAlignment="1">
      <alignment horizontal="right" vertical="center"/>
      <protection/>
    </xf>
    <xf numFmtId="177" fontId="17" fillId="75" borderId="33" xfId="189" applyNumberFormat="1" applyFont="1" applyFill="1" applyBorder="1" applyAlignment="1">
      <alignment horizontal="right" vertical="center"/>
      <protection/>
    </xf>
    <xf numFmtId="177" fontId="17" fillId="75" borderId="0" xfId="189" applyNumberFormat="1" applyFont="1" applyFill="1" applyBorder="1" applyAlignment="1">
      <alignment horizontal="right" vertical="center"/>
      <protection/>
    </xf>
    <xf numFmtId="177" fontId="1" fillId="75" borderId="0" xfId="189" applyNumberFormat="1" applyFont="1" applyFill="1" applyBorder="1" applyAlignment="1">
      <alignment horizontal="right" vertical="center"/>
      <protection/>
    </xf>
    <xf numFmtId="171" fontId="1" fillId="75" borderId="0" xfId="189" applyNumberFormat="1" applyFont="1" applyFill="1" applyBorder="1" applyAlignment="1">
      <alignment horizontal="right" vertical="center"/>
      <protection/>
    </xf>
    <xf numFmtId="177" fontId="1" fillId="75" borderId="0" xfId="189" applyNumberFormat="1" applyFont="1" applyFill="1" applyBorder="1" applyAlignment="1" quotePrefix="1">
      <alignment horizontal="right" vertical="center"/>
      <protection/>
    </xf>
    <xf numFmtId="177" fontId="1" fillId="75" borderId="37" xfId="189" applyNumberFormat="1" applyFont="1" applyFill="1" applyBorder="1" applyAlignment="1" quotePrefix="1">
      <alignment horizontal="right" vertical="center"/>
      <protection/>
    </xf>
    <xf numFmtId="0" fontId="15" fillId="0" borderId="35" xfId="189" applyFont="1" applyFill="1" applyBorder="1" applyAlignment="1">
      <alignment horizontal="center" vertical="center"/>
      <protection/>
    </xf>
    <xf numFmtId="177" fontId="1" fillId="0" borderId="35" xfId="189" applyNumberFormat="1" applyFont="1" applyFill="1" applyBorder="1" applyAlignment="1">
      <alignment horizontal="right" vertical="center"/>
      <protection/>
    </xf>
    <xf numFmtId="177" fontId="1" fillId="0" borderId="17" xfId="189" applyNumberFormat="1" applyFont="1" applyFill="1" applyBorder="1" applyAlignment="1">
      <alignment horizontal="right" vertical="center"/>
      <protection/>
    </xf>
    <xf numFmtId="171" fontId="1" fillId="0" borderId="17" xfId="189" applyNumberFormat="1" applyFont="1" applyFill="1" applyBorder="1" applyAlignment="1">
      <alignment horizontal="right" vertical="center"/>
      <protection/>
    </xf>
    <xf numFmtId="177" fontId="1" fillId="0" borderId="36" xfId="189" applyNumberFormat="1" applyFont="1" applyFill="1" applyBorder="1" applyAlignment="1">
      <alignment horizontal="right" vertical="center"/>
      <protection/>
    </xf>
    <xf numFmtId="0" fontId="15" fillId="75" borderId="31" xfId="189" applyFont="1" applyFill="1" applyBorder="1" applyAlignment="1">
      <alignment horizontal="center" vertical="center"/>
      <protection/>
    </xf>
    <xf numFmtId="177" fontId="1" fillId="75" borderId="31" xfId="189" applyNumberFormat="1" applyFont="1" applyFill="1" applyBorder="1" applyAlignment="1">
      <alignment horizontal="right" vertical="center"/>
      <protection/>
    </xf>
    <xf numFmtId="177" fontId="1" fillId="75" borderId="37" xfId="189" applyNumberFormat="1" applyFont="1" applyFill="1" applyBorder="1" applyAlignment="1">
      <alignment horizontal="right" vertical="center"/>
      <protection/>
    </xf>
    <xf numFmtId="0" fontId="15" fillId="0" borderId="31" xfId="189" applyFont="1" applyFill="1" applyBorder="1" applyAlignment="1">
      <alignment horizontal="center" vertical="center"/>
      <protection/>
    </xf>
    <xf numFmtId="177" fontId="1" fillId="0" borderId="31" xfId="189" applyNumberFormat="1" applyFont="1" applyFill="1" applyBorder="1" applyAlignment="1">
      <alignment horizontal="right" vertical="center"/>
      <protection/>
    </xf>
    <xf numFmtId="177" fontId="17" fillId="0" borderId="31" xfId="189" applyNumberFormat="1" applyFont="1" applyFill="1" applyBorder="1" applyAlignment="1">
      <alignment horizontal="right" vertical="center"/>
      <protection/>
    </xf>
    <xf numFmtId="177" fontId="1" fillId="0" borderId="33" xfId="189" applyNumberFormat="1" applyFont="1" applyFill="1" applyBorder="1" applyAlignment="1">
      <alignment horizontal="right" vertical="center"/>
      <protection/>
    </xf>
    <xf numFmtId="177" fontId="17" fillId="75" borderId="35" xfId="189" applyNumberFormat="1" applyFont="1" applyFill="1" applyBorder="1" applyAlignment="1">
      <alignment horizontal="right" vertical="center"/>
      <protection/>
    </xf>
    <xf numFmtId="177" fontId="1" fillId="0" borderId="0" xfId="189" applyNumberFormat="1" applyFont="1" applyFill="1" applyBorder="1" applyAlignment="1" quotePrefix="1">
      <alignment horizontal="right" vertical="center"/>
      <protection/>
    </xf>
    <xf numFmtId="177" fontId="1" fillId="0" borderId="37" xfId="189" applyNumberFormat="1" applyFont="1" applyFill="1" applyBorder="1" applyAlignment="1" quotePrefix="1">
      <alignment horizontal="right" vertical="center"/>
      <protection/>
    </xf>
    <xf numFmtId="171" fontId="17" fillId="51" borderId="0" xfId="189" applyNumberFormat="1" applyFont="1" applyFill="1" applyBorder="1" applyAlignment="1">
      <alignment horizontal="right" vertical="center"/>
      <protection/>
    </xf>
    <xf numFmtId="171" fontId="1" fillId="0" borderId="38" xfId="189" applyNumberFormat="1" applyFont="1" applyFill="1" applyBorder="1" applyAlignment="1">
      <alignment horizontal="right" vertical="center"/>
      <protection/>
    </xf>
    <xf numFmtId="177" fontId="17" fillId="0" borderId="33" xfId="189" applyNumberFormat="1" applyFont="1" applyFill="1" applyBorder="1" applyAlignment="1">
      <alignment horizontal="right" vertical="center"/>
      <protection/>
    </xf>
    <xf numFmtId="177" fontId="15" fillId="51" borderId="35" xfId="189" applyNumberFormat="1" applyFont="1" applyFill="1" applyBorder="1" applyAlignment="1">
      <alignment horizontal="right" vertical="center"/>
      <protection/>
    </xf>
    <xf numFmtId="177" fontId="15" fillId="51" borderId="17" xfId="189" applyNumberFormat="1" applyFont="1" applyFill="1" applyBorder="1" applyAlignment="1">
      <alignment horizontal="right" vertical="center"/>
      <protection/>
    </xf>
    <xf numFmtId="177" fontId="15" fillId="51" borderId="36" xfId="189" applyNumberFormat="1" applyFont="1" applyFill="1" applyBorder="1" applyAlignment="1">
      <alignment horizontal="right" vertical="center"/>
      <protection/>
    </xf>
    <xf numFmtId="177" fontId="18" fillId="51" borderId="31" xfId="189" applyNumberFormat="1" applyFont="1" applyFill="1" applyBorder="1" applyAlignment="1">
      <alignment horizontal="right" vertical="center"/>
      <protection/>
    </xf>
    <xf numFmtId="177" fontId="18" fillId="51" borderId="0" xfId="189" applyNumberFormat="1" applyFont="1" applyFill="1" applyBorder="1" applyAlignment="1">
      <alignment horizontal="right" vertical="center"/>
      <protection/>
    </xf>
    <xf numFmtId="177" fontId="15" fillId="51" borderId="0" xfId="189" applyNumberFormat="1" applyFont="1" applyFill="1" applyBorder="1" applyAlignment="1">
      <alignment horizontal="right" vertical="center"/>
      <protection/>
    </xf>
    <xf numFmtId="177" fontId="15" fillId="51" borderId="37" xfId="189" applyNumberFormat="1" applyFont="1" applyFill="1" applyBorder="1" applyAlignment="1">
      <alignment horizontal="right" vertical="center"/>
      <protection/>
    </xf>
    <xf numFmtId="177" fontId="18" fillId="51" borderId="43" xfId="189" applyNumberFormat="1" applyFont="1" applyFill="1" applyBorder="1" applyAlignment="1">
      <alignment horizontal="right" vertical="center"/>
      <protection/>
    </xf>
    <xf numFmtId="177" fontId="18" fillId="51" borderId="33" xfId="189" applyNumberFormat="1" applyFont="1" applyFill="1" applyBorder="1" applyAlignment="1">
      <alignment horizontal="right" vertical="center"/>
      <protection/>
    </xf>
    <xf numFmtId="177" fontId="15" fillId="51" borderId="33" xfId="189" applyNumberFormat="1" applyFont="1" applyFill="1" applyBorder="1" applyAlignment="1">
      <alignment horizontal="right" vertical="center"/>
      <protection/>
    </xf>
    <xf numFmtId="177" fontId="15" fillId="51" borderId="32" xfId="189" applyNumberFormat="1" applyFont="1" applyFill="1" applyBorder="1" applyAlignment="1">
      <alignment horizontal="right" vertical="center"/>
      <protection/>
    </xf>
    <xf numFmtId="1" fontId="15" fillId="73" borderId="43" xfId="189" applyNumberFormat="1" applyFont="1" applyFill="1" applyBorder="1" applyAlignment="1">
      <alignment horizontal="center" vertical="center"/>
      <protection/>
    </xf>
    <xf numFmtId="1" fontId="15" fillId="73" borderId="33" xfId="189" applyNumberFormat="1" applyFont="1" applyFill="1" applyBorder="1" applyAlignment="1">
      <alignment horizontal="center" vertical="center"/>
      <protection/>
    </xf>
    <xf numFmtId="1" fontId="15" fillId="73" borderId="24" xfId="189" applyNumberFormat="1" applyFont="1" applyFill="1" applyBorder="1" applyAlignment="1">
      <alignment horizontal="center" vertical="center"/>
      <protection/>
    </xf>
    <xf numFmtId="1" fontId="15" fillId="73" borderId="28" xfId="189" applyNumberFormat="1" applyFont="1" applyFill="1" applyBorder="1" applyAlignment="1">
      <alignment horizontal="center" vertical="center"/>
      <protection/>
    </xf>
    <xf numFmtId="0" fontId="0" fillId="0" borderId="0" xfId="189" applyFont="1" applyBorder="1" applyAlignment="1">
      <alignment horizontal="right" vertical="top"/>
      <protection/>
    </xf>
    <xf numFmtId="0" fontId="0" fillId="0" borderId="17" xfId="189" applyFont="1" applyBorder="1" applyAlignment="1">
      <alignment horizontal="right" vertical="top"/>
      <protection/>
    </xf>
    <xf numFmtId="0" fontId="1" fillId="0" borderId="0" xfId="189" applyFont="1" applyFill="1" applyBorder="1">
      <alignment/>
      <protection/>
    </xf>
    <xf numFmtId="0" fontId="0" fillId="0" borderId="0" xfId="189" applyFont="1" applyBorder="1" applyAlignment="1">
      <alignment horizontal="center" vertical="center"/>
      <protection/>
    </xf>
    <xf numFmtId="0" fontId="9" fillId="0" borderId="0" xfId="189" applyFont="1" applyAlignment="1">
      <alignment vertical="top" wrapText="1"/>
      <protection/>
    </xf>
    <xf numFmtId="177" fontId="1" fillId="51" borderId="33" xfId="189" applyNumberFormat="1" applyFont="1" applyFill="1" applyBorder="1" applyAlignment="1">
      <alignment horizontal="right" vertical="center"/>
      <protection/>
    </xf>
    <xf numFmtId="0" fontId="2" fillId="0" borderId="0" xfId="189" applyFont="1">
      <alignment/>
      <protection/>
    </xf>
    <xf numFmtId="0" fontId="0" fillId="0" borderId="0" xfId="189" applyFill="1">
      <alignment/>
      <protection/>
    </xf>
    <xf numFmtId="0" fontId="15" fillId="0" borderId="0" xfId="189" applyFont="1" applyFill="1" applyBorder="1" applyAlignment="1">
      <alignment horizontal="center" vertical="center" wrapText="1"/>
      <protection/>
    </xf>
    <xf numFmtId="177" fontId="17" fillId="0" borderId="32" xfId="189" applyNumberFormat="1" applyFont="1" applyFill="1" applyBorder="1" applyAlignment="1">
      <alignment horizontal="right" vertical="center"/>
      <protection/>
    </xf>
    <xf numFmtId="177" fontId="1" fillId="0" borderId="43" xfId="189" applyNumberFormat="1" applyFont="1" applyFill="1" applyBorder="1" applyAlignment="1">
      <alignment horizontal="right" vertical="center"/>
      <protection/>
    </xf>
    <xf numFmtId="177" fontId="1" fillId="51" borderId="0" xfId="189" applyNumberFormat="1" applyFont="1" applyFill="1" applyBorder="1" applyAlignment="1">
      <alignment vertical="center"/>
      <protection/>
    </xf>
    <xf numFmtId="177" fontId="1" fillId="51" borderId="31" xfId="189" applyNumberFormat="1" applyFont="1" applyFill="1" applyBorder="1" applyAlignment="1">
      <alignment vertical="center"/>
      <protection/>
    </xf>
    <xf numFmtId="177" fontId="1" fillId="0" borderId="0" xfId="189" applyNumberFormat="1" applyFont="1" applyFill="1" applyBorder="1" applyAlignment="1">
      <alignment vertical="center"/>
      <protection/>
    </xf>
    <xf numFmtId="177" fontId="1" fillId="0" borderId="31" xfId="189" applyNumberFormat="1" applyFont="1" applyFill="1" applyBorder="1" applyAlignment="1">
      <alignment vertical="center"/>
      <protection/>
    </xf>
    <xf numFmtId="171" fontId="0" fillId="0" borderId="0" xfId="189" applyNumberFormat="1">
      <alignment/>
      <protection/>
    </xf>
    <xf numFmtId="177" fontId="17" fillId="75" borderId="31" xfId="189" applyNumberFormat="1" applyFont="1" applyFill="1" applyBorder="1" applyAlignment="1">
      <alignment horizontal="right" vertical="center"/>
      <protection/>
    </xf>
    <xf numFmtId="0" fontId="122" fillId="0" borderId="0" xfId="189" applyFont="1" applyAlignment="1" applyProtection="1">
      <alignment horizontal="left"/>
      <protection locked="0"/>
    </xf>
    <xf numFmtId="177" fontId="1" fillId="75" borderId="0" xfId="189" applyNumberFormat="1" applyFont="1" applyFill="1" applyBorder="1" applyAlignment="1">
      <alignment horizontal="center" vertical="center"/>
      <protection/>
    </xf>
    <xf numFmtId="177" fontId="1" fillId="75" borderId="31" xfId="189" applyNumberFormat="1" applyFont="1" applyFill="1" applyBorder="1" applyAlignment="1">
      <alignment horizontal="center" vertical="center"/>
      <protection/>
    </xf>
    <xf numFmtId="177" fontId="1" fillId="0" borderId="0" xfId="189" applyNumberFormat="1" applyFont="1" applyFill="1" applyBorder="1" applyAlignment="1">
      <alignment horizontal="center" vertical="center"/>
      <protection/>
    </xf>
    <xf numFmtId="177" fontId="1" fillId="75" borderId="32" xfId="189" applyNumberFormat="1" applyFont="1" applyFill="1" applyBorder="1" applyAlignment="1">
      <alignment horizontal="right" vertical="center"/>
      <protection/>
    </xf>
    <xf numFmtId="177" fontId="17" fillId="0" borderId="37" xfId="189" applyNumberFormat="1" applyFont="1" applyFill="1" applyBorder="1" applyAlignment="1">
      <alignment horizontal="right" vertical="center"/>
      <protection/>
    </xf>
    <xf numFmtId="177" fontId="1" fillId="75" borderId="33" xfId="189" applyNumberFormat="1" applyFont="1" applyFill="1" applyBorder="1" applyAlignment="1">
      <alignment horizontal="right" vertical="center"/>
      <protection/>
    </xf>
    <xf numFmtId="177" fontId="1" fillId="75" borderId="43" xfId="189" applyNumberFormat="1" applyFont="1" applyFill="1" applyBorder="1" applyAlignment="1">
      <alignment horizontal="right" vertical="center"/>
      <protection/>
    </xf>
    <xf numFmtId="3" fontId="0" fillId="0" borderId="0" xfId="189" applyNumberFormat="1" applyAlignment="1">
      <alignment wrapText="1"/>
      <protection/>
    </xf>
    <xf numFmtId="1" fontId="15" fillId="73" borderId="32" xfId="189" applyNumberFormat="1" applyFont="1" applyFill="1" applyBorder="1" applyAlignment="1">
      <alignment horizontal="center"/>
      <protection/>
    </xf>
    <xf numFmtId="0" fontId="1" fillId="82" borderId="32" xfId="189" applyFont="1" applyFill="1" applyBorder="1">
      <alignment/>
      <protection/>
    </xf>
    <xf numFmtId="0" fontId="15" fillId="82" borderId="33" xfId="189" applyFont="1" applyFill="1" applyBorder="1" applyAlignment="1">
      <alignment horizontal="center" wrapText="1"/>
      <protection/>
    </xf>
    <xf numFmtId="0" fontId="15" fillId="82" borderId="43" xfId="189" applyFont="1" applyFill="1" applyBorder="1" applyAlignment="1">
      <alignment horizontal="center" wrapText="1"/>
      <protection/>
    </xf>
    <xf numFmtId="1" fontId="15" fillId="73" borderId="36" xfId="189" applyNumberFormat="1" applyFont="1" applyFill="1" applyBorder="1" applyAlignment="1">
      <alignment horizontal="center" vertical="center"/>
      <protection/>
    </xf>
    <xf numFmtId="0" fontId="15" fillId="82" borderId="36" xfId="189" applyFont="1" applyFill="1" applyBorder="1" applyAlignment="1">
      <alignment horizontal="center" vertical="top" wrapText="1"/>
      <protection/>
    </xf>
    <xf numFmtId="0" fontId="15" fillId="82" borderId="17" xfId="189" applyFont="1" applyFill="1" applyBorder="1" applyAlignment="1">
      <alignment horizontal="center" vertical="top" wrapText="1"/>
      <protection/>
    </xf>
    <xf numFmtId="0" fontId="15" fillId="82" borderId="35" xfId="189" applyFont="1" applyFill="1" applyBorder="1" applyAlignment="1">
      <alignment horizontal="center" vertical="top" wrapText="1"/>
      <protection/>
    </xf>
    <xf numFmtId="177" fontId="15" fillId="51" borderId="32" xfId="189" applyNumberFormat="1" applyFont="1" applyFill="1" applyBorder="1" applyAlignment="1">
      <alignment vertical="center"/>
      <protection/>
    </xf>
    <xf numFmtId="177" fontId="15" fillId="51" borderId="33" xfId="189" applyNumberFormat="1" applyFont="1" applyFill="1" applyBorder="1" applyAlignment="1">
      <alignment vertical="center"/>
      <protection/>
    </xf>
    <xf numFmtId="177" fontId="15" fillId="51" borderId="44" xfId="189" applyNumberFormat="1" applyFont="1" applyFill="1" applyBorder="1" applyAlignment="1">
      <alignment horizontal="right" vertical="center"/>
      <protection/>
    </xf>
    <xf numFmtId="177" fontId="18" fillId="51" borderId="33" xfId="189" applyNumberFormat="1" applyFont="1" applyFill="1" applyBorder="1" applyAlignment="1">
      <alignment vertical="center"/>
      <protection/>
    </xf>
    <xf numFmtId="177" fontId="18" fillId="51" borderId="44" xfId="189" applyNumberFormat="1" applyFont="1" applyFill="1" applyBorder="1" applyAlignment="1">
      <alignment vertical="center"/>
      <protection/>
    </xf>
    <xf numFmtId="177" fontId="15" fillId="51" borderId="37" xfId="189" applyNumberFormat="1" applyFont="1" applyFill="1" applyBorder="1" applyAlignment="1">
      <alignment vertical="center"/>
      <protection/>
    </xf>
    <xf numFmtId="177" fontId="15" fillId="51" borderId="0" xfId="189" applyNumberFormat="1" applyFont="1" applyFill="1" applyBorder="1" applyAlignment="1">
      <alignment vertical="center"/>
      <protection/>
    </xf>
    <xf numFmtId="177" fontId="15" fillId="51" borderId="39" xfId="189" applyNumberFormat="1" applyFont="1" applyFill="1" applyBorder="1" applyAlignment="1">
      <alignment horizontal="right" vertical="center"/>
      <protection/>
    </xf>
    <xf numFmtId="177" fontId="18" fillId="51" borderId="0" xfId="189" applyNumberFormat="1" applyFont="1" applyFill="1" applyBorder="1" applyAlignment="1">
      <alignment vertical="center"/>
      <protection/>
    </xf>
    <xf numFmtId="177" fontId="18" fillId="51" borderId="39" xfId="189" applyNumberFormat="1" applyFont="1" applyFill="1" applyBorder="1" applyAlignment="1">
      <alignment vertical="center"/>
      <protection/>
    </xf>
    <xf numFmtId="177" fontId="15" fillId="51" borderId="36" xfId="189" applyNumberFormat="1" applyFont="1" applyFill="1" applyBorder="1" applyAlignment="1">
      <alignment vertical="center"/>
      <protection/>
    </xf>
    <xf numFmtId="177" fontId="15" fillId="51" borderId="17" xfId="189" applyNumberFormat="1" applyFont="1" applyFill="1" applyBorder="1" applyAlignment="1">
      <alignment vertical="center"/>
      <protection/>
    </xf>
    <xf numFmtId="164" fontId="15" fillId="51" borderId="17" xfId="189" applyNumberFormat="1" applyFont="1" applyFill="1" applyBorder="1" applyAlignment="1">
      <alignment horizontal="right" vertical="center"/>
      <protection/>
    </xf>
    <xf numFmtId="177" fontId="1" fillId="0" borderId="32" xfId="189" applyNumberFormat="1" applyFont="1" applyFill="1" applyBorder="1" applyAlignment="1">
      <alignment vertical="center"/>
      <protection/>
    </xf>
    <xf numFmtId="177" fontId="1" fillId="0" borderId="33" xfId="189" applyNumberFormat="1" applyFont="1" applyFill="1" applyBorder="1" applyAlignment="1">
      <alignment vertical="center"/>
      <protection/>
    </xf>
    <xf numFmtId="177" fontId="1" fillId="0" borderId="37" xfId="189" applyNumberFormat="1" applyFont="1" applyBorder="1" applyAlignment="1">
      <alignment vertical="center"/>
      <protection/>
    </xf>
    <xf numFmtId="177" fontId="1" fillId="0" borderId="0" xfId="189" applyNumberFormat="1" applyFont="1" applyBorder="1" applyAlignment="1">
      <alignment vertical="center"/>
      <protection/>
    </xf>
    <xf numFmtId="177" fontId="17" fillId="0" borderId="0" xfId="189" applyNumberFormat="1" applyFont="1" applyBorder="1" applyAlignment="1">
      <alignment vertical="center"/>
      <protection/>
    </xf>
    <xf numFmtId="164" fontId="1" fillId="0" borderId="0" xfId="189" applyNumberFormat="1" applyFont="1" applyFill="1" applyBorder="1" applyAlignment="1">
      <alignment vertical="center"/>
      <protection/>
    </xf>
    <xf numFmtId="177" fontId="1" fillId="51" borderId="37" xfId="189" applyNumberFormat="1" applyFont="1" applyFill="1" applyBorder="1" applyAlignment="1">
      <alignment vertical="center"/>
      <protection/>
    </xf>
    <xf numFmtId="177" fontId="1" fillId="0" borderId="37" xfId="189" applyNumberFormat="1" applyFont="1" applyFill="1" applyBorder="1" applyAlignment="1">
      <alignment vertical="center"/>
      <protection/>
    </xf>
    <xf numFmtId="177" fontId="1" fillId="0" borderId="39" xfId="189" applyNumberFormat="1" applyFont="1" applyFill="1" applyBorder="1" applyAlignment="1">
      <alignment horizontal="right" vertical="center"/>
      <protection/>
    </xf>
    <xf numFmtId="177" fontId="1" fillId="0" borderId="39" xfId="189" applyNumberFormat="1" applyFont="1" applyBorder="1" applyAlignment="1">
      <alignment vertical="center"/>
      <protection/>
    </xf>
    <xf numFmtId="177" fontId="1" fillId="51" borderId="39" xfId="189" applyNumberFormat="1" applyFont="1" applyFill="1" applyBorder="1" applyAlignment="1">
      <alignment horizontal="right" vertical="center"/>
      <protection/>
    </xf>
    <xf numFmtId="164" fontId="1" fillId="51" borderId="0" xfId="189" applyNumberFormat="1" applyFont="1" applyFill="1" applyBorder="1" applyAlignment="1">
      <alignment vertical="center"/>
      <protection/>
    </xf>
    <xf numFmtId="177" fontId="1" fillId="0" borderId="37" xfId="189" applyNumberFormat="1" applyFont="1" applyBorder="1" applyAlignment="1">
      <alignment horizontal="right" vertical="center"/>
      <protection/>
    </xf>
    <xf numFmtId="177" fontId="1" fillId="0" borderId="0" xfId="189" applyNumberFormat="1" applyFont="1" applyBorder="1" applyAlignment="1">
      <alignment horizontal="right" vertical="center"/>
      <protection/>
    </xf>
    <xf numFmtId="177" fontId="1" fillId="0" borderId="37" xfId="189" applyNumberFormat="1" applyFont="1" applyBorder="1" applyAlignment="1" quotePrefix="1">
      <alignment horizontal="right" vertical="center"/>
      <protection/>
    </xf>
    <xf numFmtId="177" fontId="1" fillId="0" borderId="0" xfId="189" applyNumberFormat="1" applyFont="1" applyBorder="1" applyAlignment="1" quotePrefix="1">
      <alignment horizontal="right" vertical="center"/>
      <protection/>
    </xf>
    <xf numFmtId="164" fontId="1" fillId="0" borderId="0" xfId="189" applyNumberFormat="1" applyFont="1" applyBorder="1" applyAlignment="1" quotePrefix="1">
      <alignment horizontal="right" vertical="center"/>
      <protection/>
    </xf>
    <xf numFmtId="177" fontId="1" fillId="0" borderId="0" xfId="189" applyNumberFormat="1" applyFont="1" applyFill="1" applyBorder="1" applyAlignment="1">
      <alignment horizontal="right"/>
      <protection/>
    </xf>
    <xf numFmtId="177" fontId="1" fillId="75" borderId="37" xfId="189" applyNumberFormat="1" applyFont="1" applyFill="1" applyBorder="1" applyAlignment="1">
      <alignment vertical="center"/>
      <protection/>
    </xf>
    <xf numFmtId="177" fontId="1" fillId="75" borderId="0" xfId="189" applyNumberFormat="1" applyFont="1" applyFill="1" applyBorder="1" applyAlignment="1">
      <alignment vertical="center"/>
      <protection/>
    </xf>
    <xf numFmtId="164" fontId="1" fillId="75" borderId="0" xfId="189" applyNumberFormat="1" applyFont="1" applyFill="1" applyBorder="1" applyAlignment="1">
      <alignment vertical="center"/>
      <protection/>
    </xf>
    <xf numFmtId="177" fontId="17" fillId="0" borderId="33" xfId="189" applyNumberFormat="1" applyFont="1" applyFill="1" applyBorder="1" applyAlignment="1">
      <alignment vertical="center"/>
      <protection/>
    </xf>
    <xf numFmtId="164" fontId="17" fillId="0" borderId="33" xfId="189" applyNumberFormat="1" applyFont="1" applyFill="1" applyBorder="1" applyAlignment="1">
      <alignment vertical="center"/>
      <protection/>
    </xf>
    <xf numFmtId="177" fontId="1" fillId="0" borderId="36" xfId="189" applyNumberFormat="1" applyFont="1" applyFill="1" applyBorder="1" applyAlignment="1">
      <alignment vertical="center"/>
      <protection/>
    </xf>
    <xf numFmtId="177" fontId="1" fillId="0" borderId="17" xfId="189" applyNumberFormat="1" applyFont="1" applyFill="1" applyBorder="1" applyAlignment="1">
      <alignment vertical="center"/>
      <protection/>
    </xf>
    <xf numFmtId="177" fontId="1" fillId="75" borderId="33" xfId="189" applyNumberFormat="1" applyFont="1" applyFill="1" applyBorder="1" applyAlignment="1" quotePrefix="1">
      <alignment horizontal="right" vertical="center"/>
      <protection/>
    </xf>
    <xf numFmtId="177" fontId="1" fillId="75" borderId="32" xfId="189" applyNumberFormat="1" applyFont="1" applyFill="1" applyBorder="1" applyAlignment="1" quotePrefix="1">
      <alignment horizontal="right" vertical="center"/>
      <protection/>
    </xf>
    <xf numFmtId="3" fontId="1" fillId="75" borderId="33" xfId="189" applyNumberFormat="1" applyFont="1" applyFill="1" applyBorder="1" applyAlignment="1" quotePrefix="1">
      <alignment horizontal="right" vertical="center"/>
      <protection/>
    </xf>
    <xf numFmtId="177" fontId="1" fillId="75" borderId="36" xfId="189" applyNumberFormat="1" applyFont="1" applyFill="1" applyBorder="1" applyAlignment="1">
      <alignment vertical="center"/>
      <protection/>
    </xf>
    <xf numFmtId="177" fontId="1" fillId="75" borderId="17" xfId="189" applyNumberFormat="1" applyFont="1" applyFill="1" applyBorder="1" applyAlignment="1">
      <alignment vertical="center"/>
      <protection/>
    </xf>
    <xf numFmtId="164" fontId="1" fillId="75" borderId="17" xfId="189" applyNumberFormat="1" applyFont="1" applyFill="1" applyBorder="1" applyAlignment="1">
      <alignment vertical="center"/>
      <protection/>
    </xf>
    <xf numFmtId="177" fontId="1" fillId="51" borderId="32" xfId="189" applyNumberFormat="1" applyFont="1" applyFill="1" applyBorder="1" applyAlignment="1">
      <alignment vertical="center"/>
      <protection/>
    </xf>
    <xf numFmtId="177" fontId="1" fillId="51" borderId="33" xfId="189" applyNumberFormat="1" applyFont="1" applyFill="1" applyBorder="1" applyAlignment="1">
      <alignment vertical="center"/>
      <protection/>
    </xf>
    <xf numFmtId="177" fontId="1" fillId="51" borderId="38" xfId="189" applyNumberFormat="1" applyFont="1" applyFill="1" applyBorder="1" applyAlignment="1">
      <alignment vertical="center"/>
      <protection/>
    </xf>
    <xf numFmtId="177" fontId="1" fillId="75" borderId="39" xfId="189" applyNumberFormat="1" applyFont="1" applyFill="1" applyBorder="1" applyAlignment="1">
      <alignment horizontal="right" vertical="center"/>
      <protection/>
    </xf>
    <xf numFmtId="0" fontId="8" fillId="0" borderId="0" xfId="189" applyFont="1" applyAlignment="1">
      <alignment horizontal="center"/>
      <protection/>
    </xf>
    <xf numFmtId="1" fontId="9" fillId="0" borderId="0" xfId="189" applyNumberFormat="1" applyFont="1" applyAlignment="1">
      <alignment horizontal="center"/>
      <protection/>
    </xf>
    <xf numFmtId="9" fontId="9" fillId="0" borderId="0" xfId="189" applyNumberFormat="1" applyFont="1" applyAlignment="1">
      <alignment horizontal="center"/>
      <protection/>
    </xf>
    <xf numFmtId="0" fontId="15" fillId="0" borderId="0" xfId="189" applyFont="1" applyAlignment="1">
      <alignment horizontal="center"/>
      <protection/>
    </xf>
    <xf numFmtId="1" fontId="1" fillId="0" borderId="0" xfId="189" applyNumberFormat="1" applyFont="1" applyAlignment="1">
      <alignment horizontal="center"/>
      <protection/>
    </xf>
    <xf numFmtId="0" fontId="1" fillId="0" borderId="0" xfId="189" applyFont="1" applyBorder="1" applyAlignment="1" applyProtection="1">
      <alignment horizontal="right" vertical="center"/>
      <protection/>
    </xf>
    <xf numFmtId="0" fontId="16" fillId="73" borderId="43" xfId="189" applyFont="1" applyFill="1" applyBorder="1" applyAlignment="1">
      <alignment horizontal="center" wrapText="1"/>
      <protection/>
    </xf>
    <xf numFmtId="1" fontId="15" fillId="73" borderId="37" xfId="189" applyNumberFormat="1" applyFont="1" applyFill="1" applyBorder="1" applyAlignment="1">
      <alignment horizontal="center" vertical="center"/>
      <protection/>
    </xf>
    <xf numFmtId="0" fontId="15" fillId="73" borderId="0" xfId="189" applyFont="1" applyFill="1" applyBorder="1" applyAlignment="1">
      <alignment horizontal="center" vertical="top"/>
      <protection/>
    </xf>
    <xf numFmtId="0" fontId="15" fillId="73" borderId="17" xfId="189" applyFont="1" applyFill="1" applyBorder="1" applyAlignment="1">
      <alignment horizontal="center" vertical="top"/>
      <protection/>
    </xf>
    <xf numFmtId="0" fontId="15" fillId="73" borderId="35" xfId="189" applyFont="1" applyFill="1" applyBorder="1" applyAlignment="1">
      <alignment horizontal="center" vertical="top"/>
      <protection/>
    </xf>
    <xf numFmtId="177" fontId="15" fillId="75" borderId="27" xfId="189" applyNumberFormat="1" applyFont="1" applyFill="1" applyBorder="1" applyAlignment="1">
      <alignment horizontal="right"/>
      <protection/>
    </xf>
    <xf numFmtId="177" fontId="18" fillId="75" borderId="33" xfId="189" applyNumberFormat="1" applyFont="1" applyFill="1" applyBorder="1" applyAlignment="1">
      <alignment horizontal="right"/>
      <protection/>
    </xf>
    <xf numFmtId="177" fontId="15" fillId="75" borderId="33" xfId="189" applyNumberFormat="1" applyFont="1" applyFill="1" applyBorder="1" applyAlignment="1">
      <alignment horizontal="right"/>
      <protection/>
    </xf>
    <xf numFmtId="164" fontId="15" fillId="75" borderId="27" xfId="189" applyNumberFormat="1" applyFont="1" applyFill="1" applyBorder="1" applyAlignment="1">
      <alignment horizontal="right"/>
      <protection/>
    </xf>
    <xf numFmtId="177" fontId="15" fillId="75" borderId="6" xfId="189" applyNumberFormat="1" applyFont="1" applyFill="1" applyBorder="1" applyAlignment="1">
      <alignment horizontal="right"/>
      <protection/>
    </xf>
    <xf numFmtId="177" fontId="18" fillId="75" borderId="0" xfId="189" applyNumberFormat="1" applyFont="1" applyFill="1" applyBorder="1" applyAlignment="1">
      <alignment horizontal="right"/>
      <protection/>
    </xf>
    <xf numFmtId="177" fontId="15" fillId="75" borderId="0" xfId="189" applyNumberFormat="1" applyFont="1" applyFill="1" applyBorder="1" applyAlignment="1">
      <alignment horizontal="right"/>
      <protection/>
    </xf>
    <xf numFmtId="164" fontId="15" fillId="75" borderId="6" xfId="189" applyNumberFormat="1" applyFont="1" applyFill="1" applyBorder="1" applyAlignment="1">
      <alignment horizontal="right"/>
      <protection/>
    </xf>
    <xf numFmtId="177" fontId="15" fillId="75" borderId="34" xfId="189" applyNumberFormat="1" applyFont="1" applyFill="1" applyBorder="1" applyAlignment="1">
      <alignment horizontal="right"/>
      <protection/>
    </xf>
    <xf numFmtId="177" fontId="18" fillId="75" borderId="17" xfId="189" applyNumberFormat="1" applyFont="1" applyFill="1" applyBorder="1" applyAlignment="1">
      <alignment horizontal="right"/>
      <protection/>
    </xf>
    <xf numFmtId="177" fontId="15" fillId="75" borderId="17" xfId="189" applyNumberFormat="1" applyFont="1" applyFill="1" applyBorder="1" applyAlignment="1">
      <alignment horizontal="right"/>
      <protection/>
    </xf>
    <xf numFmtId="164" fontId="15" fillId="75" borderId="34" xfId="189" applyNumberFormat="1" applyFont="1" applyFill="1" applyBorder="1" applyAlignment="1">
      <alignment horizontal="right"/>
      <protection/>
    </xf>
    <xf numFmtId="177" fontId="1" fillId="0" borderId="6" xfId="189" applyNumberFormat="1" applyFont="1" applyFill="1" applyBorder="1" applyAlignment="1">
      <alignment horizontal="right" vertical="center"/>
      <protection/>
    </xf>
    <xf numFmtId="177" fontId="1" fillId="75" borderId="6" xfId="189" applyNumberFormat="1" applyFont="1" applyFill="1" applyBorder="1" applyAlignment="1">
      <alignment horizontal="right" vertical="center"/>
      <protection/>
    </xf>
    <xf numFmtId="177" fontId="1" fillId="75" borderId="38" xfId="189" applyNumberFormat="1" applyFont="1" applyFill="1" applyBorder="1" applyAlignment="1">
      <alignment horizontal="right" vertical="center"/>
      <protection/>
    </xf>
    <xf numFmtId="177" fontId="1" fillId="0" borderId="38" xfId="189" applyNumberFormat="1" applyFont="1" applyFill="1" applyBorder="1" applyAlignment="1">
      <alignment horizontal="right" vertical="center"/>
      <protection/>
    </xf>
    <xf numFmtId="177" fontId="1" fillId="0" borderId="0" xfId="189" applyNumberFormat="1" applyFont="1" applyFill="1" applyBorder="1" applyAlignment="1">
      <alignment horizontal="right" vertical="center" wrapText="1"/>
      <protection/>
    </xf>
    <xf numFmtId="164" fontId="1" fillId="0" borderId="6" xfId="189" applyNumberFormat="1" applyFont="1" applyFill="1" applyBorder="1" applyAlignment="1">
      <alignment horizontal="right" vertical="center" wrapText="1"/>
      <protection/>
    </xf>
    <xf numFmtId="177" fontId="1" fillId="75" borderId="34" xfId="189" applyNumberFormat="1" applyFont="1" applyFill="1" applyBorder="1" applyAlignment="1">
      <alignment horizontal="right" vertical="center"/>
      <protection/>
    </xf>
    <xf numFmtId="177" fontId="1" fillId="0" borderId="31" xfId="189" applyNumberFormat="1" applyFont="1" applyFill="1" applyBorder="1" applyAlignment="1">
      <alignment horizontal="right" vertical="center" wrapText="1"/>
      <protection/>
    </xf>
    <xf numFmtId="177" fontId="1" fillId="0" borderId="34" xfId="189" applyNumberFormat="1" applyFont="1" applyFill="1" applyBorder="1" applyAlignment="1">
      <alignment horizontal="right" vertical="center"/>
      <protection/>
    </xf>
    <xf numFmtId="164" fontId="1" fillId="0" borderId="35" xfId="189" applyNumberFormat="1" applyFont="1" applyFill="1" applyBorder="1" applyAlignment="1">
      <alignment horizontal="right" vertical="center"/>
      <protection/>
    </xf>
    <xf numFmtId="177" fontId="1" fillId="75" borderId="27" xfId="189" applyNumberFormat="1" applyFont="1" applyFill="1" applyBorder="1" applyAlignment="1">
      <alignment horizontal="right" vertical="center"/>
      <protection/>
    </xf>
    <xf numFmtId="0" fontId="155" fillId="0" borderId="0" xfId="0" applyFont="1" applyAlignment="1">
      <alignment/>
    </xf>
    <xf numFmtId="0" fontId="9" fillId="0" borderId="0" xfId="189" applyFont="1" applyBorder="1" applyAlignment="1">
      <alignment vertical="top" wrapText="1"/>
      <protection/>
    </xf>
    <xf numFmtId="0" fontId="9" fillId="0" borderId="0" xfId="189" applyFont="1" applyBorder="1">
      <alignment/>
      <protection/>
    </xf>
    <xf numFmtId="0" fontId="0" fillId="0" borderId="0" xfId="189" applyFont="1">
      <alignment/>
      <protection/>
    </xf>
    <xf numFmtId="0" fontId="1" fillId="0" borderId="17" xfId="189" applyFont="1" applyBorder="1" applyAlignment="1">
      <alignment horizontal="right" vertical="center"/>
      <protection/>
    </xf>
    <xf numFmtId="0" fontId="15" fillId="73" borderId="34" xfId="189" applyFont="1" applyFill="1" applyBorder="1" applyAlignment="1">
      <alignment horizontal="center" vertical="center"/>
      <protection/>
    </xf>
    <xf numFmtId="186" fontId="15" fillId="51" borderId="32" xfId="189" applyNumberFormat="1" applyFont="1" applyFill="1" applyBorder="1" applyAlignment="1" quotePrefix="1">
      <alignment horizontal="right" vertical="center"/>
      <protection/>
    </xf>
    <xf numFmtId="186" fontId="15" fillId="51" borderId="27" xfId="189" applyNumberFormat="1" applyFont="1" applyFill="1" applyBorder="1" applyAlignment="1" quotePrefix="1">
      <alignment horizontal="right" vertical="center"/>
      <protection/>
    </xf>
    <xf numFmtId="186" fontId="15" fillId="51" borderId="33" xfId="189" applyNumberFormat="1" applyFont="1" applyFill="1" applyBorder="1" applyAlignment="1" quotePrefix="1">
      <alignment horizontal="right" vertical="center"/>
      <protection/>
    </xf>
    <xf numFmtId="186" fontId="15" fillId="51" borderId="33" xfId="189" applyNumberFormat="1" applyFont="1" applyFill="1" applyBorder="1" applyAlignment="1">
      <alignment horizontal="right" vertical="center"/>
      <protection/>
    </xf>
    <xf numFmtId="186" fontId="18" fillId="51" borderId="33" xfId="189" applyNumberFormat="1" applyFont="1" applyFill="1" applyBorder="1" applyAlignment="1">
      <alignment horizontal="right" vertical="center"/>
      <protection/>
    </xf>
    <xf numFmtId="186" fontId="15" fillId="51" borderId="27" xfId="189" applyNumberFormat="1" applyFont="1" applyFill="1" applyBorder="1" applyAlignment="1">
      <alignment horizontal="right" vertical="center"/>
      <protection/>
    </xf>
    <xf numFmtId="186" fontId="15" fillId="51" borderId="0" xfId="189" applyNumberFormat="1" applyFont="1" applyFill="1" applyBorder="1" applyAlignment="1" quotePrefix="1">
      <alignment horizontal="right" vertical="center"/>
      <protection/>
    </xf>
    <xf numFmtId="186" fontId="15" fillId="51" borderId="6" xfId="189" applyNumberFormat="1" applyFont="1" applyFill="1" applyBorder="1" applyAlignment="1" quotePrefix="1">
      <alignment horizontal="right" vertical="center"/>
      <protection/>
    </xf>
    <xf numFmtId="186" fontId="18" fillId="51" borderId="0" xfId="189" applyNumberFormat="1" applyFont="1" applyFill="1" applyBorder="1" applyAlignment="1" quotePrefix="1">
      <alignment horizontal="right" vertical="center"/>
      <protection/>
    </xf>
    <xf numFmtId="186" fontId="15" fillId="51" borderId="36" xfId="189" applyNumberFormat="1" applyFont="1" applyFill="1" applyBorder="1" applyAlignment="1" quotePrefix="1">
      <alignment horizontal="right" vertical="center"/>
      <protection/>
    </xf>
    <xf numFmtId="186" fontId="15" fillId="51" borderId="34" xfId="189" applyNumberFormat="1" applyFont="1" applyFill="1" applyBorder="1" applyAlignment="1" quotePrefix="1">
      <alignment horizontal="right" vertical="center"/>
      <protection/>
    </xf>
    <xf numFmtId="186" fontId="1" fillId="0" borderId="27" xfId="189" applyNumberFormat="1" applyFont="1" applyFill="1" applyBorder="1" applyAlignment="1">
      <alignment horizontal="right" vertical="center"/>
      <protection/>
    </xf>
    <xf numFmtId="186" fontId="1" fillId="51" borderId="37" xfId="189" applyNumberFormat="1" applyFont="1" applyFill="1" applyBorder="1" applyAlignment="1">
      <alignment horizontal="right" vertical="center"/>
      <protection/>
    </xf>
    <xf numFmtId="186" fontId="1" fillId="51" borderId="6" xfId="189" applyNumberFormat="1" applyFont="1" applyFill="1" applyBorder="1" applyAlignment="1">
      <alignment horizontal="right" vertical="center"/>
      <protection/>
    </xf>
    <xf numFmtId="186" fontId="1" fillId="51" borderId="0" xfId="189" applyNumberFormat="1" applyFont="1" applyFill="1" applyBorder="1" applyAlignment="1">
      <alignment horizontal="right" vertical="center"/>
      <protection/>
    </xf>
    <xf numFmtId="186" fontId="1" fillId="51" borderId="38" xfId="189" applyNumberFormat="1" applyFont="1" applyFill="1" applyBorder="1" applyAlignment="1">
      <alignment horizontal="right" vertical="center"/>
      <protection/>
    </xf>
    <xf numFmtId="186" fontId="1" fillId="0" borderId="37" xfId="189" applyNumberFormat="1" applyFont="1" applyFill="1" applyBorder="1" applyAlignment="1" quotePrefix="1">
      <alignment horizontal="right" vertical="center"/>
      <protection/>
    </xf>
    <xf numFmtId="186" fontId="1" fillId="0" borderId="6" xfId="189" applyNumberFormat="1" applyFont="1" applyFill="1" applyBorder="1" applyAlignment="1" quotePrefix="1">
      <alignment horizontal="right" vertical="center"/>
      <protection/>
    </xf>
    <xf numFmtId="186" fontId="1" fillId="0" borderId="0" xfId="189" applyNumberFormat="1" applyFont="1" applyFill="1" applyBorder="1" applyAlignment="1" quotePrefix="1">
      <alignment horizontal="right" vertical="center"/>
      <protection/>
    </xf>
    <xf numFmtId="186" fontId="1" fillId="0" borderId="0" xfId="189" applyNumberFormat="1" applyFont="1" applyFill="1" applyBorder="1" applyAlignment="1">
      <alignment horizontal="right" vertical="center"/>
      <protection/>
    </xf>
    <xf numFmtId="186" fontId="1" fillId="0" borderId="0" xfId="189" applyNumberFormat="1" applyFont="1" applyBorder="1" applyAlignment="1">
      <alignment vertical="top" wrapText="1"/>
      <protection/>
    </xf>
    <xf numFmtId="186" fontId="1" fillId="0" borderId="6" xfId="189" applyNumberFormat="1" applyFont="1" applyBorder="1" applyAlignment="1">
      <alignment vertical="top" wrapText="1"/>
      <protection/>
    </xf>
    <xf numFmtId="186" fontId="1" fillId="0" borderId="37" xfId="189" applyNumberFormat="1" applyFont="1" applyFill="1" applyBorder="1" applyAlignment="1">
      <alignment horizontal="right" vertical="center"/>
      <protection/>
    </xf>
    <xf numFmtId="186" fontId="1" fillId="0" borderId="6" xfId="189" applyNumberFormat="1" applyFont="1" applyFill="1" applyBorder="1" applyAlignment="1">
      <alignment horizontal="right" vertical="center"/>
      <protection/>
    </xf>
    <xf numFmtId="186" fontId="1" fillId="0" borderId="38" xfId="189" applyNumberFormat="1" applyFont="1" applyFill="1" applyBorder="1" applyAlignment="1">
      <alignment horizontal="right" vertical="center"/>
      <protection/>
    </xf>
    <xf numFmtId="186" fontId="1" fillId="0" borderId="39" xfId="189" applyNumberFormat="1" applyFont="1" applyFill="1" applyBorder="1" applyAlignment="1">
      <alignment horizontal="right" vertical="center"/>
      <protection/>
    </xf>
    <xf numFmtId="186" fontId="1" fillId="0" borderId="31" xfId="189" applyNumberFormat="1" applyFont="1" applyFill="1" applyBorder="1" applyAlignment="1">
      <alignment horizontal="right" vertical="center"/>
      <protection/>
    </xf>
    <xf numFmtId="186" fontId="1" fillId="75" borderId="6" xfId="189" applyNumberFormat="1" applyFont="1" applyFill="1" applyBorder="1" applyAlignment="1">
      <alignment horizontal="right" vertical="center"/>
      <protection/>
    </xf>
    <xf numFmtId="186" fontId="1" fillId="75" borderId="37" xfId="189" applyNumberFormat="1" applyFont="1" applyFill="1" applyBorder="1" applyAlignment="1">
      <alignment horizontal="right" vertical="center"/>
      <protection/>
    </xf>
    <xf numFmtId="186" fontId="1" fillId="75" borderId="0" xfId="189" applyNumberFormat="1" applyFont="1" applyFill="1" applyBorder="1" applyAlignment="1">
      <alignment horizontal="right" vertical="center"/>
      <protection/>
    </xf>
    <xf numFmtId="186" fontId="1" fillId="75" borderId="39" xfId="189" applyNumberFormat="1" applyFont="1" applyFill="1" applyBorder="1" applyAlignment="1">
      <alignment horizontal="right" vertical="center"/>
      <protection/>
    </xf>
    <xf numFmtId="186" fontId="17" fillId="0" borderId="0" xfId="189" applyNumberFormat="1" applyFont="1" applyFill="1" applyBorder="1" applyAlignment="1">
      <alignment horizontal="right" vertical="center"/>
      <protection/>
    </xf>
    <xf numFmtId="186" fontId="1" fillId="0" borderId="39" xfId="189" applyNumberFormat="1" applyFont="1" applyBorder="1">
      <alignment/>
      <protection/>
    </xf>
    <xf numFmtId="186" fontId="1" fillId="0" borderId="0" xfId="189" applyNumberFormat="1" applyFont="1">
      <alignment/>
      <protection/>
    </xf>
    <xf numFmtId="186" fontId="1" fillId="0" borderId="0" xfId="189" applyNumberFormat="1" applyFont="1" applyBorder="1">
      <alignment/>
      <protection/>
    </xf>
    <xf numFmtId="186" fontId="1" fillId="75" borderId="38" xfId="189" applyNumberFormat="1" applyFont="1" applyFill="1" applyBorder="1" applyAlignment="1">
      <alignment horizontal="right" vertical="center"/>
      <protection/>
    </xf>
    <xf numFmtId="186" fontId="17" fillId="75" borderId="0" xfId="189" applyNumberFormat="1" applyFont="1" applyFill="1" applyBorder="1" applyAlignment="1">
      <alignment horizontal="right" vertical="center"/>
      <protection/>
    </xf>
    <xf numFmtId="188" fontId="1" fillId="75" borderId="0" xfId="189" applyNumberFormat="1" applyFont="1" applyFill="1" applyBorder="1" applyAlignment="1">
      <alignment horizontal="right" vertical="center"/>
      <protection/>
    </xf>
    <xf numFmtId="189" fontId="1" fillId="75" borderId="0" xfId="189" applyNumberFormat="1" applyFont="1" applyFill="1" applyBorder="1" applyAlignment="1">
      <alignment horizontal="right" vertical="center"/>
      <protection/>
    </xf>
    <xf numFmtId="186" fontId="1" fillId="75" borderId="36" xfId="189" applyNumberFormat="1" applyFont="1" applyFill="1" applyBorder="1" applyAlignment="1">
      <alignment horizontal="right" vertical="center"/>
      <protection/>
    </xf>
    <xf numFmtId="186" fontId="1" fillId="75" borderId="34" xfId="189" applyNumberFormat="1" applyFont="1" applyFill="1" applyBorder="1" applyAlignment="1">
      <alignment horizontal="right" vertical="center"/>
      <protection/>
    </xf>
    <xf numFmtId="186" fontId="1" fillId="75" borderId="17" xfId="189" applyNumberFormat="1" applyFont="1" applyFill="1" applyBorder="1" applyAlignment="1">
      <alignment horizontal="right" vertical="center"/>
      <protection/>
    </xf>
    <xf numFmtId="186" fontId="1" fillId="75" borderId="42" xfId="189" applyNumberFormat="1" applyFont="1" applyFill="1" applyBorder="1" applyAlignment="1">
      <alignment horizontal="right" vertical="center"/>
      <protection/>
    </xf>
    <xf numFmtId="186" fontId="1" fillId="0" borderId="32" xfId="189" applyNumberFormat="1" applyFont="1" applyFill="1" applyBorder="1" applyAlignment="1">
      <alignment horizontal="right" vertical="center"/>
      <protection/>
    </xf>
    <xf numFmtId="186" fontId="1" fillId="0" borderId="36" xfId="189" applyNumberFormat="1" applyFont="1" applyFill="1" applyBorder="1" applyAlignment="1">
      <alignment horizontal="right" vertical="center"/>
      <protection/>
    </xf>
    <xf numFmtId="186" fontId="1" fillId="0" borderId="34" xfId="189" applyNumberFormat="1" applyFont="1" applyFill="1" applyBorder="1" applyAlignment="1">
      <alignment horizontal="right" vertical="center"/>
      <protection/>
    </xf>
    <xf numFmtId="186" fontId="1" fillId="0" borderId="17" xfId="189" applyNumberFormat="1" applyFont="1" applyFill="1" applyBorder="1" applyAlignment="1">
      <alignment horizontal="right" vertical="center"/>
      <protection/>
    </xf>
    <xf numFmtId="186" fontId="1" fillId="75" borderId="32" xfId="189" applyNumberFormat="1" applyFont="1" applyFill="1" applyBorder="1" applyAlignment="1">
      <alignment horizontal="right" vertical="center"/>
      <protection/>
    </xf>
    <xf numFmtId="186" fontId="1" fillId="75" borderId="27" xfId="189" applyNumberFormat="1" applyFont="1" applyFill="1" applyBorder="1" applyAlignment="1">
      <alignment horizontal="right" vertical="center"/>
      <protection/>
    </xf>
    <xf numFmtId="186" fontId="1" fillId="75" borderId="33" xfId="189" applyNumberFormat="1" applyFont="1" applyFill="1" applyBorder="1" applyAlignment="1">
      <alignment horizontal="right" vertical="center"/>
      <protection/>
    </xf>
    <xf numFmtId="205" fontId="1" fillId="0" borderId="17" xfId="189" applyNumberFormat="1" applyFont="1" applyFill="1" applyBorder="1" applyAlignment="1">
      <alignment horizontal="right" vertical="center"/>
      <protection/>
    </xf>
    <xf numFmtId="165" fontId="1" fillId="0" borderId="0" xfId="189" applyNumberFormat="1" applyFont="1">
      <alignment/>
      <protection/>
    </xf>
    <xf numFmtId="165" fontId="1" fillId="0" borderId="0" xfId="189" applyNumberFormat="1" applyFont="1" applyBorder="1">
      <alignment/>
      <protection/>
    </xf>
    <xf numFmtId="3" fontId="1" fillId="0" borderId="52" xfId="189" applyNumberFormat="1" applyFont="1" applyFill="1" applyBorder="1" applyAlignment="1">
      <alignment/>
      <protection/>
    </xf>
    <xf numFmtId="3" fontId="1" fillId="0" borderId="0" xfId="189" applyNumberFormat="1" applyFont="1" applyBorder="1">
      <alignment/>
      <protection/>
    </xf>
    <xf numFmtId="186" fontId="1" fillId="0" borderId="38" xfId="189" applyNumberFormat="1" applyFont="1" applyBorder="1" applyAlignment="1">
      <alignment vertical="top" wrapText="1"/>
      <protection/>
    </xf>
    <xf numFmtId="186" fontId="1" fillId="75" borderId="44" xfId="189" applyNumberFormat="1" applyFont="1" applyFill="1" applyBorder="1" applyAlignment="1">
      <alignment horizontal="right" vertical="center"/>
      <protection/>
    </xf>
    <xf numFmtId="186" fontId="1" fillId="0" borderId="39" xfId="189" applyNumberFormat="1" applyFont="1" applyBorder="1" applyAlignment="1">
      <alignment vertical="top" wrapText="1"/>
      <protection/>
    </xf>
    <xf numFmtId="186" fontId="1" fillId="0" borderId="31" xfId="189" applyNumberFormat="1" applyFont="1" applyBorder="1" applyAlignment="1">
      <alignment vertical="top" wrapText="1"/>
      <protection/>
    </xf>
    <xf numFmtId="0" fontId="0" fillId="0" borderId="0" xfId="189" applyBorder="1">
      <alignment/>
      <protection/>
    </xf>
    <xf numFmtId="0" fontId="0" fillId="0" borderId="0" xfId="189" applyAlignment="1">
      <alignment vertical="top"/>
      <protection/>
    </xf>
    <xf numFmtId="186" fontId="15" fillId="51" borderId="32" xfId="189" applyNumberFormat="1" applyFont="1" applyFill="1" applyBorder="1" applyAlignment="1">
      <alignment horizontal="center" vertical="center"/>
      <protection/>
    </xf>
    <xf numFmtId="186" fontId="15" fillId="51" borderId="33" xfId="189" applyNumberFormat="1" applyFont="1" applyFill="1" applyBorder="1" applyAlignment="1">
      <alignment horizontal="center" vertical="center"/>
      <protection/>
    </xf>
    <xf numFmtId="186" fontId="15" fillId="51" borderId="37" xfId="189" applyNumberFormat="1" applyFont="1" applyFill="1" applyBorder="1" applyAlignment="1">
      <alignment horizontal="center" vertical="center"/>
      <protection/>
    </xf>
    <xf numFmtId="186" fontId="15" fillId="51" borderId="0" xfId="189" applyNumberFormat="1" applyFont="1" applyFill="1" applyBorder="1" applyAlignment="1">
      <alignment horizontal="right" vertical="center"/>
      <protection/>
    </xf>
    <xf numFmtId="186" fontId="15" fillId="51" borderId="36" xfId="189" applyNumberFormat="1" applyFont="1" applyFill="1" applyBorder="1" applyAlignment="1">
      <alignment horizontal="center" vertical="center"/>
      <protection/>
    </xf>
    <xf numFmtId="186" fontId="15" fillId="51" borderId="17" xfId="189" applyNumberFormat="1" applyFont="1" applyFill="1" applyBorder="1" applyAlignment="1">
      <alignment horizontal="right" vertical="center"/>
      <protection/>
    </xf>
    <xf numFmtId="164" fontId="15" fillId="51" borderId="34" xfId="189" applyNumberFormat="1" applyFont="1" applyFill="1" applyBorder="1" applyAlignment="1">
      <alignment horizontal="right" vertical="center"/>
      <protection/>
    </xf>
    <xf numFmtId="188" fontId="1" fillId="0" borderId="0" xfId="189" applyNumberFormat="1" applyFont="1" applyFill="1" applyBorder="1" applyAlignment="1">
      <alignment horizontal="right" vertical="center"/>
      <protection/>
    </xf>
    <xf numFmtId="186" fontId="17" fillId="75" borderId="37" xfId="189" applyNumberFormat="1" applyFont="1" applyFill="1" applyBorder="1" applyAlignment="1">
      <alignment horizontal="right" vertical="center"/>
      <protection/>
    </xf>
    <xf numFmtId="186" fontId="1" fillId="75" borderId="31" xfId="189" applyNumberFormat="1" applyFont="1" applyFill="1" applyBorder="1" applyAlignment="1">
      <alignment horizontal="right" vertical="center"/>
      <protection/>
    </xf>
    <xf numFmtId="0" fontId="15" fillId="75" borderId="43" xfId="189" applyFont="1" applyFill="1" applyBorder="1" applyAlignment="1">
      <alignment horizontal="center" vertical="center"/>
      <protection/>
    </xf>
    <xf numFmtId="186" fontId="0" fillId="0" borderId="0" xfId="188" applyNumberFormat="1" applyFont="1" applyFill="1" applyBorder="1" applyAlignment="1">
      <alignment/>
      <protection/>
    </xf>
    <xf numFmtId="165" fontId="12" fillId="0" borderId="0" xfId="188" applyNumberFormat="1">
      <alignment/>
      <protection/>
    </xf>
    <xf numFmtId="165" fontId="12" fillId="0" borderId="0" xfId="188" applyNumberFormat="1" applyBorder="1">
      <alignment/>
      <protection/>
    </xf>
    <xf numFmtId="0" fontId="12" fillId="0" borderId="0" xfId="188" applyBorder="1">
      <alignment/>
      <protection/>
    </xf>
    <xf numFmtId="164" fontId="9" fillId="0" borderId="0" xfId="189" applyNumberFormat="1" applyFont="1">
      <alignment/>
      <protection/>
    </xf>
    <xf numFmtId="164" fontId="0" fillId="0" borderId="0" xfId="189" applyNumberFormat="1">
      <alignment/>
      <protection/>
    </xf>
    <xf numFmtId="164" fontId="8" fillId="0" borderId="0" xfId="189" applyNumberFormat="1" applyFont="1" applyAlignment="1" quotePrefix="1">
      <alignment horizontal="right" vertical="top"/>
      <protection/>
    </xf>
    <xf numFmtId="0" fontId="8" fillId="0" borderId="0" xfId="189" applyFont="1" applyAlignment="1" quotePrefix="1">
      <alignment horizontal="right" vertical="top"/>
      <protection/>
    </xf>
    <xf numFmtId="0" fontId="8" fillId="0" borderId="0" xfId="189" applyFont="1" applyAlignment="1">
      <alignment horizontal="center" vertical="top"/>
      <protection/>
    </xf>
    <xf numFmtId="0" fontId="14" fillId="0" borderId="0" xfId="189" applyFont="1" applyAlignment="1">
      <alignment horizontal="center" vertical="center"/>
      <protection/>
    </xf>
    <xf numFmtId="164" fontId="1" fillId="0" borderId="0" xfId="189" applyNumberFormat="1" applyFont="1" applyFill="1" applyBorder="1">
      <alignment/>
      <protection/>
    </xf>
    <xf numFmtId="164" fontId="1" fillId="0" borderId="0" xfId="189" applyNumberFormat="1" applyFont="1" applyBorder="1" applyAlignment="1">
      <alignment horizontal="right" vertical="top"/>
      <protection/>
    </xf>
    <xf numFmtId="0" fontId="1" fillId="0" borderId="0" xfId="189" applyFont="1" applyBorder="1" applyAlignment="1">
      <alignment horizontal="right" vertical="top"/>
      <protection/>
    </xf>
    <xf numFmtId="1" fontId="15" fillId="73" borderId="48" xfId="189" applyNumberFormat="1" applyFont="1" applyFill="1" applyBorder="1" applyAlignment="1">
      <alignment horizontal="center" vertical="center"/>
      <protection/>
    </xf>
    <xf numFmtId="1" fontId="15" fillId="73" borderId="9" xfId="189" applyNumberFormat="1" applyFont="1" applyFill="1" applyBorder="1" applyAlignment="1">
      <alignment horizontal="center" vertical="center" wrapText="1"/>
      <protection/>
    </xf>
    <xf numFmtId="186" fontId="15" fillId="51" borderId="32" xfId="189" applyNumberFormat="1" applyFont="1" applyFill="1" applyBorder="1" applyAlignment="1">
      <alignment horizontal="right" vertical="center"/>
      <protection/>
    </xf>
    <xf numFmtId="186" fontId="15" fillId="51" borderId="43" xfId="189" applyNumberFormat="1" applyFont="1" applyFill="1" applyBorder="1" applyAlignment="1">
      <alignment horizontal="right" vertical="center"/>
      <protection/>
    </xf>
    <xf numFmtId="164" fontId="15" fillId="75" borderId="0" xfId="189" applyNumberFormat="1" applyFont="1" applyFill="1" applyBorder="1" applyAlignment="1">
      <alignment horizontal="right" vertical="center"/>
      <protection/>
    </xf>
    <xf numFmtId="186" fontId="15" fillId="51" borderId="37" xfId="189" applyNumberFormat="1" applyFont="1" applyFill="1" applyBorder="1" applyAlignment="1">
      <alignment horizontal="right" vertical="center"/>
      <protection/>
    </xf>
    <xf numFmtId="186" fontId="15" fillId="75" borderId="0" xfId="189" applyNumberFormat="1" applyFont="1" applyFill="1" applyBorder="1" applyAlignment="1">
      <alignment horizontal="right" vertical="center"/>
      <protection/>
    </xf>
    <xf numFmtId="186" fontId="15" fillId="51" borderId="31" xfId="189" applyNumberFormat="1" applyFont="1" applyFill="1" applyBorder="1" applyAlignment="1">
      <alignment horizontal="right" vertical="center"/>
      <protection/>
    </xf>
    <xf numFmtId="186" fontId="15" fillId="51" borderId="6" xfId="189" applyNumberFormat="1" applyFont="1" applyFill="1" applyBorder="1" applyAlignment="1">
      <alignment horizontal="right" vertical="center"/>
      <protection/>
    </xf>
    <xf numFmtId="164" fontId="15" fillId="51" borderId="36" xfId="189" applyNumberFormat="1" applyFont="1" applyFill="1" applyBorder="1" applyAlignment="1">
      <alignment horizontal="right" vertical="center"/>
      <protection/>
    </xf>
    <xf numFmtId="186" fontId="15" fillId="51" borderId="36" xfId="189" applyNumberFormat="1" applyFont="1" applyFill="1" applyBorder="1" applyAlignment="1">
      <alignment horizontal="right" vertical="center"/>
      <protection/>
    </xf>
    <xf numFmtId="186" fontId="15" fillId="51" borderId="35" xfId="189" applyNumberFormat="1" applyFont="1" applyFill="1" applyBorder="1" applyAlignment="1">
      <alignment horizontal="right" vertical="center"/>
      <protection/>
    </xf>
    <xf numFmtId="186" fontId="15" fillId="51" borderId="34" xfId="189" applyNumberFormat="1" applyFont="1" applyFill="1" applyBorder="1" applyAlignment="1">
      <alignment horizontal="right" vertical="center"/>
      <protection/>
    </xf>
    <xf numFmtId="164" fontId="1" fillId="0" borderId="37" xfId="189" applyNumberFormat="1" applyFont="1" applyFill="1" applyBorder="1" applyAlignment="1">
      <alignment horizontal="right" vertical="center"/>
      <protection/>
    </xf>
    <xf numFmtId="186" fontId="1" fillId="0" borderId="0" xfId="189" applyNumberFormat="1" applyFont="1" applyFill="1" applyAlignment="1">
      <alignment horizontal="center" vertical="center"/>
      <protection/>
    </xf>
    <xf numFmtId="186" fontId="1" fillId="75" borderId="35" xfId="189" applyNumberFormat="1" applyFont="1" applyFill="1" applyBorder="1" applyAlignment="1">
      <alignment horizontal="right" vertical="center"/>
      <protection/>
    </xf>
    <xf numFmtId="190" fontId="1" fillId="75" borderId="0" xfId="189" applyNumberFormat="1" applyFont="1" applyFill="1" applyBorder="1" applyAlignment="1">
      <alignment horizontal="right" vertical="center"/>
      <protection/>
    </xf>
    <xf numFmtId="186" fontId="17" fillId="0" borderId="31" xfId="189" applyNumberFormat="1" applyFont="1" applyFill="1" applyBorder="1" applyAlignment="1">
      <alignment horizontal="right" vertical="center"/>
      <protection/>
    </xf>
    <xf numFmtId="186" fontId="17" fillId="0" borderId="6" xfId="189" applyNumberFormat="1" applyFont="1" applyFill="1" applyBorder="1" applyAlignment="1">
      <alignment horizontal="right" vertical="center"/>
      <protection/>
    </xf>
    <xf numFmtId="164" fontId="21" fillId="0" borderId="36" xfId="189" applyNumberFormat="1" applyFont="1" applyFill="1" applyBorder="1" applyAlignment="1">
      <alignment horizontal="right" vertical="center"/>
      <protection/>
    </xf>
    <xf numFmtId="164" fontId="21" fillId="0" borderId="17" xfId="189" applyNumberFormat="1" applyFont="1" applyFill="1" applyBorder="1" applyAlignment="1">
      <alignment horizontal="right" vertical="center"/>
      <protection/>
    </xf>
    <xf numFmtId="186" fontId="21" fillId="0" borderId="17" xfId="189" applyNumberFormat="1" applyFont="1" applyFill="1" applyBorder="1" applyAlignment="1">
      <alignment horizontal="right" vertical="center"/>
      <protection/>
    </xf>
    <xf numFmtId="186" fontId="1" fillId="0" borderId="35" xfId="189" applyNumberFormat="1" applyFont="1" applyFill="1" applyBorder="1" applyAlignment="1">
      <alignment horizontal="right" vertical="center"/>
      <protection/>
    </xf>
    <xf numFmtId="206" fontId="1" fillId="0" borderId="34" xfId="189" applyNumberFormat="1" applyFont="1" applyFill="1" applyBorder="1" applyAlignment="1">
      <alignment horizontal="right" vertical="center"/>
      <protection/>
    </xf>
    <xf numFmtId="164" fontId="1" fillId="75" borderId="32" xfId="189" applyNumberFormat="1" applyFont="1" applyFill="1" applyBorder="1" applyAlignment="1">
      <alignment horizontal="right" vertical="center"/>
      <protection/>
    </xf>
    <xf numFmtId="186" fontId="1" fillId="75" borderId="43" xfId="189" applyNumberFormat="1" applyFont="1" applyFill="1" applyBorder="1" applyAlignment="1">
      <alignment horizontal="right" vertical="center"/>
      <protection/>
    </xf>
    <xf numFmtId="0" fontId="8" fillId="0" borderId="0" xfId="189" applyFont="1" applyAlignment="1">
      <alignment horizontal="left"/>
      <protection/>
    </xf>
    <xf numFmtId="0" fontId="16" fillId="73" borderId="34" xfId="189" applyFont="1" applyFill="1" applyBorder="1" applyAlignment="1">
      <alignment horizontal="center" vertical="top" wrapText="1"/>
      <protection/>
    </xf>
    <xf numFmtId="3" fontId="15" fillId="51" borderId="32" xfId="189" applyNumberFormat="1" applyFont="1" applyFill="1" applyBorder="1" applyAlignment="1">
      <alignment horizontal="right"/>
      <protection/>
    </xf>
    <xf numFmtId="3" fontId="15" fillId="51" borderId="27" xfId="189" applyNumberFormat="1" applyFont="1" applyFill="1" applyBorder="1" applyAlignment="1">
      <alignment horizontal="right"/>
      <protection/>
    </xf>
    <xf numFmtId="187" fontId="15" fillId="51" borderId="32" xfId="189" applyNumberFormat="1" applyFont="1" applyFill="1" applyBorder="1" applyAlignment="1">
      <alignment horizontal="right"/>
      <protection/>
    </xf>
    <xf numFmtId="187" fontId="15" fillId="51" borderId="33" xfId="189" applyNumberFormat="1" applyFont="1" applyFill="1" applyBorder="1" applyAlignment="1">
      <alignment horizontal="right" vertical="center"/>
      <protection/>
    </xf>
    <xf numFmtId="187" fontId="15" fillId="51" borderId="0" xfId="189" applyNumberFormat="1" applyFont="1" applyFill="1" applyBorder="1" applyAlignment="1">
      <alignment horizontal="right" vertical="center"/>
      <protection/>
    </xf>
    <xf numFmtId="178" fontId="15" fillId="51" borderId="6" xfId="189" applyNumberFormat="1" applyFont="1" applyFill="1" applyBorder="1" applyAlignment="1">
      <alignment vertical="center"/>
      <protection/>
    </xf>
    <xf numFmtId="3" fontId="15" fillId="51" borderId="37" xfId="189" applyNumberFormat="1" applyFont="1" applyFill="1" applyBorder="1" applyAlignment="1">
      <alignment horizontal="right"/>
      <protection/>
    </xf>
    <xf numFmtId="3" fontId="15" fillId="51" borderId="6" xfId="189" applyNumberFormat="1" applyFont="1" applyFill="1" applyBorder="1" applyAlignment="1">
      <alignment horizontal="right"/>
      <protection/>
    </xf>
    <xf numFmtId="187" fontId="15" fillId="51" borderId="37" xfId="189" applyNumberFormat="1" applyFont="1" applyFill="1" applyBorder="1" applyAlignment="1">
      <alignment horizontal="right"/>
      <protection/>
    </xf>
    <xf numFmtId="3" fontId="15" fillId="51" borderId="17" xfId="189" applyNumberFormat="1" applyFont="1" applyFill="1" applyBorder="1" applyAlignment="1">
      <alignment horizontal="right" vertical="center"/>
      <protection/>
    </xf>
    <xf numFmtId="3" fontId="15" fillId="51" borderId="34" xfId="189" applyNumberFormat="1" applyFont="1" applyFill="1" applyBorder="1" applyAlignment="1">
      <alignment horizontal="right" vertical="center"/>
      <protection/>
    </xf>
    <xf numFmtId="187" fontId="15" fillId="51" borderId="36" xfId="189" applyNumberFormat="1" applyFont="1" applyFill="1" applyBorder="1" applyAlignment="1">
      <alignment horizontal="right" vertical="center"/>
      <protection/>
    </xf>
    <xf numFmtId="187" fontId="15" fillId="51" borderId="17" xfId="189" applyNumberFormat="1" applyFont="1" applyFill="1" applyBorder="1" applyAlignment="1">
      <alignment horizontal="right" vertical="center"/>
      <protection/>
    </xf>
    <xf numFmtId="178" fontId="15" fillId="51" borderId="34" xfId="189" applyNumberFormat="1" applyFont="1" applyFill="1" applyBorder="1" applyAlignment="1">
      <alignment vertical="center"/>
      <protection/>
    </xf>
    <xf numFmtId="3" fontId="1" fillId="0" borderId="32" xfId="189" applyNumberFormat="1" applyFont="1" applyFill="1" applyBorder="1" applyAlignment="1">
      <alignment horizontal="right" vertical="center"/>
      <protection/>
    </xf>
    <xf numFmtId="3" fontId="1" fillId="0" borderId="27" xfId="189" applyNumberFormat="1" applyFont="1" applyFill="1" applyBorder="1" applyAlignment="1">
      <alignment horizontal="right" vertical="center"/>
      <protection/>
    </xf>
    <xf numFmtId="187" fontId="1" fillId="0" borderId="32" xfId="189" applyNumberFormat="1" applyFont="1" applyFill="1" applyBorder="1" applyAlignment="1">
      <alignment horizontal="right" vertical="center"/>
      <protection/>
    </xf>
    <xf numFmtId="187" fontId="1" fillId="0" borderId="33" xfId="189" applyNumberFormat="1" applyFont="1" applyFill="1" applyBorder="1" applyAlignment="1">
      <alignment horizontal="right" vertical="center"/>
      <protection/>
    </xf>
    <xf numFmtId="187" fontId="1" fillId="0" borderId="33" xfId="189" applyNumberFormat="1" applyFont="1" applyFill="1" applyBorder="1" applyAlignment="1">
      <alignment vertical="center"/>
      <protection/>
    </xf>
    <xf numFmtId="187" fontId="1" fillId="0" borderId="0" xfId="189" applyNumberFormat="1" applyFont="1" applyFill="1" applyBorder="1" applyAlignment="1">
      <alignment vertical="center"/>
      <protection/>
    </xf>
    <xf numFmtId="187" fontId="1" fillId="0" borderId="0" xfId="226" applyNumberFormat="1" applyFont="1" applyFill="1" applyBorder="1" applyAlignment="1">
      <alignment vertical="center"/>
      <protection/>
    </xf>
    <xf numFmtId="178" fontId="1" fillId="0" borderId="6" xfId="189" applyNumberFormat="1" applyFont="1" applyFill="1" applyBorder="1" applyAlignment="1">
      <alignment vertical="center"/>
      <protection/>
    </xf>
    <xf numFmtId="3" fontId="15" fillId="51" borderId="37" xfId="189" applyNumberFormat="1" applyFont="1" applyFill="1" applyBorder="1" applyAlignment="1">
      <alignment horizontal="right" vertical="center"/>
      <protection/>
    </xf>
    <xf numFmtId="3" fontId="15" fillId="51" borderId="6" xfId="189" applyNumberFormat="1" applyFont="1" applyFill="1" applyBorder="1" applyAlignment="1">
      <alignment horizontal="right" vertical="center"/>
      <protection/>
    </xf>
    <xf numFmtId="187" fontId="1" fillId="51" borderId="37" xfId="189" applyNumberFormat="1" applyFont="1" applyFill="1" applyBorder="1" applyAlignment="1">
      <alignment horizontal="right" vertical="center"/>
      <protection/>
    </xf>
    <xf numFmtId="187" fontId="1" fillId="51" borderId="0" xfId="189" applyNumberFormat="1" applyFont="1" applyFill="1" applyBorder="1" applyAlignment="1">
      <alignment horizontal="right" vertical="center"/>
      <protection/>
    </xf>
    <xf numFmtId="187" fontId="1" fillId="51" borderId="0" xfId="226" applyNumberFormat="1" applyFont="1" applyFill="1" applyBorder="1" applyAlignment="1">
      <alignment horizontal="right" vertical="center"/>
      <protection/>
    </xf>
    <xf numFmtId="178" fontId="1" fillId="75" borderId="6" xfId="189" applyNumberFormat="1" applyFont="1" applyFill="1" applyBorder="1" applyAlignment="1">
      <alignment vertical="center"/>
      <protection/>
    </xf>
    <xf numFmtId="3" fontId="1" fillId="0" borderId="37" xfId="189" applyNumberFormat="1" applyFont="1" applyFill="1" applyBorder="1" applyAlignment="1" quotePrefix="1">
      <alignment horizontal="right" vertical="center"/>
      <protection/>
    </xf>
    <xf numFmtId="3" fontId="1" fillId="0" borderId="6" xfId="189" applyNumberFormat="1" applyFont="1" applyFill="1" applyBorder="1" applyAlignment="1" quotePrefix="1">
      <alignment horizontal="right" vertical="center"/>
      <protection/>
    </xf>
    <xf numFmtId="187" fontId="1" fillId="0" borderId="37" xfId="189" applyNumberFormat="1" applyFont="1" applyFill="1" applyBorder="1" applyAlignment="1" quotePrefix="1">
      <alignment horizontal="right" vertical="center"/>
      <protection/>
    </xf>
    <xf numFmtId="187" fontId="1" fillId="0" borderId="0" xfId="189" applyNumberFormat="1" applyFont="1" applyFill="1" applyBorder="1" applyAlignment="1">
      <alignment horizontal="right" vertical="center"/>
      <protection/>
    </xf>
    <xf numFmtId="187" fontId="1" fillId="0" borderId="0" xfId="189" applyNumberFormat="1" applyFont="1" applyFill="1" applyAlignment="1">
      <alignment horizontal="right" vertical="center"/>
      <protection/>
    </xf>
    <xf numFmtId="3" fontId="1" fillId="51" borderId="37" xfId="189" applyNumberFormat="1" applyFont="1" applyFill="1" applyBorder="1" applyAlignment="1">
      <alignment horizontal="right" vertical="center"/>
      <protection/>
    </xf>
    <xf numFmtId="3" fontId="1" fillId="51" borderId="6" xfId="189" applyNumberFormat="1" applyFont="1" applyFill="1" applyBorder="1" applyAlignment="1">
      <alignment horizontal="right" vertical="center"/>
      <protection/>
    </xf>
    <xf numFmtId="187" fontId="1" fillId="51" borderId="0" xfId="189" applyNumberFormat="1" applyFont="1" applyFill="1" applyAlignment="1">
      <alignment horizontal="right" vertical="center"/>
      <protection/>
    </xf>
    <xf numFmtId="187" fontId="1" fillId="51" borderId="0" xfId="189" applyNumberFormat="1" applyFont="1" applyFill="1" applyBorder="1" applyAlignment="1">
      <alignment vertical="center"/>
      <protection/>
    </xf>
    <xf numFmtId="187" fontId="1" fillId="51" borderId="0" xfId="226" applyNumberFormat="1" applyFont="1" applyFill="1" applyBorder="1" applyAlignment="1">
      <alignment vertical="center"/>
      <protection/>
    </xf>
    <xf numFmtId="3" fontId="1" fillId="0" borderId="37" xfId="189" applyNumberFormat="1" applyFont="1" applyFill="1" applyBorder="1" applyAlignment="1">
      <alignment horizontal="right" vertical="center"/>
      <protection/>
    </xf>
    <xf numFmtId="3" fontId="1" fillId="0" borderId="6" xfId="189" applyNumberFormat="1" applyFont="1" applyFill="1" applyBorder="1" applyAlignment="1">
      <alignment horizontal="right" vertical="center"/>
      <protection/>
    </xf>
    <xf numFmtId="187" fontId="1" fillId="0" borderId="37" xfId="189" applyNumberFormat="1" applyFont="1" applyFill="1" applyBorder="1" applyAlignment="1">
      <alignment horizontal="right" vertical="center"/>
      <protection/>
    </xf>
    <xf numFmtId="3" fontId="15" fillId="0" borderId="37" xfId="189" applyNumberFormat="1" applyFont="1" applyFill="1" applyBorder="1" applyAlignment="1">
      <alignment horizontal="right" vertical="center"/>
      <protection/>
    </xf>
    <xf numFmtId="3" fontId="15" fillId="0" borderId="6" xfId="189" applyNumberFormat="1" applyFont="1" applyFill="1" applyBorder="1" applyAlignment="1">
      <alignment horizontal="right" vertical="center"/>
      <protection/>
    </xf>
    <xf numFmtId="187" fontId="1" fillId="0" borderId="0" xfId="226" applyNumberFormat="1" applyFont="1" applyFill="1" applyBorder="1" applyAlignment="1">
      <alignment horizontal="right" vertical="center"/>
      <protection/>
    </xf>
    <xf numFmtId="3" fontId="1" fillId="75" borderId="37" xfId="189" applyNumberFormat="1" applyFont="1" applyFill="1" applyBorder="1" applyAlignment="1">
      <alignment horizontal="right" vertical="center"/>
      <protection/>
    </xf>
    <xf numFmtId="3" fontId="1" fillId="75" borderId="6" xfId="189" applyNumberFormat="1" applyFont="1" applyFill="1" applyBorder="1" applyAlignment="1">
      <alignment horizontal="right" vertical="center"/>
      <protection/>
    </xf>
    <xf numFmtId="187" fontId="1" fillId="75" borderId="37" xfId="189" applyNumberFormat="1" applyFont="1" applyFill="1" applyBorder="1" applyAlignment="1">
      <alignment horizontal="right" vertical="center"/>
      <protection/>
    </xf>
    <xf numFmtId="187" fontId="1" fillId="75" borderId="0" xfId="189" applyNumberFormat="1" applyFont="1" applyFill="1" applyBorder="1" applyAlignment="1">
      <alignment horizontal="right" vertical="center"/>
      <protection/>
    </xf>
    <xf numFmtId="187" fontId="1" fillId="75" borderId="0" xfId="189" applyNumberFormat="1" applyFont="1" applyFill="1" applyAlignment="1">
      <alignment horizontal="right" vertical="center"/>
      <protection/>
    </xf>
    <xf numFmtId="187" fontId="1" fillId="75" borderId="0" xfId="189" applyNumberFormat="1" applyFont="1" applyFill="1" applyBorder="1" applyAlignment="1">
      <alignment vertical="center"/>
      <protection/>
    </xf>
    <xf numFmtId="187" fontId="1" fillId="75" borderId="0" xfId="226" applyNumberFormat="1" applyFont="1" applyFill="1" applyBorder="1" applyAlignment="1">
      <alignment vertical="center"/>
      <protection/>
    </xf>
    <xf numFmtId="178" fontId="1" fillId="75" borderId="34" xfId="189" applyNumberFormat="1" applyFont="1" applyFill="1" applyBorder="1" applyAlignment="1">
      <alignment vertical="center"/>
      <protection/>
    </xf>
    <xf numFmtId="178" fontId="1" fillId="0" borderId="27" xfId="189" applyNumberFormat="1" applyFont="1" applyFill="1" applyBorder="1" applyAlignment="1">
      <alignment vertical="center"/>
      <protection/>
    </xf>
    <xf numFmtId="3" fontId="15" fillId="75" borderId="37" xfId="189" applyNumberFormat="1" applyFont="1" applyFill="1" applyBorder="1" applyAlignment="1">
      <alignment horizontal="right" vertical="center"/>
      <protection/>
    </xf>
    <xf numFmtId="3" fontId="15" fillId="75" borderId="6" xfId="189" applyNumberFormat="1" applyFont="1" applyFill="1" applyBorder="1" applyAlignment="1">
      <alignment horizontal="right" vertical="center"/>
      <protection/>
    </xf>
    <xf numFmtId="178" fontId="1" fillId="75" borderId="6" xfId="189" applyNumberFormat="1" applyFont="1" applyFill="1" applyBorder="1" applyAlignment="1">
      <alignment horizontal="center" vertical="center"/>
      <protection/>
    </xf>
    <xf numFmtId="187" fontId="1" fillId="0" borderId="17" xfId="189" applyNumberFormat="1" applyFont="1" applyFill="1" applyBorder="1" applyAlignment="1">
      <alignment horizontal="right" vertical="center"/>
      <protection/>
    </xf>
    <xf numFmtId="187" fontId="1" fillId="0" borderId="53" xfId="189" applyNumberFormat="1" applyFont="1" applyFill="1" applyBorder="1" applyAlignment="1">
      <alignment horizontal="right" vertical="center"/>
      <protection/>
    </xf>
    <xf numFmtId="178" fontId="1" fillId="0" borderId="34" xfId="189" applyNumberFormat="1" applyFont="1" applyFill="1" applyBorder="1" applyAlignment="1">
      <alignment horizontal="center" vertical="center"/>
      <protection/>
    </xf>
    <xf numFmtId="178" fontId="1" fillId="0" borderId="34" xfId="189" applyNumberFormat="1" applyFont="1" applyFill="1" applyBorder="1" applyAlignment="1">
      <alignment vertical="center"/>
      <protection/>
    </xf>
    <xf numFmtId="3" fontId="15" fillId="75" borderId="32" xfId="189" applyNumberFormat="1" applyFont="1" applyFill="1" applyBorder="1" applyAlignment="1">
      <alignment horizontal="right" vertical="center"/>
      <protection/>
    </xf>
    <xf numFmtId="3" fontId="15" fillId="75" borderId="27" xfId="189" applyNumberFormat="1" applyFont="1" applyFill="1" applyBorder="1" applyAlignment="1">
      <alignment horizontal="right" vertical="center"/>
      <protection/>
    </xf>
    <xf numFmtId="187" fontId="1" fillId="75" borderId="32" xfId="189" applyNumberFormat="1" applyFont="1" applyFill="1" applyBorder="1" applyAlignment="1">
      <alignment horizontal="right" vertical="center"/>
      <protection/>
    </xf>
    <xf numFmtId="187" fontId="1" fillId="75" borderId="33" xfId="189" applyNumberFormat="1" applyFont="1" applyFill="1" applyBorder="1" applyAlignment="1">
      <alignment horizontal="right" vertical="center"/>
      <protection/>
    </xf>
    <xf numFmtId="187" fontId="1" fillId="75" borderId="0" xfId="226" applyNumberFormat="1" applyFont="1" applyFill="1" applyBorder="1" applyAlignment="1">
      <alignment horizontal="right" vertical="center"/>
      <protection/>
    </xf>
    <xf numFmtId="187" fontId="15" fillId="0" borderId="0" xfId="189" applyNumberFormat="1" applyFont="1" applyFill="1" applyBorder="1" applyAlignment="1">
      <alignment horizontal="right" vertical="center"/>
      <protection/>
    </xf>
    <xf numFmtId="187" fontId="1" fillId="75" borderId="17" xfId="189" applyNumberFormat="1" applyFont="1" applyFill="1" applyBorder="1" applyAlignment="1">
      <alignment horizontal="right" vertical="center"/>
      <protection/>
    </xf>
    <xf numFmtId="187" fontId="1" fillId="75" borderId="17" xfId="226" applyNumberFormat="1" applyFont="1" applyFill="1" applyBorder="1" applyAlignment="1">
      <alignment horizontal="right" vertical="center"/>
      <protection/>
    </xf>
    <xf numFmtId="3" fontId="1" fillId="75" borderId="32" xfId="189" applyNumberFormat="1" applyFont="1" applyFill="1" applyBorder="1" applyAlignment="1">
      <alignment horizontal="right" vertical="center"/>
      <protection/>
    </xf>
    <xf numFmtId="3" fontId="1" fillId="75" borderId="27" xfId="189" applyNumberFormat="1" applyFont="1" applyFill="1" applyBorder="1" applyAlignment="1">
      <alignment horizontal="right" vertical="center"/>
      <protection/>
    </xf>
    <xf numFmtId="187" fontId="1" fillId="75" borderId="33" xfId="189" applyNumberFormat="1" applyFont="1" applyFill="1" applyBorder="1" applyAlignment="1">
      <alignment vertical="center"/>
      <protection/>
    </xf>
    <xf numFmtId="41" fontId="9" fillId="73" borderId="0" xfId="0" applyNumberFormat="1" applyFont="1" applyFill="1" applyBorder="1" applyAlignment="1">
      <alignment/>
    </xf>
    <xf numFmtId="0" fontId="9" fillId="14" borderId="0" xfId="0" applyFont="1" applyFill="1" applyBorder="1" applyAlignment="1">
      <alignment wrapText="1"/>
    </xf>
    <xf numFmtId="0" fontId="0" fillId="0" borderId="0" xfId="0" applyAlignment="1">
      <alignment wrapText="1"/>
    </xf>
    <xf numFmtId="0" fontId="29" fillId="14" borderId="0" xfId="0" applyFont="1" applyFill="1" applyBorder="1" applyAlignment="1">
      <alignment wrapText="1"/>
    </xf>
    <xf numFmtId="0" fontId="29" fillId="14" borderId="0" xfId="0" applyFont="1" applyFill="1" applyAlignment="1">
      <alignment wrapText="1"/>
    </xf>
    <xf numFmtId="0" fontId="9" fillId="14" borderId="0" xfId="0" applyFont="1" applyFill="1" applyBorder="1" applyAlignment="1">
      <alignment horizontal="center" wrapText="1"/>
    </xf>
    <xf numFmtId="0" fontId="8" fillId="0" borderId="17" xfId="0" applyFont="1" applyFill="1" applyBorder="1" applyAlignment="1">
      <alignment horizontal="center" wrapText="1"/>
    </xf>
    <xf numFmtId="0" fontId="9" fillId="0" borderId="17" xfId="0" applyFont="1" applyFill="1" applyBorder="1" applyAlignment="1">
      <alignment horizontal="center" wrapText="1"/>
    </xf>
    <xf numFmtId="0" fontId="10" fillId="0" borderId="0" xfId="0" applyFont="1" applyFill="1" applyBorder="1" applyAlignment="1">
      <alignment textRotation="90" wrapText="1"/>
    </xf>
    <xf numFmtId="0" fontId="157" fillId="0" borderId="0" xfId="0" applyNumberFormat="1" applyFont="1" applyFill="1" applyBorder="1" applyAlignment="1">
      <alignment horizontal="center" wrapText="1"/>
    </xf>
    <xf numFmtId="0" fontId="0" fillId="14" borderId="0" xfId="0" applyFill="1" applyAlignment="1">
      <alignment wrapText="1"/>
    </xf>
    <xf numFmtId="0" fontId="28" fillId="14" borderId="0" xfId="161" applyFont="1" applyFill="1" applyBorder="1" applyAlignment="1" applyProtection="1">
      <alignment horizontal="center" wrapText="1"/>
      <protection/>
    </xf>
    <xf numFmtId="0" fontId="2" fillId="14" borderId="0" xfId="0" applyFont="1" applyFill="1" applyBorder="1" applyAlignment="1">
      <alignment horizontal="center" wrapText="1"/>
    </xf>
    <xf numFmtId="1" fontId="15" fillId="74" borderId="37" xfId="195" applyNumberFormat="1" applyFont="1" applyFill="1" applyBorder="1" applyAlignment="1">
      <alignment horizontal="center" wrapText="1"/>
      <protection/>
    </xf>
    <xf numFmtId="1" fontId="15" fillId="74" borderId="0" xfId="195" applyNumberFormat="1" applyFont="1" applyFill="1" applyBorder="1" applyAlignment="1">
      <alignment horizontal="center" wrapText="1"/>
      <protection/>
    </xf>
    <xf numFmtId="1" fontId="15" fillId="74" borderId="31" xfId="195" applyNumberFormat="1" applyFont="1" applyFill="1" applyBorder="1" applyAlignment="1">
      <alignment horizontal="center" wrapText="1"/>
      <protection/>
    </xf>
    <xf numFmtId="178" fontId="15" fillId="0" borderId="0" xfId="195" applyNumberFormat="1" applyFont="1" applyFill="1" applyBorder="1" applyAlignment="1">
      <alignment horizontal="left" wrapText="1"/>
      <protection/>
    </xf>
    <xf numFmtId="0" fontId="0" fillId="0" borderId="0" xfId="195" applyAlignment="1">
      <alignment wrapText="1"/>
      <protection/>
    </xf>
    <xf numFmtId="178" fontId="15" fillId="0" borderId="0" xfId="195" applyNumberFormat="1" applyFont="1" applyFill="1" applyBorder="1" applyAlignment="1">
      <alignment horizontal="left" vertical="top" wrapText="1"/>
      <protection/>
    </xf>
    <xf numFmtId="0" fontId="0" fillId="0" borderId="0" xfId="195" applyAlignment="1">
      <alignment vertical="top" wrapText="1"/>
      <protection/>
    </xf>
    <xf numFmtId="178" fontId="1" fillId="0" borderId="0" xfId="195" applyNumberFormat="1" applyFont="1" applyFill="1" applyBorder="1" applyAlignment="1">
      <alignment horizontal="left" vertical="top" wrapText="1"/>
      <protection/>
    </xf>
    <xf numFmtId="0" fontId="0" fillId="0" borderId="0" xfId="195" applyFont="1" applyAlignment="1">
      <alignment vertical="top" wrapText="1"/>
      <protection/>
    </xf>
    <xf numFmtId="0" fontId="8" fillId="0" borderId="0" xfId="195" applyFont="1" applyBorder="1" applyAlignment="1">
      <alignment horizontal="center" vertical="top"/>
      <protection/>
    </xf>
    <xf numFmtId="0" fontId="15" fillId="74" borderId="32" xfId="195" applyFont="1" applyFill="1" applyBorder="1" applyAlignment="1">
      <alignment horizontal="center" vertical="center"/>
      <protection/>
    </xf>
    <xf numFmtId="0" fontId="15" fillId="74" borderId="43" xfId="195" applyFont="1" applyFill="1" applyBorder="1" applyAlignment="1">
      <alignment horizontal="center" vertical="center"/>
      <protection/>
    </xf>
    <xf numFmtId="0" fontId="15" fillId="74" borderId="37" xfId="195" applyFont="1" applyFill="1" applyBorder="1" applyAlignment="1">
      <alignment horizontal="center" vertical="center"/>
      <protection/>
    </xf>
    <xf numFmtId="0" fontId="15" fillId="74" borderId="31" xfId="195" applyFont="1" applyFill="1" applyBorder="1" applyAlignment="1">
      <alignment horizontal="center" vertical="center"/>
      <protection/>
    </xf>
    <xf numFmtId="1" fontId="15" fillId="74" borderId="32" xfId="195" applyNumberFormat="1" applyFont="1" applyFill="1" applyBorder="1" applyAlignment="1">
      <alignment horizontal="center" vertical="center" wrapText="1"/>
      <protection/>
    </xf>
    <xf numFmtId="1" fontId="15" fillId="74" borderId="43" xfId="195" applyNumberFormat="1" applyFont="1" applyFill="1" applyBorder="1" applyAlignment="1">
      <alignment horizontal="center" vertical="center" wrapText="1"/>
      <protection/>
    </xf>
    <xf numFmtId="1" fontId="15" fillId="74" borderId="37" xfId="195" applyNumberFormat="1" applyFont="1" applyFill="1" applyBorder="1" applyAlignment="1">
      <alignment horizontal="center" vertical="center" wrapText="1"/>
      <protection/>
    </xf>
    <xf numFmtId="1" fontId="15" fillId="74" borderId="31" xfId="195" applyNumberFormat="1" applyFont="1" applyFill="1" applyBorder="1" applyAlignment="1">
      <alignment horizontal="center" vertical="center" wrapText="1"/>
      <protection/>
    </xf>
    <xf numFmtId="1" fontId="15" fillId="74" borderId="32" xfId="195" applyNumberFormat="1" applyFont="1" applyFill="1" applyBorder="1" applyAlignment="1">
      <alignment horizontal="center" wrapText="1"/>
      <protection/>
    </xf>
    <xf numFmtId="1" fontId="15" fillId="74" borderId="33" xfId="195" applyNumberFormat="1" applyFont="1" applyFill="1" applyBorder="1" applyAlignment="1">
      <alignment horizontal="center" wrapText="1"/>
      <protection/>
    </xf>
    <xf numFmtId="1" fontId="15" fillId="74" borderId="43" xfId="195" applyNumberFormat="1" applyFont="1" applyFill="1" applyBorder="1" applyAlignment="1">
      <alignment horizontal="center" wrapText="1"/>
      <protection/>
    </xf>
    <xf numFmtId="0" fontId="1" fillId="0" borderId="0" xfId="0" applyFont="1" applyFill="1" applyBorder="1" applyAlignment="1" quotePrefix="1">
      <alignment vertical="top" wrapText="1"/>
    </xf>
    <xf numFmtId="0" fontId="8" fillId="0" borderId="0" xfId="0" applyFont="1" applyBorder="1" applyAlignment="1">
      <alignment horizontal="center" vertical="top" wrapText="1"/>
    </xf>
    <xf numFmtId="0" fontId="14" fillId="0" borderId="0" xfId="0" applyFont="1" applyBorder="1" applyAlignment="1">
      <alignment horizontal="center" vertical="center" wrapText="1"/>
    </xf>
    <xf numFmtId="0" fontId="15" fillId="0" borderId="0" xfId="0" applyFont="1" applyFill="1" applyBorder="1" applyAlignment="1" quotePrefix="1">
      <alignment wrapText="1"/>
    </xf>
    <xf numFmtId="49" fontId="1" fillId="0" borderId="0" xfId="0" applyNumberFormat="1" applyFont="1" applyBorder="1" applyAlignment="1">
      <alignment horizontal="left" vertical="top" wrapText="1"/>
    </xf>
    <xf numFmtId="0" fontId="8" fillId="0" borderId="0" xfId="0" applyFont="1" applyBorder="1" applyAlignment="1">
      <alignment horizontal="center" vertical="top"/>
    </xf>
    <xf numFmtId="0" fontId="15" fillId="0" borderId="33" xfId="0" applyFont="1" applyFill="1" applyBorder="1" applyAlignment="1" quotePrefix="1">
      <alignment wrapText="1"/>
    </xf>
    <xf numFmtId="0" fontId="1" fillId="0" borderId="17" xfId="195" applyFont="1" applyBorder="1" applyAlignment="1">
      <alignment horizontal="right" vertical="center"/>
      <protection/>
    </xf>
    <xf numFmtId="0" fontId="15" fillId="0" borderId="33" xfId="195" applyFont="1" applyBorder="1" applyAlignment="1">
      <alignment wrapText="1"/>
      <protection/>
    </xf>
    <xf numFmtId="49" fontId="15" fillId="0" borderId="0" xfId="195" applyNumberFormat="1" applyFont="1" applyBorder="1" applyAlignment="1">
      <alignment horizontal="left" wrapText="1"/>
      <protection/>
    </xf>
    <xf numFmtId="0" fontId="8" fillId="0" borderId="0" xfId="195" applyNumberFormat="1" applyFont="1" applyBorder="1" applyAlignment="1">
      <alignment horizontal="center" vertical="top"/>
      <protection/>
    </xf>
    <xf numFmtId="0" fontId="15" fillId="0" borderId="0" xfId="195" applyFont="1" applyBorder="1" applyAlignment="1">
      <alignment horizontal="left"/>
      <protection/>
    </xf>
    <xf numFmtId="0" fontId="1" fillId="0" borderId="0" xfId="195" applyFont="1" applyAlignment="1">
      <alignment horizontal="left" vertical="top" wrapText="1"/>
      <protection/>
    </xf>
    <xf numFmtId="0" fontId="8" fillId="0" borderId="0" xfId="195" applyFont="1" applyAlignment="1">
      <alignment horizontal="center" vertical="center" wrapText="1"/>
      <protection/>
    </xf>
    <xf numFmtId="0" fontId="14" fillId="0" borderId="0" xfId="195" applyFont="1" applyAlignment="1">
      <alignment horizontal="center" vertical="center"/>
      <protection/>
    </xf>
    <xf numFmtId="0" fontId="0" fillId="0" borderId="0" xfId="195" applyFont="1" applyAlignment="1">
      <alignment horizontal="center" vertical="center"/>
      <protection/>
    </xf>
    <xf numFmtId="0" fontId="1" fillId="0" borderId="17" xfId="195" applyFont="1" applyBorder="1" applyAlignment="1">
      <alignment wrapText="1"/>
      <protection/>
    </xf>
    <xf numFmtId="0" fontId="8" fillId="0" borderId="0" xfId="189" applyFont="1" applyBorder="1" applyAlignment="1">
      <alignment horizontal="center" vertical="top"/>
      <protection/>
    </xf>
    <xf numFmtId="49" fontId="15" fillId="0" borderId="0" xfId="189" applyNumberFormat="1" applyFont="1" applyAlignment="1">
      <alignment vertical="top" wrapText="1"/>
      <protection/>
    </xf>
    <xf numFmtId="49" fontId="15" fillId="0" borderId="33" xfId="189" applyNumberFormat="1" applyFont="1" applyBorder="1" applyAlignment="1">
      <alignment horizontal="left" wrapText="1"/>
      <protection/>
    </xf>
    <xf numFmtId="0" fontId="8" fillId="0" borderId="0" xfId="189" applyFont="1" applyFill="1" applyBorder="1" applyAlignment="1">
      <alignment horizontal="center" vertical="top"/>
      <protection/>
    </xf>
    <xf numFmtId="49" fontId="15" fillId="0" borderId="0" xfId="189" applyNumberFormat="1" applyFont="1" applyBorder="1" applyAlignment="1">
      <alignment horizontal="left" wrapText="1"/>
      <protection/>
    </xf>
    <xf numFmtId="0" fontId="13" fillId="0" borderId="0" xfId="189" applyFont="1" applyAlignment="1">
      <alignment horizontal="center" vertical="center"/>
      <protection/>
    </xf>
    <xf numFmtId="0" fontId="8" fillId="0" borderId="0" xfId="189" applyFont="1" applyAlignment="1">
      <alignment horizontal="center" vertical="center"/>
      <protection/>
    </xf>
    <xf numFmtId="0" fontId="14" fillId="0" borderId="0" xfId="189" applyFont="1" applyAlignment="1">
      <alignment horizontal="center"/>
      <protection/>
    </xf>
    <xf numFmtId="0" fontId="9" fillId="0" borderId="0" xfId="189" applyFont="1" applyAlignment="1">
      <alignment vertical="top" wrapText="1"/>
      <protection/>
    </xf>
    <xf numFmtId="0" fontId="15" fillId="0" borderId="33" xfId="189" applyFont="1" applyBorder="1" applyAlignment="1">
      <alignment horizontal="left" wrapText="1"/>
      <protection/>
    </xf>
    <xf numFmtId="0" fontId="0" fillId="0" borderId="0" xfId="189" applyFont="1" applyBorder="1" applyAlignment="1">
      <alignment horizontal="center" vertical="center"/>
      <protection/>
    </xf>
    <xf numFmtId="0" fontId="15" fillId="0" borderId="0" xfId="189" applyFont="1" applyAlignment="1">
      <alignment horizontal="left" wrapText="1"/>
      <protection/>
    </xf>
    <xf numFmtId="0" fontId="1" fillId="0" borderId="0" xfId="189" applyFont="1" applyAlignment="1">
      <alignment horizontal="left" vertical="top" wrapText="1"/>
      <protection/>
    </xf>
    <xf numFmtId="0" fontId="15" fillId="0" borderId="0" xfId="189" applyFont="1" applyAlignment="1">
      <alignment horizontal="left" vertical="top" wrapText="1"/>
      <protection/>
    </xf>
    <xf numFmtId="177" fontId="1" fillId="75" borderId="0" xfId="189" applyNumberFormat="1" applyFont="1" applyFill="1" applyBorder="1" applyAlignment="1">
      <alignment horizontal="center" vertical="center"/>
      <protection/>
    </xf>
    <xf numFmtId="177" fontId="1" fillId="75" borderId="31" xfId="189" applyNumberFormat="1" applyFont="1" applyFill="1" applyBorder="1" applyAlignment="1">
      <alignment horizontal="center" vertical="center"/>
      <protection/>
    </xf>
    <xf numFmtId="0" fontId="13" fillId="0" borderId="0" xfId="189" applyFont="1" applyAlignment="1" quotePrefix="1">
      <alignment horizontal="left"/>
      <protection/>
    </xf>
    <xf numFmtId="0" fontId="8" fillId="0" borderId="0" xfId="189" applyFont="1" applyFill="1" applyAlignment="1">
      <alignment horizontal="right" vertical="center" wrapText="1"/>
      <protection/>
    </xf>
    <xf numFmtId="0" fontId="0" fillId="0" borderId="0" xfId="189" applyAlignment="1">
      <alignment wrapText="1"/>
      <protection/>
    </xf>
    <xf numFmtId="0" fontId="8" fillId="0" borderId="0" xfId="189" applyFont="1" applyAlignment="1">
      <alignment horizontal="center" vertical="center" wrapText="1"/>
      <protection/>
    </xf>
    <xf numFmtId="0" fontId="0" fillId="0" borderId="17" xfId="189" applyFont="1" applyBorder="1" applyAlignment="1">
      <alignment horizontal="center" vertical="center"/>
      <protection/>
    </xf>
    <xf numFmtId="0" fontId="15" fillId="73" borderId="27" xfId="189" applyFont="1" applyFill="1" applyBorder="1" applyAlignment="1">
      <alignment horizontal="center" vertical="center" wrapText="1"/>
      <protection/>
    </xf>
    <xf numFmtId="0" fontId="15" fillId="73" borderId="6" xfId="189" applyFont="1" applyFill="1" applyBorder="1" applyAlignment="1">
      <alignment horizontal="center" vertical="center" wrapText="1"/>
      <protection/>
    </xf>
    <xf numFmtId="0" fontId="15" fillId="73" borderId="34" xfId="189" applyFont="1" applyFill="1" applyBorder="1" applyAlignment="1">
      <alignment horizontal="center" vertical="center" wrapText="1"/>
      <protection/>
    </xf>
    <xf numFmtId="0" fontId="14" fillId="0" borderId="0" xfId="189" applyFont="1" applyBorder="1" applyAlignment="1">
      <alignment horizontal="center" vertical="top"/>
      <protection/>
    </xf>
    <xf numFmtId="0" fontId="15" fillId="0" borderId="33" xfId="189" applyFont="1" applyBorder="1" applyAlignment="1">
      <alignment wrapText="1"/>
      <protection/>
    </xf>
    <xf numFmtId="0" fontId="0" fillId="0" borderId="33" xfId="189" applyBorder="1" applyAlignment="1">
      <alignment wrapText="1"/>
      <protection/>
    </xf>
    <xf numFmtId="0" fontId="15" fillId="0" borderId="0" xfId="189" applyFont="1" applyAlignment="1">
      <alignment wrapText="1"/>
      <protection/>
    </xf>
    <xf numFmtId="0" fontId="1" fillId="0" borderId="0" xfId="189" applyFont="1" applyAlignment="1">
      <alignment wrapText="1"/>
      <protection/>
    </xf>
    <xf numFmtId="0" fontId="1" fillId="0" borderId="0" xfId="189" applyFont="1" applyAlignment="1">
      <alignment vertical="top" wrapText="1"/>
      <protection/>
    </xf>
    <xf numFmtId="0" fontId="14" fillId="0" borderId="0" xfId="189" applyFont="1" applyBorder="1" applyAlignment="1">
      <alignment horizontal="center" vertical="center"/>
      <protection/>
    </xf>
    <xf numFmtId="0" fontId="0" fillId="0" borderId="33" xfId="189" applyBorder="1" applyAlignment="1">
      <alignment horizontal="left" wrapText="1"/>
      <protection/>
    </xf>
    <xf numFmtId="0" fontId="1" fillId="0" borderId="0" xfId="189" applyFont="1" applyBorder="1" applyAlignment="1">
      <alignment vertical="top" wrapText="1"/>
      <protection/>
    </xf>
    <xf numFmtId="0" fontId="8" fillId="0" borderId="0" xfId="189" applyFont="1" applyBorder="1" applyAlignment="1">
      <alignment horizontal="center" vertical="top" wrapText="1"/>
      <protection/>
    </xf>
    <xf numFmtId="0" fontId="14" fillId="0" borderId="0" xfId="189" applyFont="1" applyBorder="1" applyAlignment="1">
      <alignment horizontal="center" vertical="center" wrapText="1"/>
      <protection/>
    </xf>
    <xf numFmtId="0" fontId="15" fillId="0" borderId="33" xfId="189" applyFont="1" applyBorder="1" applyAlignment="1">
      <alignment vertical="center" wrapText="1"/>
      <protection/>
    </xf>
    <xf numFmtId="0" fontId="0" fillId="0" borderId="33" xfId="189" applyBorder="1" applyAlignment="1">
      <alignment vertical="center" wrapText="1"/>
      <protection/>
    </xf>
    <xf numFmtId="0" fontId="15" fillId="0" borderId="0" xfId="189" applyFont="1" applyBorder="1" applyAlignment="1">
      <alignment wrapText="1"/>
      <protection/>
    </xf>
    <xf numFmtId="0" fontId="1" fillId="0" borderId="0" xfId="189" applyFont="1" applyBorder="1" applyAlignment="1">
      <alignment wrapText="1"/>
      <protection/>
    </xf>
    <xf numFmtId="0" fontId="8" fillId="0" borderId="0" xfId="189" applyFont="1" applyAlignment="1">
      <alignment horizontal="center" vertical="top"/>
      <protection/>
    </xf>
    <xf numFmtId="0" fontId="14" fillId="0" borderId="0" xfId="189" applyFont="1" applyAlignment="1">
      <alignment horizontal="center" vertical="center"/>
      <protection/>
    </xf>
    <xf numFmtId="0" fontId="15" fillId="0" borderId="0" xfId="189" applyFont="1" applyBorder="1" applyAlignment="1">
      <alignment horizontal="left" wrapText="1"/>
      <protection/>
    </xf>
    <xf numFmtId="0" fontId="0" fillId="0" borderId="0" xfId="189" applyAlignment="1">
      <alignment horizontal="center" vertical="top" wrapText="1"/>
      <protection/>
    </xf>
    <xf numFmtId="0" fontId="0" fillId="0" borderId="0" xfId="189" applyBorder="1" applyAlignment="1">
      <alignment wrapText="1"/>
      <protection/>
    </xf>
  </cellXfs>
  <cellStyles count="337">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AZ1" xfId="78"/>
    <cellStyle name="Bad" xfId="79"/>
    <cellStyle name="Bad 2" xfId="80"/>
    <cellStyle name="C1.general" xfId="81"/>
    <cellStyle name="C1.percentage" xfId="82"/>
    <cellStyle name="Calculation" xfId="83"/>
    <cellStyle name="Calculation 2" xfId="84"/>
    <cellStyle name="cells" xfId="85"/>
    <cellStyle name="Check Cell" xfId="86"/>
    <cellStyle name="Check Cell 2" xfId="87"/>
    <cellStyle name="coin" xfId="88"/>
    <cellStyle name="column field" xfId="89"/>
    <cellStyle name="Column heading" xfId="90"/>
    <cellStyle name="Comma" xfId="91"/>
    <cellStyle name="Comma [0]" xfId="92"/>
    <cellStyle name="Comma 2" xfId="93"/>
    <cellStyle name="Comma 2 2" xfId="94"/>
    <cellStyle name="Comma 3" xfId="95"/>
    <cellStyle name="Comma 4" xfId="96"/>
    <cellStyle name="Comma 5" xfId="97"/>
    <cellStyle name="Comma 6" xfId="98"/>
    <cellStyle name="Comma 6 2" xfId="99"/>
    <cellStyle name="Comma 7" xfId="100"/>
    <cellStyle name="contenu_unite" xfId="101"/>
    <cellStyle name="Corner heading" xfId="102"/>
    <cellStyle name="Currency" xfId="103"/>
    <cellStyle name="Currency [0]" xfId="104"/>
    <cellStyle name="Currency 2" xfId="105"/>
    <cellStyle name="Currency 3" xfId="106"/>
    <cellStyle name="Currency 3 2" xfId="107"/>
    <cellStyle name="Currency 4" xfId="108"/>
    <cellStyle name="Data" xfId="109"/>
    <cellStyle name="Data 2" xfId="110"/>
    <cellStyle name="Data 2 2" xfId="111"/>
    <cellStyle name="Data 3" xfId="112"/>
    <cellStyle name="Data no deci" xfId="113"/>
    <cellStyle name="Data no deci 2" xfId="114"/>
    <cellStyle name="Data Superscript" xfId="115"/>
    <cellStyle name="Data Superscript 2" xfId="116"/>
    <cellStyle name="Data_1-1A-Regular" xfId="117"/>
    <cellStyle name="Detail ligne" xfId="118"/>
    <cellStyle name="donn_normal" xfId="119"/>
    <cellStyle name="donnnormal1" xfId="120"/>
    <cellStyle name="donntotal1" xfId="121"/>
    <cellStyle name="ent_col_ser" xfId="122"/>
    <cellStyle name="entete_indice" xfId="123"/>
    <cellStyle name="Euro" xfId="124"/>
    <cellStyle name="Explanatory Text" xfId="125"/>
    <cellStyle name="Explanatory Text 2" xfId="126"/>
    <cellStyle name="Explanatory Text 3" xfId="127"/>
    <cellStyle name="FEST" xfId="128"/>
    <cellStyle name="field" xfId="129"/>
    <cellStyle name="field names" xfId="130"/>
    <cellStyle name="Följde hyperlänken" xfId="131"/>
    <cellStyle name="Followed Hyperlink" xfId="132"/>
    <cellStyle name="footer" xfId="133"/>
    <cellStyle name="Good" xfId="134"/>
    <cellStyle name="Good 2" xfId="135"/>
    <cellStyle name="Heading" xfId="136"/>
    <cellStyle name="Heading 1" xfId="137"/>
    <cellStyle name="Heading 1 2" xfId="138"/>
    <cellStyle name="Heading 2" xfId="139"/>
    <cellStyle name="Heading 2 2" xfId="140"/>
    <cellStyle name="Heading 3" xfId="141"/>
    <cellStyle name="Heading 3 2" xfId="142"/>
    <cellStyle name="Heading 4" xfId="143"/>
    <cellStyle name="Heading 4 2" xfId="144"/>
    <cellStyle name="Heading 5" xfId="145"/>
    <cellStyle name="Hed Side" xfId="146"/>
    <cellStyle name="Hed Side 2" xfId="147"/>
    <cellStyle name="Hed Side 2 2" xfId="148"/>
    <cellStyle name="Hed Side 3" xfId="149"/>
    <cellStyle name="Hed Side bold" xfId="150"/>
    <cellStyle name="Hed Side Indent" xfId="151"/>
    <cellStyle name="Hed Side Indent 2" xfId="152"/>
    <cellStyle name="Hed Side Regular" xfId="153"/>
    <cellStyle name="Hed Side Regular 2" xfId="154"/>
    <cellStyle name="Hed Side_1-1A-Regular" xfId="155"/>
    <cellStyle name="Hed Top" xfId="156"/>
    <cellStyle name="Hed Top - SECTION" xfId="157"/>
    <cellStyle name="Hed Top - SECTION 2" xfId="158"/>
    <cellStyle name="Hed Top_3-new4" xfId="159"/>
    <cellStyle name="Hyperlänk 2" xfId="160"/>
    <cellStyle name="Hyperlink" xfId="161"/>
    <cellStyle name="Hyperlink 2" xfId="162"/>
    <cellStyle name="Hyperlink 2 2" xfId="163"/>
    <cellStyle name="Hyperlink 2 3" xfId="164"/>
    <cellStyle name="Hyperlink 3" xfId="165"/>
    <cellStyle name="Hyperlink 4" xfId="166"/>
    <cellStyle name="Identification requete" xfId="167"/>
    <cellStyle name="Input" xfId="168"/>
    <cellStyle name="Input 2" xfId="169"/>
    <cellStyle name="Ligne détail" xfId="170"/>
    <cellStyle name="Ligne détail 2" xfId="171"/>
    <cellStyle name="ligne_titre_0" xfId="172"/>
    <cellStyle name="Linked Cell" xfId="173"/>
    <cellStyle name="Linked Cell 2" xfId="174"/>
    <cellStyle name="MEV1" xfId="175"/>
    <cellStyle name="MEV2" xfId="176"/>
    <cellStyle name="Neutral" xfId="177"/>
    <cellStyle name="Neutral 2" xfId="178"/>
    <cellStyle name="Normal 10" xfId="179"/>
    <cellStyle name="Normal 11" xfId="180"/>
    <cellStyle name="Normal 11 2" xfId="181"/>
    <cellStyle name="Normal 12" xfId="182"/>
    <cellStyle name="Normal 13" xfId="183"/>
    <cellStyle name="Normal 14" xfId="184"/>
    <cellStyle name="Normal 15" xfId="185"/>
    <cellStyle name="Normal 16" xfId="186"/>
    <cellStyle name="Normal 2" xfId="187"/>
    <cellStyle name="Normal 2 2" xfId="188"/>
    <cellStyle name="Normal 2 2 2" xfId="189"/>
    <cellStyle name="Normal 2 3" xfId="190"/>
    <cellStyle name="Normal 2 3 2" xfId="191"/>
    <cellStyle name="Normal 2 4" xfId="192"/>
    <cellStyle name="Normal 2 5" xfId="193"/>
    <cellStyle name="Normal 3" xfId="194"/>
    <cellStyle name="Normal 3 2" xfId="195"/>
    <cellStyle name="Normal 3 2 2" xfId="196"/>
    <cellStyle name="Normal 3 2 2 2" xfId="197"/>
    <cellStyle name="Normal 3 2 3" xfId="198"/>
    <cellStyle name="Normal 3 3" xfId="199"/>
    <cellStyle name="Normal 3 3 2" xfId="200"/>
    <cellStyle name="Normal 3 3 2 2" xfId="201"/>
    <cellStyle name="Normal 3 3 3" xfId="202"/>
    <cellStyle name="Normal 3 4" xfId="203"/>
    <cellStyle name="Normal 3 4 2" xfId="204"/>
    <cellStyle name="Normal 3 5" xfId="205"/>
    <cellStyle name="Normal 3 6" xfId="206"/>
    <cellStyle name="Normal 3 7" xfId="207"/>
    <cellStyle name="Normal 3 8" xfId="208"/>
    <cellStyle name="Normal 4" xfId="209"/>
    <cellStyle name="Normal 4 2" xfId="210"/>
    <cellStyle name="Normal 4 2 2" xfId="211"/>
    <cellStyle name="Normal 4 2 2 2" xfId="212"/>
    <cellStyle name="Normal 4 2 3" xfId="213"/>
    <cellStyle name="Normal 4 2 4" xfId="214"/>
    <cellStyle name="Normal 4 3" xfId="215"/>
    <cellStyle name="Normal 4 3 2" xfId="216"/>
    <cellStyle name="Normal 4 3 2 2" xfId="217"/>
    <cellStyle name="Normal 4 3 3" xfId="218"/>
    <cellStyle name="Normal 4 4" xfId="219"/>
    <cellStyle name="Normal 4 4 2" xfId="220"/>
    <cellStyle name="Normal 4 5" xfId="221"/>
    <cellStyle name="Normal 4 6" xfId="222"/>
    <cellStyle name="Normal 4 7" xfId="223"/>
    <cellStyle name="Normal 4 8" xfId="224"/>
    <cellStyle name="Normal 4 9" xfId="225"/>
    <cellStyle name="Normal 5" xfId="226"/>
    <cellStyle name="Normal 5 2" xfId="227"/>
    <cellStyle name="Normal 5 2 2" xfId="228"/>
    <cellStyle name="Normal 5 3" xfId="229"/>
    <cellStyle name="Normal 5 4" xfId="230"/>
    <cellStyle name="Normal 5 5" xfId="231"/>
    <cellStyle name="Normal 6" xfId="232"/>
    <cellStyle name="Normal 6 2" xfId="233"/>
    <cellStyle name="Normal 6 3" xfId="234"/>
    <cellStyle name="Normal 6 4" xfId="235"/>
    <cellStyle name="Normal 7" xfId="236"/>
    <cellStyle name="Normal 7 2" xfId="237"/>
    <cellStyle name="Normal 7 2 2" xfId="238"/>
    <cellStyle name="Normal 7 3" xfId="239"/>
    <cellStyle name="Normal 7 4" xfId="240"/>
    <cellStyle name="Normal 8" xfId="241"/>
    <cellStyle name="Normal 8 2" xfId="242"/>
    <cellStyle name="Normal 8 3" xfId="243"/>
    <cellStyle name="Normal 8 4" xfId="244"/>
    <cellStyle name="Normal 9" xfId="245"/>
    <cellStyle name="Normal 9 2" xfId="246"/>
    <cellStyle name="Normál_t6" xfId="247"/>
    <cellStyle name="Normalny 2" xfId="248"/>
    <cellStyle name="Normalny 3" xfId="249"/>
    <cellStyle name="Note" xfId="250"/>
    <cellStyle name="Note 2" xfId="251"/>
    <cellStyle name="Note 2 2" xfId="252"/>
    <cellStyle name="Note 3" xfId="253"/>
    <cellStyle name="Note 4" xfId="254"/>
    <cellStyle name="notice_theme" xfId="255"/>
    <cellStyle name="num_note" xfId="256"/>
    <cellStyle name="Output" xfId="257"/>
    <cellStyle name="Output 2" xfId="258"/>
    <cellStyle name="Percent" xfId="259"/>
    <cellStyle name="Percent 2" xfId="260"/>
    <cellStyle name="Percent 2 2" xfId="261"/>
    <cellStyle name="Percent 2 3" xfId="262"/>
    <cellStyle name="Percent 3" xfId="263"/>
    <cellStyle name="Percent 3 2" xfId="264"/>
    <cellStyle name="Percent 3 3" xfId="265"/>
    <cellStyle name="Percent 4" xfId="266"/>
    <cellStyle name="Percent 5" xfId="267"/>
    <cellStyle name="Percent 6" xfId="268"/>
    <cellStyle name="Procent 2" xfId="269"/>
    <cellStyle name="Procent 3" xfId="270"/>
    <cellStyle name="Publication_style" xfId="271"/>
    <cellStyle name="PZ1" xfId="272"/>
    <cellStyle name="Refdb standard" xfId="273"/>
    <cellStyle name="Refdb standard 2" xfId="274"/>
    <cellStyle name="Reference" xfId="275"/>
    <cellStyle name="Resultat" xfId="276"/>
    <cellStyle name="Row heading" xfId="277"/>
    <cellStyle name="Row_Headings" xfId="278"/>
    <cellStyle name="rowfield" xfId="279"/>
    <cellStyle name="Source" xfId="280"/>
    <cellStyle name="Source 2" xfId="281"/>
    <cellStyle name="Source Hed" xfId="282"/>
    <cellStyle name="Source Letter" xfId="283"/>
    <cellStyle name="Source Superscript" xfId="284"/>
    <cellStyle name="Source Superscript 2" xfId="285"/>
    <cellStyle name="Source Text" xfId="286"/>
    <cellStyle name="Source Text 2" xfId="287"/>
    <cellStyle name="Standard 2" xfId="288"/>
    <cellStyle name="Standard 2 2" xfId="289"/>
    <cellStyle name="Standard 3" xfId="290"/>
    <cellStyle name="Standard 5" xfId="291"/>
    <cellStyle name="Standard_02" xfId="292"/>
    <cellStyle name="Standard_E00seit45" xfId="293"/>
    <cellStyle name="State" xfId="294"/>
    <cellStyle name="Superscript" xfId="295"/>
    <cellStyle name="Superscript 2" xfId="296"/>
    <cellStyle name="Table Data" xfId="297"/>
    <cellStyle name="Table Head Top" xfId="298"/>
    <cellStyle name="Table Hed Side" xfId="299"/>
    <cellStyle name="Table Title" xfId="300"/>
    <cellStyle name="tableau | cellule | normal | decimal 1" xfId="301"/>
    <cellStyle name="tableau | cellule | normal | pourcentage | decimal 1" xfId="302"/>
    <cellStyle name="tableau | cellule | total | decimal 1" xfId="303"/>
    <cellStyle name="tableau | coin superieur gauche" xfId="304"/>
    <cellStyle name="tableau | entete-colonne | series" xfId="305"/>
    <cellStyle name="tableau | entete-ligne | normal" xfId="306"/>
    <cellStyle name="tableau | entete-ligne | total" xfId="307"/>
    <cellStyle name="tableau | ligne-titre | niveau1" xfId="308"/>
    <cellStyle name="tableau | ligne-titre | niveau2" xfId="309"/>
    <cellStyle name="Test" xfId="310"/>
    <cellStyle name="Title" xfId="311"/>
    <cellStyle name="Title 2" xfId="312"/>
    <cellStyle name="Title Text" xfId="313"/>
    <cellStyle name="Title Text 1" xfId="314"/>
    <cellStyle name="Title Text 2" xfId="315"/>
    <cellStyle name="Title-1" xfId="316"/>
    <cellStyle name="Title-2" xfId="317"/>
    <cellStyle name="Title-3" xfId="318"/>
    <cellStyle name="Titre colonne" xfId="319"/>
    <cellStyle name="Titre colonnes" xfId="320"/>
    <cellStyle name="Titre colonnes 2" xfId="321"/>
    <cellStyle name="Titre general" xfId="322"/>
    <cellStyle name="Titre général" xfId="323"/>
    <cellStyle name="Titre ligne" xfId="324"/>
    <cellStyle name="Titre ligne 2" xfId="325"/>
    <cellStyle name="Titre lignes" xfId="326"/>
    <cellStyle name="Titre lignes 2" xfId="327"/>
    <cellStyle name="Titre tableau" xfId="328"/>
    <cellStyle name="Total" xfId="329"/>
    <cellStyle name="Total 2" xfId="330"/>
    <cellStyle name="Total 3" xfId="331"/>
    <cellStyle name="Total 4" xfId="332"/>
    <cellStyle name="Total intermediaire" xfId="333"/>
    <cellStyle name="Total intermediaire 0" xfId="334"/>
    <cellStyle name="Total intermediaire 1" xfId="335"/>
    <cellStyle name="Total intermediaire 2" xfId="336"/>
    <cellStyle name="Total intermediaire 3" xfId="337"/>
    <cellStyle name="Total intermediaire 4" xfId="338"/>
    <cellStyle name="Total intermediaire 5" xfId="339"/>
    <cellStyle name="Total tableau" xfId="340"/>
    <cellStyle name="Tusental 2" xfId="341"/>
    <cellStyle name="Virgül [0]_08-01" xfId="342"/>
    <cellStyle name="Virgül_08-01" xfId="343"/>
    <cellStyle name="Warning Text" xfId="344"/>
    <cellStyle name="Warning Text 2" xfId="345"/>
    <cellStyle name="Wrap" xfId="346"/>
    <cellStyle name="Wrap 2" xfId="347"/>
    <cellStyle name="Wrap Bold" xfId="348"/>
    <cellStyle name="Wrap Title" xfId="349"/>
    <cellStyle name="Wrap_NTS99-~11" xfId="3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inyurl.com/zhrtb5x" TargetMode="External" /><Relationship Id="rId2" Type="http://schemas.openxmlformats.org/officeDocument/2006/relationships/hyperlink" Target="http://tinyurl.com/zhrtb5x"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O93"/>
  <sheetViews>
    <sheetView tabSelected="1" zoomScale="55" zoomScaleNormal="55" zoomScalePageLayoutView="0" workbookViewId="0" topLeftCell="A1">
      <pane xSplit="10" ySplit="8" topLeftCell="K9" activePane="bottomRight" state="frozen"/>
      <selection pane="topLeft" activeCell="A1" sqref="A1"/>
      <selection pane="topRight" activeCell="K1" sqref="K1"/>
      <selection pane="bottomLeft" activeCell="A9" sqref="A9"/>
      <selection pane="bottomRight" activeCell="AV83" sqref="AV83"/>
    </sheetView>
  </sheetViews>
  <sheetFormatPr defaultColWidth="9.140625" defaultRowHeight="12.75"/>
  <cols>
    <col min="1" max="1" width="2.28125" style="2" customWidth="1"/>
    <col min="2" max="2" width="1.28515625" style="2" customWidth="1"/>
    <col min="3" max="3" width="20.00390625" style="2" customWidth="1"/>
    <col min="4" max="4" width="0.71875" style="2" customWidth="1"/>
    <col min="5" max="5" width="9.57421875" style="2" customWidth="1"/>
    <col min="6" max="6" width="0.85546875" style="2" customWidth="1"/>
    <col min="7" max="7" width="12.421875" style="2" customWidth="1"/>
    <col min="8" max="8" width="0.5625" style="2" customWidth="1"/>
    <col min="9" max="9" width="9.8515625" style="2" customWidth="1"/>
    <col min="10" max="10" width="2.28125" style="2" customWidth="1"/>
    <col min="11" max="11" width="9.7109375" style="4" customWidth="1"/>
    <col min="12" max="12" width="0.85546875" style="2" customWidth="1"/>
    <col min="13" max="13" width="10.140625" style="2" customWidth="1"/>
    <col min="14" max="14" width="9.140625" style="2" customWidth="1"/>
    <col min="15" max="15" width="8.57421875" style="2" customWidth="1"/>
    <col min="16" max="16" width="9.00390625" style="2" customWidth="1"/>
    <col min="17" max="17" width="8.28125" style="2" customWidth="1"/>
    <col min="18" max="18" width="10.7109375" style="2" customWidth="1"/>
    <col min="19" max="19" width="11.421875" style="2" customWidth="1"/>
    <col min="20" max="21" width="8.28125" style="2" customWidth="1"/>
    <col min="22" max="22" width="9.28125" style="2" customWidth="1"/>
    <col min="23" max="25" width="10.7109375" style="2" customWidth="1"/>
    <col min="26" max="26" width="8.28125" style="2" customWidth="1"/>
    <col min="27" max="27" width="11.8515625" style="2" customWidth="1"/>
    <col min="28" max="28" width="11.140625" style="2" customWidth="1"/>
    <col min="29" max="29" width="10.421875" style="2" customWidth="1"/>
    <col min="30" max="30" width="11.00390625" style="2" customWidth="1"/>
    <col min="31" max="36" width="8.28125" style="2" customWidth="1"/>
    <col min="37" max="37" width="11.00390625" style="2" customWidth="1"/>
    <col min="38" max="38" width="10.00390625" style="2" customWidth="1"/>
    <col min="39" max="39" width="8.28125" style="2" customWidth="1"/>
    <col min="40" max="40" width="12.28125" style="2" customWidth="1"/>
    <col min="41" max="41" width="2.8515625" style="2" customWidth="1"/>
    <col min="42" max="42" width="13.140625" style="2" customWidth="1"/>
    <col min="43" max="43" width="13.28125" style="2" customWidth="1"/>
    <col min="44" max="45" width="2.00390625" style="2" customWidth="1"/>
    <col min="46" max="46" width="9.28125" style="2" customWidth="1"/>
    <col min="47" max="47" width="10.00390625" style="2" customWidth="1"/>
    <col min="48" max="48" width="11.421875" style="2" customWidth="1"/>
    <col min="49" max="49" width="1.28515625" style="2" customWidth="1"/>
    <col min="50" max="50" width="0" style="2" hidden="1" customWidth="1"/>
    <col min="51" max="51" width="3.8515625" style="2" customWidth="1"/>
    <col min="52" max="52" width="32.00390625" style="2" customWidth="1"/>
    <col min="53" max="16384" width="9.140625" style="2" customWidth="1"/>
  </cols>
  <sheetData>
    <row r="1" spans="1:2" ht="18">
      <c r="A1" s="66" t="s">
        <v>126</v>
      </c>
      <c r="B1" s="65"/>
    </row>
    <row r="2" spans="1:50" ht="13.5" customHeight="1">
      <c r="A2" s="3"/>
      <c r="AX2" s="3" t="s">
        <v>56</v>
      </c>
    </row>
    <row r="3" spans="1:50" ht="18" customHeight="1">
      <c r="A3" s="3"/>
      <c r="E3" s="6"/>
      <c r="F3" s="6"/>
      <c r="G3" s="6"/>
      <c r="H3" s="6"/>
      <c r="I3" s="6"/>
      <c r="J3" s="6"/>
      <c r="K3" s="67"/>
      <c r="M3" s="5" t="s">
        <v>95</v>
      </c>
      <c r="N3" s="5"/>
      <c r="O3" s="5"/>
      <c r="P3" s="6"/>
      <c r="Q3" s="6" t="s">
        <v>359</v>
      </c>
      <c r="R3" s="6"/>
      <c r="S3" s="6"/>
      <c r="T3" s="6"/>
      <c r="U3" s="6"/>
      <c r="V3" s="6"/>
      <c r="W3" s="6"/>
      <c r="X3" s="6"/>
      <c r="Y3" s="6"/>
      <c r="Z3" s="6"/>
      <c r="AA3" s="6"/>
      <c r="AB3" s="6"/>
      <c r="AC3" s="6"/>
      <c r="AD3" s="6"/>
      <c r="AE3" s="6"/>
      <c r="AF3" s="6"/>
      <c r="AG3" s="6"/>
      <c r="AH3" s="6"/>
      <c r="AI3" s="6"/>
      <c r="AJ3" s="6"/>
      <c r="AK3" s="6"/>
      <c r="AL3" s="6"/>
      <c r="AM3" s="6"/>
      <c r="AN3" s="6"/>
      <c r="AO3" s="6"/>
      <c r="AP3" s="6"/>
      <c r="AQ3" s="6"/>
      <c r="AT3" s="1226" t="s">
        <v>122</v>
      </c>
      <c r="AU3" s="1227"/>
      <c r="AV3" s="1227"/>
      <c r="AX3" s="3" t="s">
        <v>57</v>
      </c>
    </row>
    <row r="4" spans="9:42" ht="15">
      <c r="I4" s="7"/>
      <c r="M4" s="7"/>
      <c r="O4" s="7"/>
      <c r="Q4" s="7"/>
      <c r="S4" s="7"/>
      <c r="U4" s="7"/>
      <c r="W4" s="7"/>
      <c r="Y4" s="7"/>
      <c r="Z4" s="7"/>
      <c r="AB4" s="7"/>
      <c r="AD4" s="7"/>
      <c r="AF4" s="7"/>
      <c r="AH4" s="7"/>
      <c r="AJ4" s="7"/>
      <c r="AL4" s="7"/>
      <c r="AN4" s="7"/>
      <c r="AP4" s="7"/>
    </row>
    <row r="5" spans="5:50" ht="105.75" customHeight="1">
      <c r="E5" s="8" t="s">
        <v>118</v>
      </c>
      <c r="F5" s="8"/>
      <c r="G5" s="8" t="s">
        <v>119</v>
      </c>
      <c r="I5" s="39" t="s">
        <v>59</v>
      </c>
      <c r="J5" s="9"/>
      <c r="K5" s="10" t="s">
        <v>120</v>
      </c>
      <c r="M5" s="45" t="s">
        <v>10</v>
      </c>
      <c r="N5" s="11" t="s">
        <v>1</v>
      </c>
      <c r="O5" s="45" t="s">
        <v>103</v>
      </c>
      <c r="P5" s="11" t="s">
        <v>70</v>
      </c>
      <c r="Q5" s="45" t="s">
        <v>62</v>
      </c>
      <c r="R5" s="11" t="s">
        <v>3</v>
      </c>
      <c r="S5" s="45" t="s">
        <v>2</v>
      </c>
      <c r="T5" s="11" t="s">
        <v>65</v>
      </c>
      <c r="U5" s="45" t="s">
        <v>121</v>
      </c>
      <c r="V5" s="11" t="s">
        <v>4</v>
      </c>
      <c r="W5" s="45" t="s">
        <v>27</v>
      </c>
      <c r="X5" s="11" t="s">
        <v>5</v>
      </c>
      <c r="Y5" s="45" t="s">
        <v>165</v>
      </c>
      <c r="Z5" s="45" t="s">
        <v>79</v>
      </c>
      <c r="AA5" s="11" t="s">
        <v>6</v>
      </c>
      <c r="AB5" s="45" t="s">
        <v>7</v>
      </c>
      <c r="AC5" s="11" t="s">
        <v>75</v>
      </c>
      <c r="AD5" s="45" t="s">
        <v>8</v>
      </c>
      <c r="AE5" s="11" t="s">
        <v>74</v>
      </c>
      <c r="AF5" s="45" t="s">
        <v>123</v>
      </c>
      <c r="AG5" s="11" t="s">
        <v>9</v>
      </c>
      <c r="AH5" s="45" t="s">
        <v>82</v>
      </c>
      <c r="AI5" s="11" t="s">
        <v>11</v>
      </c>
      <c r="AJ5" s="45" t="s">
        <v>104</v>
      </c>
      <c r="AK5" s="11" t="s">
        <v>12</v>
      </c>
      <c r="AL5" s="45" t="s">
        <v>84</v>
      </c>
      <c r="AM5" s="11" t="s">
        <v>86</v>
      </c>
      <c r="AN5" s="45" t="s">
        <v>13</v>
      </c>
      <c r="AO5" s="11"/>
      <c r="AP5" s="45" t="s">
        <v>270</v>
      </c>
      <c r="AQ5" s="11" t="s">
        <v>115</v>
      </c>
      <c r="AR5" s="9"/>
      <c r="AS5" s="9"/>
      <c r="AT5" s="11" t="s">
        <v>53</v>
      </c>
      <c r="AU5" s="11" t="s">
        <v>54</v>
      </c>
      <c r="AV5" s="11" t="s">
        <v>55</v>
      </c>
      <c r="AX5" s="9" t="s">
        <v>48</v>
      </c>
    </row>
    <row r="6" spans="9:48" ht="6" customHeight="1">
      <c r="I6" s="7"/>
      <c r="K6" s="9"/>
      <c r="M6" s="45"/>
      <c r="N6" s="11"/>
      <c r="O6" s="45"/>
      <c r="P6" s="11"/>
      <c r="Q6" s="45"/>
      <c r="R6" s="11"/>
      <c r="S6" s="45"/>
      <c r="T6" s="11"/>
      <c r="U6" s="45"/>
      <c r="V6" s="11"/>
      <c r="W6" s="45"/>
      <c r="X6" s="11"/>
      <c r="Y6" s="45"/>
      <c r="Z6" s="45"/>
      <c r="AA6" s="11"/>
      <c r="AB6" s="45"/>
      <c r="AC6" s="11"/>
      <c r="AD6" s="45"/>
      <c r="AE6" s="11"/>
      <c r="AF6" s="45"/>
      <c r="AG6" s="11"/>
      <c r="AH6" s="45"/>
      <c r="AI6" s="11"/>
      <c r="AJ6" s="45"/>
      <c r="AK6" s="11"/>
      <c r="AL6" s="45"/>
      <c r="AM6" s="11"/>
      <c r="AN6" s="57"/>
      <c r="AO6" s="10"/>
      <c r="AP6" s="45"/>
      <c r="AQ6" s="11"/>
      <c r="AR6" s="9"/>
      <c r="AS6" s="9"/>
      <c r="AT6" s="9"/>
      <c r="AU6" s="9"/>
      <c r="AV6" s="9"/>
    </row>
    <row r="7" spans="1:48" s="12" customFormat="1" ht="43.5" customHeight="1">
      <c r="A7" s="33"/>
      <c r="B7" s="33"/>
      <c r="C7" s="33"/>
      <c r="D7" s="33"/>
      <c r="E7" s="33"/>
      <c r="F7" s="33"/>
      <c r="G7" s="33"/>
      <c r="H7" s="33"/>
      <c r="I7" s="40"/>
      <c r="J7" s="33"/>
      <c r="K7" s="34" t="s">
        <v>58</v>
      </c>
      <c r="L7" s="34"/>
      <c r="M7" s="46" t="s">
        <v>81</v>
      </c>
      <c r="N7" s="34" t="s">
        <v>60</v>
      </c>
      <c r="O7" s="46" t="s">
        <v>101</v>
      </c>
      <c r="P7" s="34" t="s">
        <v>71</v>
      </c>
      <c r="Q7" s="46" t="s">
        <v>61</v>
      </c>
      <c r="R7" s="34" t="s">
        <v>63</v>
      </c>
      <c r="S7" s="46" t="s">
        <v>14</v>
      </c>
      <c r="T7" s="34" t="s">
        <v>64</v>
      </c>
      <c r="U7" s="46" t="s">
        <v>15</v>
      </c>
      <c r="V7" s="34" t="s">
        <v>66</v>
      </c>
      <c r="W7" s="46" t="s">
        <v>87</v>
      </c>
      <c r="X7" s="34" t="s">
        <v>67</v>
      </c>
      <c r="Y7" s="46" t="s">
        <v>148</v>
      </c>
      <c r="Z7" s="46" t="s">
        <v>77</v>
      </c>
      <c r="AA7" s="34" t="s">
        <v>68</v>
      </c>
      <c r="AB7" s="46" t="s">
        <v>69</v>
      </c>
      <c r="AC7" s="34" t="s">
        <v>73</v>
      </c>
      <c r="AD7" s="46" t="s">
        <v>76</v>
      </c>
      <c r="AE7" s="34" t="s">
        <v>72</v>
      </c>
      <c r="AF7" s="46" t="s">
        <v>78</v>
      </c>
      <c r="AG7" s="34" t="s">
        <v>16</v>
      </c>
      <c r="AH7" s="46" t="s">
        <v>80</v>
      </c>
      <c r="AI7" s="34" t="s">
        <v>92</v>
      </c>
      <c r="AJ7" s="46" t="s">
        <v>102</v>
      </c>
      <c r="AK7" s="34" t="s">
        <v>88</v>
      </c>
      <c r="AL7" s="46" t="s">
        <v>83</v>
      </c>
      <c r="AM7" s="34" t="s">
        <v>85</v>
      </c>
      <c r="AN7" s="46" t="s">
        <v>13</v>
      </c>
      <c r="AO7" s="34"/>
      <c r="AP7" s="46" t="s">
        <v>250</v>
      </c>
      <c r="AQ7" s="34" t="s">
        <v>89</v>
      </c>
      <c r="AR7" s="34"/>
      <c r="AS7" s="34"/>
      <c r="AT7" s="34" t="s">
        <v>58</v>
      </c>
      <c r="AU7" s="34" t="s">
        <v>50</v>
      </c>
      <c r="AV7" s="34" t="s">
        <v>13</v>
      </c>
    </row>
    <row r="8" spans="9:42" s="13" customFormat="1" ht="6" customHeight="1">
      <c r="I8" s="41"/>
      <c r="M8" s="41"/>
      <c r="O8" s="41"/>
      <c r="Q8" s="41"/>
      <c r="S8" s="41"/>
      <c r="U8" s="41"/>
      <c r="W8" s="41"/>
      <c r="Y8" s="41"/>
      <c r="Z8" s="41"/>
      <c r="AB8" s="41"/>
      <c r="AD8" s="41"/>
      <c r="AF8" s="41"/>
      <c r="AH8" s="41"/>
      <c r="AJ8" s="41"/>
      <c r="AL8" s="41"/>
      <c r="AN8" s="41"/>
      <c r="AP8" s="41"/>
    </row>
    <row r="9" spans="1:42" ht="15" customHeight="1">
      <c r="A9" s="32" t="s">
        <v>28</v>
      </c>
      <c r="I9" s="7"/>
      <c r="M9" s="7"/>
      <c r="O9" s="7"/>
      <c r="Q9" s="7"/>
      <c r="S9" s="7"/>
      <c r="U9" s="7"/>
      <c r="W9" s="7"/>
      <c r="Y9" s="7"/>
      <c r="Z9" s="7"/>
      <c r="AB9" s="7"/>
      <c r="AD9" s="7"/>
      <c r="AF9" s="7"/>
      <c r="AH9" s="7"/>
      <c r="AJ9" s="7"/>
      <c r="AL9" s="7"/>
      <c r="AN9" s="7"/>
      <c r="AP9" s="7"/>
    </row>
    <row r="10" spans="2:42" s="14" customFormat="1" ht="15.75">
      <c r="B10" s="1" t="s">
        <v>107</v>
      </c>
      <c r="I10" s="42"/>
      <c r="K10" s="15"/>
      <c r="M10" s="42"/>
      <c r="O10" s="42"/>
      <c r="Q10" s="42"/>
      <c r="S10" s="42"/>
      <c r="U10" s="42"/>
      <c r="W10" s="42"/>
      <c r="Y10" s="42"/>
      <c r="Z10" s="42"/>
      <c r="AB10" s="42"/>
      <c r="AD10" s="42"/>
      <c r="AF10" s="42"/>
      <c r="AH10" s="42"/>
      <c r="AJ10" s="42"/>
      <c r="AL10" s="42"/>
      <c r="AN10" s="42"/>
      <c r="AP10" s="58"/>
    </row>
    <row r="11" spans="3:53" s="14" customFormat="1" ht="15">
      <c r="C11" s="14" t="s">
        <v>0</v>
      </c>
      <c r="E11" s="16">
        <v>2016</v>
      </c>
      <c r="F11" s="16"/>
      <c r="G11" s="16"/>
      <c r="I11" s="43" t="s">
        <v>97</v>
      </c>
      <c r="K11" s="17">
        <v>5.4047</v>
      </c>
      <c r="M11" s="82">
        <v>8.690076</v>
      </c>
      <c r="N11" s="18">
        <v>11.311117</v>
      </c>
      <c r="O11" s="47">
        <v>7.153784</v>
      </c>
      <c r="P11" s="18">
        <v>0.848319</v>
      </c>
      <c r="Q11" s="47">
        <v>10.553843</v>
      </c>
      <c r="R11" s="18">
        <v>82.175684</v>
      </c>
      <c r="S11" s="47">
        <v>5.707251</v>
      </c>
      <c r="T11" s="18">
        <v>1.315944</v>
      </c>
      <c r="U11" s="47">
        <v>10.783748</v>
      </c>
      <c r="V11" s="18">
        <v>46.445828</v>
      </c>
      <c r="W11" s="47">
        <v>5.487308</v>
      </c>
      <c r="X11" s="18">
        <v>66.75995</v>
      </c>
      <c r="Y11" s="47">
        <v>4.190669</v>
      </c>
      <c r="Z11" s="47">
        <v>9.830485</v>
      </c>
      <c r="AA11" s="18">
        <v>4.72472</v>
      </c>
      <c r="AB11" s="47">
        <v>60.665551</v>
      </c>
      <c r="AC11" s="18">
        <v>2.888558</v>
      </c>
      <c r="AD11" s="47">
        <v>0.576249</v>
      </c>
      <c r="AE11" s="18">
        <v>1.968957</v>
      </c>
      <c r="AF11" s="47">
        <v>0.434403</v>
      </c>
      <c r="AG11" s="18">
        <v>16.97912</v>
      </c>
      <c r="AH11" s="47">
        <v>37.967209</v>
      </c>
      <c r="AI11" s="18">
        <v>10.34133</v>
      </c>
      <c r="AJ11" s="47">
        <v>19.760314</v>
      </c>
      <c r="AK11" s="18">
        <v>9.851017</v>
      </c>
      <c r="AL11" s="47">
        <v>2.064188</v>
      </c>
      <c r="AM11" s="18">
        <v>5.426252</v>
      </c>
      <c r="AN11" s="47">
        <v>65.382556</v>
      </c>
      <c r="AO11" s="19"/>
      <c r="AP11" s="52">
        <v>510.28442999999993</v>
      </c>
      <c r="AQ11" s="17">
        <v>405.88150499999995</v>
      </c>
      <c r="AT11" s="17">
        <f>K11</f>
        <v>5.4047</v>
      </c>
      <c r="AU11" s="17">
        <v>63.7859</v>
      </c>
      <c r="AV11" s="17">
        <v>65.6481</v>
      </c>
      <c r="AX11" s="20">
        <v>-103.28693499999997</v>
      </c>
      <c r="BA11" s="14">
        <f>RANK(K11,K11:AN11,1)</f>
        <v>10</v>
      </c>
    </row>
    <row r="12" spans="9:47" s="14" customFormat="1" ht="6" customHeight="1">
      <c r="I12" s="42"/>
      <c r="K12" s="15"/>
      <c r="M12" s="76"/>
      <c r="O12" s="42"/>
      <c r="Q12" s="42"/>
      <c r="S12" s="42"/>
      <c r="U12" s="42"/>
      <c r="W12" s="42"/>
      <c r="Y12" s="42"/>
      <c r="Z12" s="42"/>
      <c r="AB12" s="42"/>
      <c r="AD12" s="42"/>
      <c r="AF12" s="42"/>
      <c r="AH12" s="42"/>
      <c r="AJ12" s="42"/>
      <c r="AL12" s="42"/>
      <c r="AN12" s="42"/>
      <c r="AP12" s="42"/>
      <c r="AT12" s="22"/>
      <c r="AU12" s="15"/>
    </row>
    <row r="13" spans="2:47" s="14" customFormat="1" ht="15.75">
      <c r="B13" s="1" t="s">
        <v>17</v>
      </c>
      <c r="I13" s="42"/>
      <c r="K13" s="15"/>
      <c r="L13" s="21"/>
      <c r="M13" s="76"/>
      <c r="O13" s="42"/>
      <c r="Q13" s="42"/>
      <c r="S13" s="42"/>
      <c r="U13" s="42"/>
      <c r="W13" s="42"/>
      <c r="Y13" s="42"/>
      <c r="Z13" s="42"/>
      <c r="AB13" s="42"/>
      <c r="AD13" s="42"/>
      <c r="AF13" s="42"/>
      <c r="AH13" s="42"/>
      <c r="AJ13" s="42"/>
      <c r="AL13" s="42"/>
      <c r="AN13" s="42"/>
      <c r="AP13" s="42"/>
      <c r="AT13" s="22"/>
      <c r="AU13" s="15"/>
    </row>
    <row r="14" spans="3:50" s="14" customFormat="1" ht="15">
      <c r="C14" s="21" t="s">
        <v>18</v>
      </c>
      <c r="D14" s="21"/>
      <c r="E14" s="21"/>
      <c r="F14" s="21"/>
      <c r="G14" s="21"/>
      <c r="H14" s="21"/>
      <c r="I14" s="43" t="s">
        <v>97</v>
      </c>
      <c r="J14" s="21"/>
      <c r="K14" s="22">
        <v>77.958</v>
      </c>
      <c r="L14" s="21"/>
      <c r="M14" s="83">
        <v>83.879</v>
      </c>
      <c r="N14" s="23">
        <v>30.528</v>
      </c>
      <c r="O14" s="48">
        <v>111.002</v>
      </c>
      <c r="P14" s="23">
        <v>9.25</v>
      </c>
      <c r="Q14" s="48">
        <v>78.868</v>
      </c>
      <c r="R14" s="23">
        <v>357.104</v>
      </c>
      <c r="S14" s="48">
        <v>43.098</v>
      </c>
      <c r="T14" s="23">
        <v>45.227</v>
      </c>
      <c r="U14" s="48">
        <v>131.957</v>
      </c>
      <c r="V14" s="23">
        <v>505.997</v>
      </c>
      <c r="W14" s="48">
        <v>338.419</v>
      </c>
      <c r="X14" s="23">
        <v>633.133</v>
      </c>
      <c r="Y14" s="48">
        <v>56.594</v>
      </c>
      <c r="Z14" s="48">
        <v>93.03</v>
      </c>
      <c r="AA14" s="23">
        <v>70.282</v>
      </c>
      <c r="AB14" s="48">
        <v>301.336</v>
      </c>
      <c r="AC14" s="23">
        <v>65.3</v>
      </c>
      <c r="AD14" s="48">
        <v>2.586</v>
      </c>
      <c r="AE14" s="23">
        <v>64.559</v>
      </c>
      <c r="AF14" s="48">
        <v>0.316</v>
      </c>
      <c r="AG14" s="23">
        <v>41.526</v>
      </c>
      <c r="AH14" s="42">
        <v>312.685</v>
      </c>
      <c r="AI14" s="23">
        <v>92.09</v>
      </c>
      <c r="AJ14" s="48">
        <v>238.391</v>
      </c>
      <c r="AK14" s="23">
        <v>450.295</v>
      </c>
      <c r="AL14" s="48">
        <v>20.273</v>
      </c>
      <c r="AM14" s="23">
        <v>49.035</v>
      </c>
      <c r="AN14" s="48">
        <v>243.82</v>
      </c>
      <c r="AO14" s="20"/>
      <c r="AP14" s="58">
        <v>4470.58</v>
      </c>
      <c r="AQ14" s="22">
        <v>3326.05</v>
      </c>
      <c r="AT14" s="22">
        <v>77.958</v>
      </c>
      <c r="AU14" s="22">
        <v>228.972</v>
      </c>
      <c r="AV14" s="232">
        <v>243.82</v>
      </c>
      <c r="AX14" s="20">
        <v>-1087.9990000000003</v>
      </c>
    </row>
    <row r="15" spans="9:47" s="14" customFormat="1" ht="6" customHeight="1">
      <c r="I15" s="42"/>
      <c r="K15" s="15"/>
      <c r="M15" s="76"/>
      <c r="O15" s="42"/>
      <c r="Q15" s="42"/>
      <c r="S15" s="42"/>
      <c r="U15" s="42"/>
      <c r="W15" s="42"/>
      <c r="Y15" s="42"/>
      <c r="Z15" s="42"/>
      <c r="AB15" s="42"/>
      <c r="AD15" s="42"/>
      <c r="AF15" s="42"/>
      <c r="AH15" s="42"/>
      <c r="AJ15" s="42"/>
      <c r="AL15" s="42"/>
      <c r="AN15" s="42"/>
      <c r="AP15" s="42"/>
      <c r="AU15" s="15"/>
    </row>
    <row r="16" spans="2:47" s="14" customFormat="1" ht="15.75">
      <c r="B16" s="1" t="s">
        <v>108</v>
      </c>
      <c r="I16" s="42"/>
      <c r="K16" s="15"/>
      <c r="M16" s="76"/>
      <c r="O16" s="42"/>
      <c r="Q16" s="42"/>
      <c r="S16" s="42"/>
      <c r="U16" s="42"/>
      <c r="W16" s="42"/>
      <c r="Y16" s="42"/>
      <c r="Z16" s="42"/>
      <c r="AB16" s="42"/>
      <c r="AD16" s="42"/>
      <c r="AF16" s="42"/>
      <c r="AH16" s="42"/>
      <c r="AJ16" s="42"/>
      <c r="AL16" s="42"/>
      <c r="AN16" s="42"/>
      <c r="AP16" s="42"/>
      <c r="AU16" s="15"/>
    </row>
    <row r="17" spans="3:53" s="14" customFormat="1" ht="15">
      <c r="C17" s="14" t="s">
        <v>19</v>
      </c>
      <c r="E17" s="14">
        <v>2016</v>
      </c>
      <c r="I17" s="44" t="s">
        <v>26</v>
      </c>
      <c r="K17" s="36">
        <f aca="true" t="shared" si="0" ref="K17:AN17">1000*K11/K14</f>
        <v>69.32835629441495</v>
      </c>
      <c r="M17" s="74">
        <f t="shared" si="0"/>
        <v>103.60252268148164</v>
      </c>
      <c r="N17" s="24">
        <f t="shared" si="0"/>
        <v>370.5161491090147</v>
      </c>
      <c r="O17" s="49">
        <f t="shared" si="0"/>
        <v>64.44734329111188</v>
      </c>
      <c r="P17" s="24">
        <f t="shared" si="0"/>
        <v>91.71016216216216</v>
      </c>
      <c r="Q17" s="49">
        <f t="shared" si="0"/>
        <v>133.81654156311814</v>
      </c>
      <c r="R17" s="24">
        <f t="shared" si="0"/>
        <v>230.1169519243694</v>
      </c>
      <c r="S17" s="49">
        <f t="shared" si="0"/>
        <v>132.4249617151608</v>
      </c>
      <c r="T17" s="24">
        <f t="shared" si="0"/>
        <v>29.096424702058506</v>
      </c>
      <c r="U17" s="49">
        <f t="shared" si="0"/>
        <v>81.72168206309631</v>
      </c>
      <c r="V17" s="24">
        <f t="shared" si="0"/>
        <v>91.79071812678731</v>
      </c>
      <c r="W17" s="49">
        <f t="shared" si="0"/>
        <v>16.214538781805988</v>
      </c>
      <c r="X17" s="24">
        <f t="shared" si="0"/>
        <v>105.44380090755023</v>
      </c>
      <c r="Y17" s="49">
        <f>1000*Y11/Y14</f>
        <v>74.04793794395165</v>
      </c>
      <c r="Z17" s="49">
        <f t="shared" si="0"/>
        <v>105.67005267118132</v>
      </c>
      <c r="AA17" s="24">
        <f t="shared" si="0"/>
        <v>67.225178566347</v>
      </c>
      <c r="AB17" s="49">
        <f t="shared" si="0"/>
        <v>201.32194958451694</v>
      </c>
      <c r="AC17" s="24">
        <f t="shared" si="0"/>
        <v>44.23519142419602</v>
      </c>
      <c r="AD17" s="51">
        <f t="shared" si="0"/>
        <v>222.8341067285383</v>
      </c>
      <c r="AE17" s="24">
        <f t="shared" si="0"/>
        <v>30.49856720209421</v>
      </c>
      <c r="AF17" s="49">
        <f t="shared" si="0"/>
        <v>1374.6930379746834</v>
      </c>
      <c r="AG17" s="24">
        <f t="shared" si="0"/>
        <v>408.8792563695035</v>
      </c>
      <c r="AH17" s="49">
        <f t="shared" si="0"/>
        <v>121.42318627372593</v>
      </c>
      <c r="AI17" s="24">
        <f t="shared" si="0"/>
        <v>112.29590617873819</v>
      </c>
      <c r="AJ17" s="49">
        <f t="shared" si="0"/>
        <v>82.89035240424346</v>
      </c>
      <c r="AK17" s="24">
        <f t="shared" si="0"/>
        <v>21.876807426242795</v>
      </c>
      <c r="AL17" s="49">
        <f t="shared" si="0"/>
        <v>101.81956296552065</v>
      </c>
      <c r="AM17" s="24">
        <f t="shared" si="0"/>
        <v>110.66079331090037</v>
      </c>
      <c r="AN17" s="49">
        <f t="shared" si="0"/>
        <v>268.159117381675</v>
      </c>
      <c r="AO17" s="24"/>
      <c r="AP17" s="49">
        <f>1000*AP11/AP14</f>
        <v>114.14278013143708</v>
      </c>
      <c r="AQ17" s="24">
        <f>1000*AQ11/AQ14</f>
        <v>122.03108943040542</v>
      </c>
      <c r="AT17" s="24">
        <f>(AT11/AT14)*1000</f>
        <v>69.32835629441495</v>
      </c>
      <c r="AU17" s="36">
        <f>(AU11/AU14)*1000</f>
        <v>278.5751096203902</v>
      </c>
      <c r="AV17" s="36">
        <f>(AV11/AV14)*1000</f>
        <v>269.2482158969732</v>
      </c>
      <c r="BA17" s="14">
        <f>RANK(K17,K17:AN17,1)</f>
        <v>8</v>
      </c>
    </row>
    <row r="18" spans="9:42" s="14" customFormat="1" ht="6" customHeight="1">
      <c r="I18" s="42"/>
      <c r="K18" s="15"/>
      <c r="M18" s="76"/>
      <c r="O18" s="42"/>
      <c r="Q18" s="42"/>
      <c r="S18" s="42"/>
      <c r="U18" s="42"/>
      <c r="W18" s="42"/>
      <c r="Y18" s="42"/>
      <c r="Z18" s="42"/>
      <c r="AB18" s="42"/>
      <c r="AD18" s="42"/>
      <c r="AF18" s="42"/>
      <c r="AH18" s="42"/>
      <c r="AJ18" s="42"/>
      <c r="AL18" s="42"/>
      <c r="AN18" s="42"/>
      <c r="AP18" s="42"/>
    </row>
    <row r="19" spans="1:42" s="14" customFormat="1" ht="15.75">
      <c r="A19" s="1" t="s">
        <v>40</v>
      </c>
      <c r="I19" s="42"/>
      <c r="L19" s="15"/>
      <c r="M19" s="76"/>
      <c r="O19" s="42"/>
      <c r="Q19" s="42"/>
      <c r="S19" s="42"/>
      <c r="U19" s="42"/>
      <c r="W19" s="42"/>
      <c r="Y19" s="42"/>
      <c r="Z19" s="42"/>
      <c r="AB19" s="42"/>
      <c r="AD19" s="42"/>
      <c r="AF19" s="42"/>
      <c r="AH19" s="42"/>
      <c r="AJ19" s="42"/>
      <c r="AL19" s="42"/>
      <c r="AN19" s="42"/>
      <c r="AP19" s="42"/>
    </row>
    <row r="20" spans="1:42" s="14" customFormat="1" ht="6" customHeight="1">
      <c r="A20" s="1"/>
      <c r="I20" s="42"/>
      <c r="K20" s="15"/>
      <c r="M20" s="76"/>
      <c r="O20" s="42"/>
      <c r="Q20" s="42"/>
      <c r="S20" s="42"/>
      <c r="U20" s="42"/>
      <c r="W20" s="42"/>
      <c r="Y20" s="42"/>
      <c r="Z20" s="42"/>
      <c r="AB20" s="42"/>
      <c r="AD20" s="42"/>
      <c r="AF20" s="42"/>
      <c r="AH20" s="42"/>
      <c r="AJ20" s="42"/>
      <c r="AL20" s="42"/>
      <c r="AN20" s="42"/>
      <c r="AP20" s="42"/>
    </row>
    <row r="21" spans="2:52" s="14" customFormat="1" ht="15" customHeight="1">
      <c r="B21" s="1" t="s">
        <v>20</v>
      </c>
      <c r="I21" s="42"/>
      <c r="K21" s="15"/>
      <c r="M21" s="76"/>
      <c r="O21" s="42"/>
      <c r="Q21" s="42"/>
      <c r="S21" s="42"/>
      <c r="U21" s="42"/>
      <c r="W21" s="42"/>
      <c r="Y21" s="42"/>
      <c r="Z21" s="42"/>
      <c r="AB21" s="42"/>
      <c r="AD21" s="42"/>
      <c r="AF21" s="42"/>
      <c r="AH21" s="42"/>
      <c r="AJ21" s="42"/>
      <c r="AL21" s="42"/>
      <c r="AN21" s="42"/>
      <c r="AP21" s="59"/>
      <c r="AZ21" s="1221" t="s">
        <v>233</v>
      </c>
    </row>
    <row r="22" spans="3:52" s="14" customFormat="1" ht="15.75" customHeight="1">
      <c r="C22" s="180" t="s">
        <v>21</v>
      </c>
      <c r="D22" s="180"/>
      <c r="E22" s="180">
        <v>2015</v>
      </c>
      <c r="F22" s="180"/>
      <c r="G22" s="181"/>
      <c r="H22" s="180"/>
      <c r="I22" s="182" t="s">
        <v>128</v>
      </c>
      <c r="J22" s="164"/>
      <c r="K22" s="184">
        <v>455.83</v>
      </c>
      <c r="L22" s="164"/>
      <c r="M22" s="173">
        <v>1719</v>
      </c>
      <c r="N22" s="174">
        <v>1763</v>
      </c>
      <c r="O22" s="175">
        <v>734</v>
      </c>
      <c r="P22" s="174">
        <v>272</v>
      </c>
      <c r="Q22" s="175">
        <v>776</v>
      </c>
      <c r="R22" s="174">
        <v>12993</v>
      </c>
      <c r="S22" s="175">
        <v>1237</v>
      </c>
      <c r="T22" s="174">
        <v>147</v>
      </c>
      <c r="U22" s="175">
        <v>1589.4</v>
      </c>
      <c r="V22" s="174">
        <v>15336</v>
      </c>
      <c r="W22" s="175">
        <v>881</v>
      </c>
      <c r="X22" s="174">
        <v>11599</v>
      </c>
      <c r="Y22" s="175">
        <v>1310</v>
      </c>
      <c r="Z22" s="175">
        <v>1883.9</v>
      </c>
      <c r="AA22" s="174">
        <v>916</v>
      </c>
      <c r="AB22" s="175">
        <v>6943</v>
      </c>
      <c r="AC22" s="174">
        <v>309</v>
      </c>
      <c r="AD22" s="175">
        <v>161</v>
      </c>
      <c r="AE22" s="278" t="s">
        <v>146</v>
      </c>
      <c r="AF22" s="279" t="s">
        <v>146</v>
      </c>
      <c r="AG22" s="174">
        <v>2756</v>
      </c>
      <c r="AH22" s="175">
        <v>1559</v>
      </c>
      <c r="AI22" s="174">
        <v>3065</v>
      </c>
      <c r="AJ22" s="175">
        <v>747</v>
      </c>
      <c r="AK22" s="174">
        <v>2119</v>
      </c>
      <c r="AL22" s="175">
        <v>773</v>
      </c>
      <c r="AM22" s="174">
        <v>463.1</v>
      </c>
      <c r="AN22" s="175">
        <v>3768.9</v>
      </c>
      <c r="AO22" s="176"/>
      <c r="AP22" s="175">
        <v>75820.3</v>
      </c>
      <c r="AQ22" s="174">
        <v>66846.3</v>
      </c>
      <c r="AR22" s="164"/>
      <c r="AS22" s="164"/>
      <c r="AT22" s="237">
        <f>K22</f>
        <v>455.83</v>
      </c>
      <c r="AU22" s="201">
        <v>3654</v>
      </c>
      <c r="AV22" s="236">
        <f>AU22+114.9</f>
        <v>3768.9</v>
      </c>
      <c r="AX22" s="25">
        <v>-4483</v>
      </c>
      <c r="AZ22" s="1222"/>
    </row>
    <row r="23" spans="3:53" s="14" customFormat="1" ht="15.75">
      <c r="C23" s="180" t="s">
        <v>47</v>
      </c>
      <c r="D23" s="180"/>
      <c r="E23" s="180">
        <v>2015</v>
      </c>
      <c r="F23" s="180"/>
      <c r="G23" s="181"/>
      <c r="H23" s="180"/>
      <c r="I23" s="183" t="s">
        <v>26</v>
      </c>
      <c r="J23" s="164"/>
      <c r="K23" s="178">
        <f>K22/K14</f>
        <v>5.847122809718053</v>
      </c>
      <c r="L23" s="166"/>
      <c r="M23" s="177">
        <f>M22/M14</f>
        <v>20.493806554679953</v>
      </c>
      <c r="N23" s="178">
        <f aca="true" t="shared" si="1" ref="N23:AN23">N22/N14</f>
        <v>57.75026205450734</v>
      </c>
      <c r="O23" s="179">
        <f t="shared" si="1"/>
        <v>6.612493468586152</v>
      </c>
      <c r="P23" s="178">
        <f t="shared" si="1"/>
        <v>29.405405405405407</v>
      </c>
      <c r="Q23" s="179">
        <f t="shared" si="1"/>
        <v>9.839225034234417</v>
      </c>
      <c r="R23" s="178">
        <f t="shared" si="1"/>
        <v>36.38435861821766</v>
      </c>
      <c r="S23" s="179">
        <f t="shared" si="1"/>
        <v>28.702027936331152</v>
      </c>
      <c r="T23" s="178">
        <f t="shared" si="1"/>
        <v>3.250270855904659</v>
      </c>
      <c r="U23" s="179">
        <f t="shared" si="1"/>
        <v>12.044832786438008</v>
      </c>
      <c r="V23" s="178">
        <f t="shared" si="1"/>
        <v>30.308480089802902</v>
      </c>
      <c r="W23" s="179">
        <f t="shared" si="1"/>
        <v>2.6032817306356915</v>
      </c>
      <c r="X23" s="178">
        <f t="shared" si="1"/>
        <v>18.320005433297585</v>
      </c>
      <c r="Y23" s="179">
        <f>Y22/Y14</f>
        <v>23.14733010566491</v>
      </c>
      <c r="Z23" s="179">
        <f t="shared" si="1"/>
        <v>20.250456841878965</v>
      </c>
      <c r="AA23" s="178">
        <f t="shared" si="1"/>
        <v>13.033209072024132</v>
      </c>
      <c r="AB23" s="179">
        <f t="shared" si="1"/>
        <v>23.0407253033159</v>
      </c>
      <c r="AC23" s="178">
        <f t="shared" si="1"/>
        <v>4.732006125574273</v>
      </c>
      <c r="AD23" s="179">
        <f t="shared" si="1"/>
        <v>62.25831399845321</v>
      </c>
      <c r="AE23" s="278">
        <v>0</v>
      </c>
      <c r="AF23" s="279">
        <v>0</v>
      </c>
      <c r="AG23" s="178">
        <f t="shared" si="1"/>
        <v>66.36805856571786</v>
      </c>
      <c r="AH23" s="179">
        <f t="shared" si="1"/>
        <v>4.985848377760366</v>
      </c>
      <c r="AI23" s="178">
        <f t="shared" si="1"/>
        <v>33.28265826908459</v>
      </c>
      <c r="AJ23" s="179">
        <f t="shared" si="1"/>
        <v>3.1335075569128032</v>
      </c>
      <c r="AK23" s="178">
        <f t="shared" si="1"/>
        <v>4.705803972951065</v>
      </c>
      <c r="AL23" s="179">
        <f t="shared" si="1"/>
        <v>38.12953188970552</v>
      </c>
      <c r="AM23" s="178">
        <f t="shared" si="1"/>
        <v>9.44427449780769</v>
      </c>
      <c r="AN23" s="179">
        <f t="shared" si="1"/>
        <v>15.45771470757116</v>
      </c>
      <c r="AO23" s="178"/>
      <c r="AP23" s="179">
        <f>AP22/AP14</f>
        <v>16.959835189170086</v>
      </c>
      <c r="AQ23" s="178">
        <f>AQ22/AQ14</f>
        <v>20.097803701086875</v>
      </c>
      <c r="AR23" s="166"/>
      <c r="AS23" s="166"/>
      <c r="AT23" s="190">
        <f>K23</f>
        <v>5.847122809718053</v>
      </c>
      <c r="AU23" s="22">
        <f>AU22/AU14</f>
        <v>15.958283108851736</v>
      </c>
      <c r="AV23" s="22">
        <f>AV22/AV14</f>
        <v>15.45771470757116</v>
      </c>
      <c r="AZ23" s="1222"/>
      <c r="BA23" s="14">
        <f>RANK(K23,K23:AN23,1)</f>
        <v>9</v>
      </c>
    </row>
    <row r="24" spans="9:52" s="14" customFormat="1" ht="6" customHeight="1">
      <c r="I24" s="42"/>
      <c r="K24" s="15"/>
      <c r="M24" s="76"/>
      <c r="O24" s="42"/>
      <c r="Q24" s="42"/>
      <c r="S24" s="42"/>
      <c r="U24" s="42"/>
      <c r="W24" s="42"/>
      <c r="Y24" s="42"/>
      <c r="Z24" s="42"/>
      <c r="AB24" s="42"/>
      <c r="AD24" s="42"/>
      <c r="AF24" s="42"/>
      <c r="AH24" s="42"/>
      <c r="AJ24" s="42"/>
      <c r="AL24" s="42"/>
      <c r="AN24" s="42"/>
      <c r="AP24" s="42"/>
      <c r="AZ24" s="1222"/>
    </row>
    <row r="25" spans="2:52" s="14" customFormat="1" ht="15.75">
      <c r="B25" s="1" t="s">
        <v>109</v>
      </c>
      <c r="I25" s="42"/>
      <c r="K25" s="15"/>
      <c r="M25" s="76"/>
      <c r="O25" s="42"/>
      <c r="Q25" s="42"/>
      <c r="S25" s="42"/>
      <c r="U25" s="42"/>
      <c r="W25" s="42"/>
      <c r="Y25" s="42"/>
      <c r="Z25" s="42"/>
      <c r="AB25" s="42"/>
      <c r="AD25" s="42"/>
      <c r="AF25" s="42"/>
      <c r="AH25" s="42"/>
      <c r="AJ25" s="42"/>
      <c r="AL25" s="42"/>
      <c r="AN25" s="42"/>
      <c r="AP25" s="42"/>
      <c r="AZ25" s="1222"/>
    </row>
    <row r="26" spans="1:67" s="192" customFormat="1" ht="27" customHeight="1">
      <c r="A26" s="180"/>
      <c r="B26" s="180"/>
      <c r="C26" s="188" t="s">
        <v>51</v>
      </c>
      <c r="D26" s="180"/>
      <c r="E26" s="180">
        <v>2015</v>
      </c>
      <c r="F26" s="180"/>
      <c r="G26" s="1229" t="s">
        <v>228</v>
      </c>
      <c r="H26" s="180"/>
      <c r="I26" s="182" t="s">
        <v>129</v>
      </c>
      <c r="J26" s="180"/>
      <c r="K26" s="189">
        <v>28.7295</v>
      </c>
      <c r="L26" s="180"/>
      <c r="M26" s="177">
        <v>35.744447</v>
      </c>
      <c r="N26" s="178">
        <v>16.341</v>
      </c>
      <c r="O26" s="179">
        <v>7.713</v>
      </c>
      <c r="P26" s="178">
        <v>4.804</v>
      </c>
      <c r="Q26" s="179">
        <v>55.737500000000004</v>
      </c>
      <c r="R26" s="178">
        <v>230.082</v>
      </c>
      <c r="S26" s="179">
        <v>74.496</v>
      </c>
      <c r="T26" s="178">
        <v>16.595</v>
      </c>
      <c r="U26" s="179">
        <v>41.7524</v>
      </c>
      <c r="V26" s="178">
        <v>166.003</v>
      </c>
      <c r="W26" s="179">
        <v>26.935</v>
      </c>
      <c r="X26" s="178">
        <v>400.957</v>
      </c>
      <c r="Y26" s="179">
        <v>17.708</v>
      </c>
      <c r="Z26" s="179">
        <v>31.9247</v>
      </c>
      <c r="AA26" s="178">
        <v>18.426</v>
      </c>
      <c r="AB26" s="179">
        <v>184.297</v>
      </c>
      <c r="AC26" s="178">
        <v>21.25</v>
      </c>
      <c r="AD26" s="179">
        <v>2.889</v>
      </c>
      <c r="AE26" s="178">
        <v>7.148</v>
      </c>
      <c r="AF26" s="179">
        <v>2.854</v>
      </c>
      <c r="AG26" s="178">
        <v>13.099</v>
      </c>
      <c r="AH26" s="179">
        <v>173.494</v>
      </c>
      <c r="AI26" s="178">
        <v>14.31</v>
      </c>
      <c r="AJ26" s="179">
        <v>52.922</v>
      </c>
      <c r="AK26" s="178">
        <v>172.92</v>
      </c>
      <c r="AL26" s="179">
        <v>6.715</v>
      </c>
      <c r="AM26" s="178">
        <v>18.005</v>
      </c>
      <c r="AN26" s="179">
        <v>86.0215</v>
      </c>
      <c r="AO26" s="190"/>
      <c r="AP26" s="191">
        <v>1901.143547</v>
      </c>
      <c r="AQ26" s="184">
        <v>1274.623847</v>
      </c>
      <c r="AR26" s="180"/>
      <c r="AS26" s="180"/>
      <c r="AT26" s="189">
        <f>K26</f>
        <v>28.7295</v>
      </c>
      <c r="AU26" s="190">
        <v>165.077</v>
      </c>
      <c r="AV26" s="190">
        <f>AU26+10.0305</f>
        <v>175.1075</v>
      </c>
      <c r="AW26" s="180"/>
      <c r="AX26" s="190">
        <v>-980.7930000000001</v>
      </c>
      <c r="AY26" s="180"/>
      <c r="AZ26" s="1222"/>
      <c r="BA26" s="180"/>
      <c r="BB26" s="180"/>
      <c r="BC26" s="180"/>
      <c r="BD26" s="180"/>
      <c r="BE26" s="180"/>
      <c r="BF26" s="180"/>
      <c r="BG26" s="180"/>
      <c r="BH26" s="180"/>
      <c r="BI26" s="180"/>
      <c r="BJ26" s="180"/>
      <c r="BK26" s="180"/>
      <c r="BL26" s="180"/>
      <c r="BM26" s="180"/>
      <c r="BN26" s="180"/>
      <c r="BO26" s="180"/>
    </row>
    <row r="27" spans="3:53" s="180" customFormat="1" ht="15">
      <c r="C27" s="180" t="s">
        <v>47</v>
      </c>
      <c r="E27" s="180">
        <v>2015</v>
      </c>
      <c r="G27" s="1229"/>
      <c r="I27" s="183" t="s">
        <v>26</v>
      </c>
      <c r="K27" s="176">
        <f>1000*K26/K14</f>
        <v>368.525359809128</v>
      </c>
      <c r="L27" s="176"/>
      <c r="M27" s="193">
        <f>1000*M26/M14</f>
        <v>426.142979768476</v>
      </c>
      <c r="N27" s="176">
        <f aca="true" t="shared" si="2" ref="N27:AN27">1000*N26/N14</f>
        <v>535.2790880503145</v>
      </c>
      <c r="O27" s="194">
        <f t="shared" si="2"/>
        <v>69.48523450027928</v>
      </c>
      <c r="P27" s="176">
        <f t="shared" si="2"/>
        <v>519.3513513513514</v>
      </c>
      <c r="Q27" s="194">
        <f t="shared" si="2"/>
        <v>706.7188213217022</v>
      </c>
      <c r="R27" s="176">
        <f t="shared" si="2"/>
        <v>644.299699807339</v>
      </c>
      <c r="S27" s="194">
        <f t="shared" si="2"/>
        <v>1728.5256856466658</v>
      </c>
      <c r="T27" s="176">
        <f t="shared" si="2"/>
        <v>366.92683573971306</v>
      </c>
      <c r="U27" s="194">
        <f t="shared" si="2"/>
        <v>316.4091332782649</v>
      </c>
      <c r="V27" s="176">
        <f t="shared" si="2"/>
        <v>328.07111504613664</v>
      </c>
      <c r="W27" s="194">
        <f t="shared" si="2"/>
        <v>79.59068492017292</v>
      </c>
      <c r="X27" s="176">
        <f t="shared" si="2"/>
        <v>633.2903197274505</v>
      </c>
      <c r="Y27" s="194">
        <f t="shared" si="2"/>
        <v>312.89535993214827</v>
      </c>
      <c r="Z27" s="194">
        <f t="shared" si="2"/>
        <v>343.16564549070193</v>
      </c>
      <c r="AA27" s="176">
        <f t="shared" si="2"/>
        <v>262.17239122392647</v>
      </c>
      <c r="AB27" s="194">
        <f t="shared" si="2"/>
        <v>611.599676109061</v>
      </c>
      <c r="AC27" s="176">
        <f t="shared" si="2"/>
        <v>325.42113323124045</v>
      </c>
      <c r="AD27" s="194">
        <f t="shared" si="2"/>
        <v>1117.169373549884</v>
      </c>
      <c r="AE27" s="176">
        <f t="shared" si="2"/>
        <v>110.7204262767391</v>
      </c>
      <c r="AF27" s="194">
        <f t="shared" si="2"/>
        <v>9031.645569620254</v>
      </c>
      <c r="AG27" s="176">
        <f t="shared" si="2"/>
        <v>315.44092857486874</v>
      </c>
      <c r="AH27" s="194">
        <f t="shared" si="2"/>
        <v>554.8523274221661</v>
      </c>
      <c r="AI27" s="176">
        <f t="shared" si="2"/>
        <v>155.39146487132152</v>
      </c>
      <c r="AJ27" s="194">
        <f t="shared" si="2"/>
        <v>221.9966357790353</v>
      </c>
      <c r="AK27" s="176">
        <f t="shared" si="2"/>
        <v>384.01492355011715</v>
      </c>
      <c r="AL27" s="194">
        <f t="shared" si="2"/>
        <v>331.22872786464757</v>
      </c>
      <c r="AM27" s="176">
        <f t="shared" si="2"/>
        <v>367.1867033751402</v>
      </c>
      <c r="AN27" s="194">
        <f t="shared" si="2"/>
        <v>352.8073989008285</v>
      </c>
      <c r="AO27" s="176"/>
      <c r="AP27" s="194">
        <f>1000*AP26/AP14</f>
        <v>425.25657677527295</v>
      </c>
      <c r="AQ27" s="176">
        <f>1000*AQ26/AQ14</f>
        <v>383.22449963169527</v>
      </c>
      <c r="AR27" s="176"/>
      <c r="AS27" s="176"/>
      <c r="AT27" s="176">
        <f>K27</f>
        <v>368.525359809128</v>
      </c>
      <c r="AU27" s="176">
        <f>1000*AU26/AU14</f>
        <v>720.9484129063816</v>
      </c>
      <c r="AV27" s="176">
        <f>1000*AV26/AV14</f>
        <v>718.1834960216553</v>
      </c>
      <c r="AZ27" s="1222"/>
      <c r="BA27" s="180">
        <f>RANK(K27,K27:AN27,1)</f>
        <v>17</v>
      </c>
    </row>
    <row r="28" spans="9:47" s="14" customFormat="1" ht="6" customHeight="1">
      <c r="I28" s="42"/>
      <c r="K28" s="15"/>
      <c r="M28" s="76"/>
      <c r="O28" s="42"/>
      <c r="Q28" s="42"/>
      <c r="S28" s="42"/>
      <c r="U28" s="42"/>
      <c r="W28" s="42"/>
      <c r="Y28" s="42"/>
      <c r="Z28" s="42"/>
      <c r="AB28" s="42"/>
      <c r="AD28" s="42"/>
      <c r="AF28" s="42"/>
      <c r="AH28" s="42"/>
      <c r="AJ28" s="42"/>
      <c r="AL28" s="42"/>
      <c r="AN28" s="42"/>
      <c r="AP28" s="42"/>
      <c r="AU28" s="15"/>
    </row>
    <row r="29" spans="2:52" s="14" customFormat="1" ht="15.75">
      <c r="B29" s="1" t="s">
        <v>22</v>
      </c>
      <c r="I29" s="42"/>
      <c r="K29" s="15"/>
      <c r="M29" s="76"/>
      <c r="O29" s="42"/>
      <c r="Q29" s="42"/>
      <c r="S29" s="42"/>
      <c r="U29" s="42"/>
      <c r="W29" s="42"/>
      <c r="Y29" s="42"/>
      <c r="Z29" s="42"/>
      <c r="AB29" s="42"/>
      <c r="AD29" s="42"/>
      <c r="AF29" s="42"/>
      <c r="AH29" s="42"/>
      <c r="AJ29" s="42"/>
      <c r="AL29" s="42"/>
      <c r="AN29" s="42"/>
      <c r="AP29" s="42"/>
      <c r="AU29" s="15"/>
      <c r="AZ29" s="1225" t="s">
        <v>323</v>
      </c>
    </row>
    <row r="30" spans="3:52" s="14" customFormat="1" ht="15">
      <c r="C30" s="14" t="s">
        <v>21</v>
      </c>
      <c r="E30" s="180">
        <v>2015</v>
      </c>
      <c r="I30" s="42" t="s">
        <v>130</v>
      </c>
      <c r="J30" s="164"/>
      <c r="K30" s="201">
        <v>2819</v>
      </c>
      <c r="L30" s="164"/>
      <c r="M30" s="84">
        <v>4937</v>
      </c>
      <c r="N30" s="25">
        <v>3607</v>
      </c>
      <c r="O30" s="51">
        <v>4019</v>
      </c>
      <c r="P30" s="36" t="s">
        <v>146</v>
      </c>
      <c r="Q30" s="51">
        <v>9466</v>
      </c>
      <c r="R30" s="25">
        <v>38828</v>
      </c>
      <c r="S30" s="51">
        <v>2552</v>
      </c>
      <c r="T30" s="25">
        <v>1510</v>
      </c>
      <c r="U30" s="51">
        <v>2239</v>
      </c>
      <c r="V30" s="25">
        <v>16056</v>
      </c>
      <c r="W30" s="51">
        <v>5923</v>
      </c>
      <c r="X30" s="25">
        <v>28765</v>
      </c>
      <c r="Y30" s="51">
        <v>2604</v>
      </c>
      <c r="Z30" s="51">
        <v>7894</v>
      </c>
      <c r="AA30" s="25">
        <v>1894</v>
      </c>
      <c r="AB30" s="51">
        <v>17041</v>
      </c>
      <c r="AC30" s="25">
        <v>1877</v>
      </c>
      <c r="AD30" s="51">
        <v>275</v>
      </c>
      <c r="AE30" s="25">
        <v>1859</v>
      </c>
      <c r="AF30" s="81" t="s">
        <v>146</v>
      </c>
      <c r="AG30" s="25">
        <v>3058</v>
      </c>
      <c r="AH30" s="51">
        <v>18510</v>
      </c>
      <c r="AI30" s="25">
        <v>2545</v>
      </c>
      <c r="AJ30" s="51">
        <v>10770</v>
      </c>
      <c r="AK30" s="25">
        <v>10908</v>
      </c>
      <c r="AL30" s="51">
        <v>1209</v>
      </c>
      <c r="AM30" s="25">
        <v>3626</v>
      </c>
      <c r="AN30" s="51">
        <v>16209</v>
      </c>
      <c r="AO30" s="25"/>
      <c r="AP30" s="51">
        <v>218181</v>
      </c>
      <c r="AQ30" s="25">
        <v>154837</v>
      </c>
      <c r="AR30" s="168"/>
      <c r="AS30" s="168"/>
      <c r="AT30" s="25">
        <f>K30</f>
        <v>2819</v>
      </c>
      <c r="AU30" s="25">
        <v>15799</v>
      </c>
      <c r="AV30" s="201">
        <f>AU30+(211*1.61)</f>
        <v>16138.71</v>
      </c>
      <c r="AX30" s="25">
        <v>-61723</v>
      </c>
      <c r="AZ30" s="1225"/>
    </row>
    <row r="31" spans="3:53" s="14" customFormat="1" ht="15">
      <c r="C31" s="14" t="s">
        <v>47</v>
      </c>
      <c r="E31" s="180">
        <v>2015</v>
      </c>
      <c r="I31" s="44" t="s">
        <v>26</v>
      </c>
      <c r="K31" s="22">
        <f>K30/K14</f>
        <v>36.16049667769825</v>
      </c>
      <c r="L31" s="22"/>
      <c r="M31" s="75">
        <f>M30/M14</f>
        <v>58.85859392696622</v>
      </c>
      <c r="N31" s="22">
        <f aca="true" t="shared" si="3" ref="N31:AN31">N30/N14</f>
        <v>118.15382599580714</v>
      </c>
      <c r="O31" s="50">
        <f t="shared" si="3"/>
        <v>36.20655483684979</v>
      </c>
      <c r="P31" s="36" t="s">
        <v>146</v>
      </c>
      <c r="Q31" s="50">
        <f t="shared" si="3"/>
        <v>120.0233301212152</v>
      </c>
      <c r="R31" s="22">
        <f t="shared" si="3"/>
        <v>108.73022984900757</v>
      </c>
      <c r="S31" s="50">
        <f t="shared" si="3"/>
        <v>59.21388463501787</v>
      </c>
      <c r="T31" s="22">
        <f t="shared" si="3"/>
        <v>33.38713600283017</v>
      </c>
      <c r="U31" s="50">
        <f t="shared" si="3"/>
        <v>16.967648552179877</v>
      </c>
      <c r="V31" s="22">
        <f t="shared" si="3"/>
        <v>31.731413427352336</v>
      </c>
      <c r="W31" s="50">
        <f t="shared" si="3"/>
        <v>17.501972406986607</v>
      </c>
      <c r="X31" s="22">
        <f t="shared" si="3"/>
        <v>45.43279216215234</v>
      </c>
      <c r="Y31" s="50">
        <f t="shared" si="3"/>
        <v>46.01194472912323</v>
      </c>
      <c r="Z31" s="50">
        <f t="shared" si="3"/>
        <v>84.85434805976567</v>
      </c>
      <c r="AA31" s="22">
        <f t="shared" si="3"/>
        <v>26.948578583421078</v>
      </c>
      <c r="AB31" s="50">
        <f t="shared" si="3"/>
        <v>56.55149069477261</v>
      </c>
      <c r="AC31" s="22">
        <f t="shared" si="3"/>
        <v>28.744257274119448</v>
      </c>
      <c r="AD31" s="50">
        <f t="shared" si="3"/>
        <v>106.34184068058778</v>
      </c>
      <c r="AE31" s="22">
        <f t="shared" si="3"/>
        <v>28.795365479638782</v>
      </c>
      <c r="AF31" s="81" t="s">
        <v>146</v>
      </c>
      <c r="AG31" s="22">
        <f t="shared" si="3"/>
        <v>73.64061070172903</v>
      </c>
      <c r="AH31" s="50">
        <f t="shared" si="3"/>
        <v>59.19695540240178</v>
      </c>
      <c r="AI31" s="22">
        <f t="shared" si="3"/>
        <v>27.636008252796177</v>
      </c>
      <c r="AJ31" s="50">
        <f t="shared" si="3"/>
        <v>45.17788003741752</v>
      </c>
      <c r="AK31" s="22">
        <f t="shared" si="3"/>
        <v>24.22411974372356</v>
      </c>
      <c r="AL31" s="50">
        <f t="shared" si="3"/>
        <v>59.63596902283826</v>
      </c>
      <c r="AM31" s="22">
        <f t="shared" si="3"/>
        <v>73.94718058529622</v>
      </c>
      <c r="AN31" s="50">
        <f t="shared" si="3"/>
        <v>66.47937002706915</v>
      </c>
      <c r="AO31" s="22"/>
      <c r="AP31" s="50">
        <f>AP30/AP14</f>
        <v>48.80373463845854</v>
      </c>
      <c r="AQ31" s="22">
        <f>AQ30/AQ14</f>
        <v>46.55281790712707</v>
      </c>
      <c r="AR31" s="22"/>
      <c r="AS31" s="22"/>
      <c r="AT31" s="22">
        <f>AT30/AT14</f>
        <v>36.16049667769825</v>
      </c>
      <c r="AU31" s="22">
        <f>AU30/AU14</f>
        <v>68.99970302045665</v>
      </c>
      <c r="AV31" s="22">
        <f>AV30/AV14</f>
        <v>66.19108358625215</v>
      </c>
      <c r="AZ31" s="1225"/>
      <c r="BA31" s="14">
        <f>RANK(K31,K31:AN31,1)</f>
        <v>10</v>
      </c>
    </row>
    <row r="32" spans="9:47" s="14" customFormat="1" ht="6" customHeight="1">
      <c r="I32" s="42"/>
      <c r="K32" s="15"/>
      <c r="M32" s="76"/>
      <c r="O32" s="42"/>
      <c r="Q32" s="42"/>
      <c r="S32" s="42"/>
      <c r="U32" s="42"/>
      <c r="W32" s="42"/>
      <c r="Y32" s="42"/>
      <c r="Z32" s="42"/>
      <c r="AB32" s="42"/>
      <c r="AD32" s="42"/>
      <c r="AF32" s="42"/>
      <c r="AH32" s="42"/>
      <c r="AJ32" s="42"/>
      <c r="AL32" s="42"/>
      <c r="AN32" s="42"/>
      <c r="AP32" s="42"/>
      <c r="AU32" s="15"/>
    </row>
    <row r="33" spans="2:52" s="14" customFormat="1" ht="15.75">
      <c r="B33" s="1" t="s">
        <v>23</v>
      </c>
      <c r="I33" s="42"/>
      <c r="K33" s="15"/>
      <c r="M33" s="76"/>
      <c r="O33" s="42"/>
      <c r="Q33" s="42"/>
      <c r="S33" s="42"/>
      <c r="U33" s="42"/>
      <c r="W33" s="42"/>
      <c r="Y33" s="42"/>
      <c r="Z33" s="42"/>
      <c r="AB33" s="42"/>
      <c r="AD33" s="42"/>
      <c r="AF33" s="42"/>
      <c r="AH33" s="42"/>
      <c r="AJ33" s="42"/>
      <c r="AL33" s="42"/>
      <c r="AN33" s="42"/>
      <c r="AP33" s="42"/>
      <c r="AU33" s="15"/>
      <c r="AZ33" s="1221" t="s">
        <v>324</v>
      </c>
    </row>
    <row r="34" spans="3:52" s="14" customFormat="1" ht="15">
      <c r="C34" s="14" t="s">
        <v>0</v>
      </c>
      <c r="E34" s="14">
        <v>2015</v>
      </c>
      <c r="G34" s="21"/>
      <c r="I34" s="42" t="s">
        <v>131</v>
      </c>
      <c r="K34" s="19">
        <v>2.394</v>
      </c>
      <c r="M34" s="73">
        <v>4.748048</v>
      </c>
      <c r="N34" s="17">
        <v>5.661742</v>
      </c>
      <c r="O34" s="52">
        <v>3.162</v>
      </c>
      <c r="P34" s="17">
        <v>0.487692</v>
      </c>
      <c r="Q34" s="52">
        <v>5.115316</v>
      </c>
      <c r="R34" s="17">
        <v>45.071209</v>
      </c>
      <c r="S34" s="52">
        <v>2.3908229999999997</v>
      </c>
      <c r="T34" s="17">
        <v>0.6766</v>
      </c>
      <c r="U34" s="52">
        <v>5.160056</v>
      </c>
      <c r="V34" s="17">
        <v>22.355549</v>
      </c>
      <c r="W34" s="52">
        <v>3.257581</v>
      </c>
      <c r="X34" s="17">
        <v>32</v>
      </c>
      <c r="Y34" s="52">
        <v>1.4998019999999999</v>
      </c>
      <c r="Z34" s="52">
        <v>3.1968560000000004</v>
      </c>
      <c r="AA34" s="17">
        <v>2.0071070000000004</v>
      </c>
      <c r="AB34" s="52">
        <v>37.351233</v>
      </c>
      <c r="AC34" s="17">
        <v>1.2440630000000001</v>
      </c>
      <c r="AD34" s="52">
        <v>0.381103</v>
      </c>
      <c r="AE34" s="17">
        <v>0.679048</v>
      </c>
      <c r="AF34" s="52">
        <v>0.27538</v>
      </c>
      <c r="AG34" s="17">
        <v>8.100864</v>
      </c>
      <c r="AH34" s="52">
        <v>20.723</v>
      </c>
      <c r="AI34" s="17">
        <v>4.538</v>
      </c>
      <c r="AJ34" s="52">
        <v>5.1550590000000005</v>
      </c>
      <c r="AK34" s="17">
        <v>4.669063</v>
      </c>
      <c r="AL34" s="52">
        <v>1.07874</v>
      </c>
      <c r="AM34" s="17">
        <v>2.034574</v>
      </c>
      <c r="AN34" s="52">
        <v>31.214048</v>
      </c>
      <c r="AO34" s="17"/>
      <c r="AP34" s="52">
        <v>254.23455600000005</v>
      </c>
      <c r="AQ34" s="17">
        <v>208.90642600000004</v>
      </c>
      <c r="AR34" s="164"/>
      <c r="AS34" s="164"/>
      <c r="AT34" s="312">
        <f>K34</f>
        <v>2.394</v>
      </c>
      <c r="AU34" s="235">
        <v>30.2503</v>
      </c>
      <c r="AV34" s="116">
        <v>30.2503</v>
      </c>
      <c r="AX34" s="20">
        <v>-36.08399999999992</v>
      </c>
      <c r="AZ34" s="1230"/>
    </row>
    <row r="35" spans="3:53" s="14" customFormat="1" ht="15">
      <c r="C35" s="14" t="s">
        <v>39</v>
      </c>
      <c r="E35" s="14">
        <v>2015</v>
      </c>
      <c r="G35" s="21"/>
      <c r="I35" s="44" t="s">
        <v>26</v>
      </c>
      <c r="K35" s="26">
        <f>K34/5.314*1000</f>
        <v>450.50809183289425</v>
      </c>
      <c r="M35" s="85">
        <f>M34/M11*1000</f>
        <v>546.3758890025819</v>
      </c>
      <c r="N35" s="27">
        <f aca="true" t="shared" si="4" ref="N35:AQ35">N34/N11*1000</f>
        <v>500.5466745680378</v>
      </c>
      <c r="O35" s="53">
        <f t="shared" si="4"/>
        <v>442.0038402054074</v>
      </c>
      <c r="P35" s="27">
        <f t="shared" si="4"/>
        <v>574.892228041574</v>
      </c>
      <c r="Q35" s="53">
        <f>Q34/Q11*1000</f>
        <v>484.68752093431743</v>
      </c>
      <c r="R35" s="27">
        <f t="shared" si="4"/>
        <v>548.4737918336037</v>
      </c>
      <c r="S35" s="53">
        <f t="shared" si="4"/>
        <v>418.90973430115474</v>
      </c>
      <c r="T35" s="27">
        <f t="shared" si="4"/>
        <v>514.1556175642731</v>
      </c>
      <c r="U35" s="53">
        <f t="shared" si="4"/>
        <v>478.5030213984971</v>
      </c>
      <c r="V35" s="27">
        <f t="shared" si="4"/>
        <v>481.32523334496267</v>
      </c>
      <c r="W35" s="53">
        <f t="shared" si="4"/>
        <v>593.657399949119</v>
      </c>
      <c r="X35" s="27">
        <f t="shared" si="4"/>
        <v>479.3292984791031</v>
      </c>
      <c r="Y35" s="53">
        <f t="shared" si="4"/>
        <v>357.8908284094974</v>
      </c>
      <c r="Z35" s="53">
        <f t="shared" si="4"/>
        <v>325.1981972405228</v>
      </c>
      <c r="AA35" s="27">
        <f t="shared" si="4"/>
        <v>424.8097241741311</v>
      </c>
      <c r="AB35" s="53">
        <f t="shared" si="4"/>
        <v>615.6909874600825</v>
      </c>
      <c r="AC35" s="27">
        <f t="shared" si="4"/>
        <v>430.6865224793825</v>
      </c>
      <c r="AD35" s="53">
        <f t="shared" si="4"/>
        <v>661.3512561410085</v>
      </c>
      <c r="AE35" s="27">
        <f t="shared" si="4"/>
        <v>344.87700848723455</v>
      </c>
      <c r="AF35" s="53">
        <f t="shared" si="4"/>
        <v>633.9274820846082</v>
      </c>
      <c r="AG35" s="27">
        <f t="shared" si="4"/>
        <v>477.1074119271198</v>
      </c>
      <c r="AH35" s="53">
        <f t="shared" si="4"/>
        <v>545.8130988769809</v>
      </c>
      <c r="AI35" s="27">
        <f t="shared" si="4"/>
        <v>438.82169894974834</v>
      </c>
      <c r="AJ35" s="53">
        <f t="shared" si="4"/>
        <v>260.8794070782479</v>
      </c>
      <c r="AK35" s="27">
        <f t="shared" si="4"/>
        <v>473.9676116689272</v>
      </c>
      <c r="AL35" s="53">
        <f t="shared" si="4"/>
        <v>522.5977478795536</v>
      </c>
      <c r="AM35" s="27">
        <f t="shared" si="4"/>
        <v>374.9501497534579</v>
      </c>
      <c r="AN35" s="53">
        <f t="shared" si="4"/>
        <v>477.4063589682851</v>
      </c>
      <c r="AP35" s="49">
        <f t="shared" si="4"/>
        <v>498.22126847962045</v>
      </c>
      <c r="AQ35" s="24">
        <f t="shared" si="4"/>
        <v>514.6980668655992</v>
      </c>
      <c r="AT35" s="24">
        <f>K35</f>
        <v>450.50809183289425</v>
      </c>
      <c r="AU35" s="24">
        <f>AU34/AU11*1000</f>
        <v>474.24744340050074</v>
      </c>
      <c r="AV35" s="24">
        <f>AV34/AV11*1000</f>
        <v>460.7947526280273</v>
      </c>
      <c r="AZ35" s="1230"/>
      <c r="BA35" s="14">
        <f>RANK(K35,K35:AN35,1)</f>
        <v>11</v>
      </c>
    </row>
    <row r="36" spans="9:47" s="14" customFormat="1" ht="6" customHeight="1">
      <c r="I36" s="42"/>
      <c r="K36" s="15"/>
      <c r="M36" s="76"/>
      <c r="O36" s="42"/>
      <c r="Q36" s="42"/>
      <c r="S36" s="42"/>
      <c r="U36" s="42"/>
      <c r="W36" s="42"/>
      <c r="Y36" s="42"/>
      <c r="Z36" s="42"/>
      <c r="AB36" s="42"/>
      <c r="AD36" s="42"/>
      <c r="AF36" s="42"/>
      <c r="AH36" s="42"/>
      <c r="AJ36" s="42"/>
      <c r="AL36" s="42"/>
      <c r="AN36" s="42"/>
      <c r="AP36" s="42"/>
      <c r="AU36" s="15"/>
    </row>
    <row r="37" spans="2:52" s="14" customFormat="1" ht="15.75">
      <c r="B37" s="1" t="s">
        <v>110</v>
      </c>
      <c r="I37" s="42"/>
      <c r="K37" s="15"/>
      <c r="M37" s="76"/>
      <c r="O37" s="42"/>
      <c r="Q37" s="42"/>
      <c r="S37" s="42"/>
      <c r="U37" s="42"/>
      <c r="W37" s="42"/>
      <c r="Y37" s="42"/>
      <c r="Z37" s="42"/>
      <c r="AB37" s="42"/>
      <c r="AD37" s="42"/>
      <c r="AF37" s="42"/>
      <c r="AH37" s="42"/>
      <c r="AJ37" s="42"/>
      <c r="AL37" s="42"/>
      <c r="AN37" s="42"/>
      <c r="AP37" s="42"/>
      <c r="AU37" s="15"/>
      <c r="AZ37" s="1231" t="s">
        <v>325</v>
      </c>
    </row>
    <row r="38" spans="3:52" s="14" customFormat="1" ht="15">
      <c r="C38" s="14" t="s">
        <v>25</v>
      </c>
      <c r="E38" s="14">
        <v>2015</v>
      </c>
      <c r="G38" s="21" t="s">
        <v>105</v>
      </c>
      <c r="I38" s="43" t="s">
        <v>134</v>
      </c>
      <c r="K38" s="36">
        <v>68</v>
      </c>
      <c r="L38" s="164"/>
      <c r="M38" s="84">
        <v>799.9060000000001</v>
      </c>
      <c r="N38" s="25">
        <v>465.786</v>
      </c>
      <c r="O38" s="51">
        <v>163.3</v>
      </c>
      <c r="P38" s="25">
        <v>39.282</v>
      </c>
      <c r="Q38" s="51">
        <v>1046.467</v>
      </c>
      <c r="R38" s="25">
        <v>6248.598</v>
      </c>
      <c r="S38" s="51">
        <v>198.035</v>
      </c>
      <c r="T38" s="25">
        <v>45.5</v>
      </c>
      <c r="U38" s="51">
        <v>1653.528</v>
      </c>
      <c r="V38" s="25">
        <v>5102.674</v>
      </c>
      <c r="W38" s="51">
        <v>581.147</v>
      </c>
      <c r="X38" s="25">
        <v>2694.166</v>
      </c>
      <c r="Y38" s="51">
        <v>151.277</v>
      </c>
      <c r="Z38" s="51">
        <v>162.828</v>
      </c>
      <c r="AA38" s="25">
        <v>36.974</v>
      </c>
      <c r="AB38" s="51">
        <v>8965.559000000001</v>
      </c>
      <c r="AC38" s="25">
        <v>37.753</v>
      </c>
      <c r="AD38" s="51">
        <v>28.259</v>
      </c>
      <c r="AE38" s="25">
        <v>49.288</v>
      </c>
      <c r="AF38" s="51">
        <v>20.088</v>
      </c>
      <c r="AG38" s="25">
        <v>1798.147</v>
      </c>
      <c r="AH38" s="51">
        <v>2531.52</v>
      </c>
      <c r="AI38" s="25">
        <v>501.5</v>
      </c>
      <c r="AJ38" s="51">
        <v>112.866</v>
      </c>
      <c r="AK38" s="25">
        <v>632.6179999999999</v>
      </c>
      <c r="AL38" s="51">
        <v>100.32</v>
      </c>
      <c r="AM38" s="25">
        <v>88.652</v>
      </c>
      <c r="AN38" s="51">
        <v>1253.1</v>
      </c>
      <c r="AO38" s="25"/>
      <c r="AP38" s="51">
        <v>35509.138</v>
      </c>
      <c r="AQ38" s="25">
        <v>30959.996999999996</v>
      </c>
      <c r="AR38" s="164"/>
      <c r="AS38" s="164"/>
      <c r="AT38" s="237">
        <f>K38</f>
        <v>68</v>
      </c>
      <c r="AU38" s="36">
        <v>1230.8</v>
      </c>
      <c r="AV38" s="25">
        <v>1253.1</v>
      </c>
      <c r="AX38" s="20">
        <v>-3744.7</v>
      </c>
      <c r="AZ38" s="1232"/>
    </row>
    <row r="39" spans="3:47" s="14" customFormat="1" ht="6" customHeight="1">
      <c r="C39" s="164"/>
      <c r="D39" s="164"/>
      <c r="E39" s="164"/>
      <c r="F39" s="164"/>
      <c r="G39" s="164"/>
      <c r="H39" s="164"/>
      <c r="I39" s="165"/>
      <c r="J39" s="164"/>
      <c r="K39" s="169"/>
      <c r="L39" s="164"/>
      <c r="M39" s="170"/>
      <c r="N39" s="164"/>
      <c r="O39" s="165"/>
      <c r="P39" s="164"/>
      <c r="Q39" s="165"/>
      <c r="R39" s="164"/>
      <c r="S39" s="165"/>
      <c r="T39" s="164"/>
      <c r="U39" s="165"/>
      <c r="V39" s="164"/>
      <c r="W39" s="165"/>
      <c r="X39" s="164"/>
      <c r="Y39" s="165"/>
      <c r="Z39" s="165"/>
      <c r="AA39" s="164"/>
      <c r="AB39" s="165"/>
      <c r="AC39" s="164"/>
      <c r="AD39" s="165"/>
      <c r="AE39" s="164"/>
      <c r="AF39" s="165"/>
      <c r="AG39" s="164"/>
      <c r="AH39" s="165"/>
      <c r="AI39" s="164"/>
      <c r="AJ39" s="165"/>
      <c r="AK39" s="164"/>
      <c r="AL39" s="165"/>
      <c r="AM39" s="164"/>
      <c r="AN39" s="165"/>
      <c r="AO39" s="164"/>
      <c r="AP39" s="165"/>
      <c r="AQ39" s="164"/>
      <c r="AR39" s="164"/>
      <c r="AS39" s="164"/>
      <c r="AU39" s="15"/>
    </row>
    <row r="40" spans="2:52" s="14" customFormat="1" ht="15.75">
      <c r="B40" s="1" t="s">
        <v>24</v>
      </c>
      <c r="I40" s="42"/>
      <c r="K40" s="15"/>
      <c r="M40" s="76"/>
      <c r="O40" s="42"/>
      <c r="Q40" s="42"/>
      <c r="S40" s="42"/>
      <c r="U40" s="42"/>
      <c r="W40" s="42"/>
      <c r="Y40" s="42"/>
      <c r="Z40" s="42"/>
      <c r="AB40" s="42"/>
      <c r="AD40" s="42"/>
      <c r="AF40" s="42"/>
      <c r="AH40" s="42"/>
      <c r="AJ40" s="42"/>
      <c r="AL40" s="42"/>
      <c r="AN40" s="42"/>
      <c r="AP40" s="42"/>
      <c r="AU40" s="15"/>
      <c r="AZ40" s="1231" t="s">
        <v>325</v>
      </c>
    </row>
    <row r="41" spans="3:52" s="14" customFormat="1" ht="15">
      <c r="C41" s="14" t="s">
        <v>25</v>
      </c>
      <c r="E41" s="14">
        <v>2015</v>
      </c>
      <c r="G41" s="14" t="s">
        <v>99</v>
      </c>
      <c r="I41" s="43" t="s">
        <v>133</v>
      </c>
      <c r="J41" s="164"/>
      <c r="K41" s="25">
        <v>306</v>
      </c>
      <c r="L41" s="164"/>
      <c r="M41" s="84">
        <v>444.02299999999997</v>
      </c>
      <c r="N41" s="25">
        <v>838.0889999999999</v>
      </c>
      <c r="O41" s="51">
        <v>444.40000000000003</v>
      </c>
      <c r="P41" s="25">
        <v>103.836</v>
      </c>
      <c r="Q41" s="51">
        <v>652.075</v>
      </c>
      <c r="R41" s="25">
        <v>2995.166</v>
      </c>
      <c r="S41" s="51">
        <v>437.08500000000004</v>
      </c>
      <c r="T41" s="25">
        <v>101.8</v>
      </c>
      <c r="U41" s="51">
        <v>1332.823</v>
      </c>
      <c r="V41" s="25">
        <v>5047.175</v>
      </c>
      <c r="W41" s="51">
        <v>560.89</v>
      </c>
      <c r="X41" s="25">
        <v>6562</v>
      </c>
      <c r="Y41" s="51">
        <v>149.006</v>
      </c>
      <c r="Z41" s="51">
        <v>496.237</v>
      </c>
      <c r="AA41" s="25">
        <v>330.541</v>
      </c>
      <c r="AB41" s="51">
        <v>4097.822</v>
      </c>
      <c r="AC41" s="25">
        <v>102.89599999999999</v>
      </c>
      <c r="AD41" s="51">
        <v>39.574000000000005</v>
      </c>
      <c r="AE41" s="25">
        <v>85.998</v>
      </c>
      <c r="AF41" s="51">
        <v>44.151</v>
      </c>
      <c r="AG41" s="25">
        <v>963.0640000000001</v>
      </c>
      <c r="AH41" s="51">
        <v>3427.965</v>
      </c>
      <c r="AI41" s="25">
        <v>1229</v>
      </c>
      <c r="AJ41" s="51">
        <v>856.257</v>
      </c>
      <c r="AK41" s="25">
        <v>596.214</v>
      </c>
      <c r="AL41" s="51">
        <v>91.27600000000001</v>
      </c>
      <c r="AM41" s="25">
        <v>302.883</v>
      </c>
      <c r="AN41" s="51">
        <v>4242.247</v>
      </c>
      <c r="AO41" s="25"/>
      <c r="AP41" s="59">
        <v>36574.49300000001</v>
      </c>
      <c r="AQ41" s="91">
        <v>29715.713</v>
      </c>
      <c r="AR41" s="168"/>
      <c r="AS41" s="164"/>
      <c r="AT41" s="237">
        <f>K41</f>
        <v>306</v>
      </c>
      <c r="AU41" s="36">
        <v>4117</v>
      </c>
      <c r="AV41" s="25">
        <v>4242.2</v>
      </c>
      <c r="AX41" s="25">
        <v>-5810.6</v>
      </c>
      <c r="AZ41" s="1231"/>
    </row>
    <row r="42" spans="3:53" s="14" customFormat="1" ht="15.75" customHeight="1">
      <c r="C42" s="14" t="s">
        <v>39</v>
      </c>
      <c r="E42" s="14">
        <v>2015</v>
      </c>
      <c r="G42" s="14" t="s">
        <v>99</v>
      </c>
      <c r="I42" s="44" t="s">
        <v>26</v>
      </c>
      <c r="K42" s="24">
        <f>K41/5.314</f>
        <v>57.58374106134738</v>
      </c>
      <c r="M42" s="74">
        <f>M41/M11</f>
        <v>51.095410442900615</v>
      </c>
      <c r="N42" s="24">
        <f aca="true" t="shared" si="5" ref="N42:AQ42">N41/N11</f>
        <v>74.09427380160598</v>
      </c>
      <c r="O42" s="49">
        <f t="shared" si="5"/>
        <v>62.120969825200206</v>
      </c>
      <c r="P42" s="24">
        <f t="shared" si="5"/>
        <v>122.402068089952</v>
      </c>
      <c r="Q42" s="49">
        <f t="shared" si="5"/>
        <v>61.785550533582885</v>
      </c>
      <c r="R42" s="24">
        <f t="shared" si="5"/>
        <v>36.448324543304075</v>
      </c>
      <c r="S42" s="49">
        <f t="shared" si="5"/>
        <v>76.5841558396503</v>
      </c>
      <c r="T42" s="24">
        <f t="shared" si="5"/>
        <v>77.35891496902603</v>
      </c>
      <c r="U42" s="49">
        <f t="shared" si="5"/>
        <v>123.59552541472596</v>
      </c>
      <c r="V42" s="24">
        <f t="shared" si="5"/>
        <v>108.66799489504203</v>
      </c>
      <c r="W42" s="49">
        <f t="shared" si="5"/>
        <v>102.21587707487897</v>
      </c>
      <c r="X42" s="24">
        <f t="shared" si="5"/>
        <v>98.29246426937108</v>
      </c>
      <c r="Y42" s="49">
        <f t="shared" si="5"/>
        <v>35.556613991703955</v>
      </c>
      <c r="Z42" s="49">
        <f t="shared" si="5"/>
        <v>50.47940157581239</v>
      </c>
      <c r="AA42" s="24">
        <f t="shared" si="5"/>
        <v>69.95991296838756</v>
      </c>
      <c r="AB42" s="49">
        <f t="shared" si="5"/>
        <v>67.5477586942217</v>
      </c>
      <c r="AC42" s="24">
        <f t="shared" si="5"/>
        <v>35.62192623447408</v>
      </c>
      <c r="AD42" s="49">
        <f t="shared" si="5"/>
        <v>68.67517340594084</v>
      </c>
      <c r="AE42" s="24">
        <f t="shared" si="5"/>
        <v>43.67693149215549</v>
      </c>
      <c r="AF42" s="49">
        <f t="shared" si="5"/>
        <v>101.63603842514901</v>
      </c>
      <c r="AG42" s="24">
        <f t="shared" si="5"/>
        <v>56.72048963668317</v>
      </c>
      <c r="AH42" s="49">
        <f t="shared" si="5"/>
        <v>90.28751626172996</v>
      </c>
      <c r="AI42" s="24">
        <f t="shared" si="5"/>
        <v>118.8435143255268</v>
      </c>
      <c r="AJ42" s="49">
        <f t="shared" si="5"/>
        <v>43.33215555177918</v>
      </c>
      <c r="AK42" s="24">
        <f t="shared" si="5"/>
        <v>60.52309116916558</v>
      </c>
      <c r="AL42" s="49">
        <f t="shared" si="5"/>
        <v>44.218840531967054</v>
      </c>
      <c r="AM42" s="24">
        <f t="shared" si="5"/>
        <v>55.818085853734765</v>
      </c>
      <c r="AN42" s="49">
        <f t="shared" si="5"/>
        <v>64.88346830613354</v>
      </c>
      <c r="AO42" s="24"/>
      <c r="AP42" s="49">
        <f t="shared" si="5"/>
        <v>71.67471874460291</v>
      </c>
      <c r="AQ42" s="24">
        <f t="shared" si="5"/>
        <v>73.21277918292927</v>
      </c>
      <c r="AR42" s="24"/>
      <c r="AS42" s="24"/>
      <c r="AT42" s="24">
        <f>K42</f>
        <v>57.58374106134738</v>
      </c>
      <c r="AU42" s="24">
        <f>AU41/AU11</f>
        <v>64.54404500054088</v>
      </c>
      <c r="AV42" s="24">
        <f>AV41/AV11</f>
        <v>64.62030127299953</v>
      </c>
      <c r="AZ42" s="1231"/>
      <c r="BA42" s="14">
        <f>RANK(K42,K42:AN42,1)</f>
        <v>11</v>
      </c>
    </row>
    <row r="43" spans="9:47" s="14" customFormat="1" ht="6" customHeight="1">
      <c r="I43" s="44"/>
      <c r="K43" s="36"/>
      <c r="M43" s="74"/>
      <c r="N43" s="24"/>
      <c r="O43" s="49"/>
      <c r="P43" s="24"/>
      <c r="Q43" s="49"/>
      <c r="R43" s="24"/>
      <c r="S43" s="49"/>
      <c r="T43" s="24"/>
      <c r="U43" s="49"/>
      <c r="V43" s="24"/>
      <c r="W43" s="49"/>
      <c r="X43" s="24"/>
      <c r="Y43" s="49"/>
      <c r="Z43" s="49"/>
      <c r="AA43" s="24"/>
      <c r="AB43" s="49"/>
      <c r="AC43" s="24"/>
      <c r="AD43" s="49"/>
      <c r="AE43" s="24"/>
      <c r="AF43" s="49"/>
      <c r="AG43" s="24"/>
      <c r="AH43" s="49"/>
      <c r="AI43" s="24"/>
      <c r="AJ43" s="49"/>
      <c r="AK43" s="24"/>
      <c r="AL43" s="49"/>
      <c r="AM43" s="24"/>
      <c r="AN43" s="49"/>
      <c r="AO43" s="24"/>
      <c r="AP43" s="49"/>
      <c r="AQ43" s="24"/>
      <c r="AR43" s="24"/>
      <c r="AS43" s="24"/>
      <c r="AT43" s="24"/>
      <c r="AU43" s="36"/>
    </row>
    <row r="44" spans="2:52" s="14" customFormat="1" ht="14.25" customHeight="1">
      <c r="B44" s="1" t="s">
        <v>229</v>
      </c>
      <c r="I44" s="43"/>
      <c r="J44" s="164"/>
      <c r="K44" s="36"/>
      <c r="L44" s="164"/>
      <c r="M44" s="84"/>
      <c r="N44" s="25"/>
      <c r="O44" s="51"/>
      <c r="P44" s="25"/>
      <c r="Q44" s="51"/>
      <c r="R44" s="25"/>
      <c r="S44" s="51"/>
      <c r="T44" s="25"/>
      <c r="U44" s="51"/>
      <c r="V44" s="25"/>
      <c r="W44" s="51"/>
      <c r="X44" s="25"/>
      <c r="Y44" s="51"/>
      <c r="Z44" s="51"/>
      <c r="AA44" s="25"/>
      <c r="AB44" s="51"/>
      <c r="AC44" s="25"/>
      <c r="AD44" s="51"/>
      <c r="AE44" s="25"/>
      <c r="AF44" s="51"/>
      <c r="AG44" s="25"/>
      <c r="AH44" s="51"/>
      <c r="AI44" s="25"/>
      <c r="AJ44" s="51"/>
      <c r="AK44" s="25"/>
      <c r="AL44" s="51"/>
      <c r="AM44" s="25"/>
      <c r="AN44" s="51"/>
      <c r="AO44" s="25"/>
      <c r="AP44" s="59"/>
      <c r="AU44" s="15"/>
      <c r="AZ44" s="1223" t="s">
        <v>326</v>
      </c>
    </row>
    <row r="45" spans="3:52" s="14" customFormat="1" ht="15">
      <c r="C45" s="14" t="s">
        <v>25</v>
      </c>
      <c r="E45" s="14">
        <v>2015</v>
      </c>
      <c r="I45" s="43" t="s">
        <v>132</v>
      </c>
      <c r="J45" s="164"/>
      <c r="K45" s="36">
        <v>221.8</v>
      </c>
      <c r="L45" s="164"/>
      <c r="M45" s="84">
        <v>329.604</v>
      </c>
      <c r="N45" s="25">
        <v>539.281</v>
      </c>
      <c r="O45" s="51">
        <v>27.466</v>
      </c>
      <c r="P45" s="25">
        <v>12.468</v>
      </c>
      <c r="Q45" s="51">
        <v>259.693</v>
      </c>
      <c r="R45" s="25">
        <v>3351.607</v>
      </c>
      <c r="S45" s="51">
        <v>222.895</v>
      </c>
      <c r="T45" s="25">
        <v>22.997</v>
      </c>
      <c r="U45" s="51">
        <v>78.873</v>
      </c>
      <c r="V45" s="25">
        <v>1147.007</v>
      </c>
      <c r="W45" s="51">
        <v>118.912</v>
      </c>
      <c r="X45" s="25">
        <v>2015.177</v>
      </c>
      <c r="Y45" s="51">
        <v>44.106</v>
      </c>
      <c r="Z45" s="51">
        <v>96.555</v>
      </c>
      <c r="AA45" s="25">
        <v>146.672</v>
      </c>
      <c r="AB45" s="51">
        <v>1824.382</v>
      </c>
      <c r="AC45" s="25">
        <v>20.284</v>
      </c>
      <c r="AD45" s="51">
        <v>50.746</v>
      </c>
      <c r="AE45" s="25">
        <v>16.357</v>
      </c>
      <c r="AF45" s="51">
        <v>7.333</v>
      </c>
      <c r="AG45" s="25">
        <v>382.825</v>
      </c>
      <c r="AH45" s="51">
        <v>417.854</v>
      </c>
      <c r="AI45" s="25">
        <v>207.345</v>
      </c>
      <c r="AJ45" s="51">
        <v>94.919</v>
      </c>
      <c r="AK45" s="25">
        <v>372.318</v>
      </c>
      <c r="AL45" s="51">
        <v>58.963</v>
      </c>
      <c r="AM45" s="25">
        <v>88.165</v>
      </c>
      <c r="AN45" s="51">
        <v>2692.786</v>
      </c>
      <c r="AO45" s="25"/>
      <c r="AP45" s="59">
        <v>13720.646999999999</v>
      </c>
      <c r="AQ45" s="274">
        <v>12712.08</v>
      </c>
      <c r="AR45" s="164"/>
      <c r="AS45" s="164"/>
      <c r="AT45" s="24">
        <f>K45</f>
        <v>221.8</v>
      </c>
      <c r="AU45" s="231">
        <v>2602.1</v>
      </c>
      <c r="AV45" s="236">
        <v>2661</v>
      </c>
      <c r="AX45" s="25">
        <v>-880.3000000000011</v>
      </c>
      <c r="AZ45" s="1224"/>
    </row>
    <row r="46" spans="3:53" s="14" customFormat="1" ht="15">
      <c r="C46" s="14" t="s">
        <v>39</v>
      </c>
      <c r="E46" s="14">
        <v>2015</v>
      </c>
      <c r="I46" s="43" t="s">
        <v>26</v>
      </c>
      <c r="J46" s="164"/>
      <c r="K46" s="36">
        <f>K45/K11</f>
        <v>41.038355505393454</v>
      </c>
      <c r="L46" s="164"/>
      <c r="M46" s="84">
        <f>M45/M11</f>
        <v>37.92878221088055</v>
      </c>
      <c r="N46" s="25">
        <f aca="true" t="shared" si="6" ref="N46:AQ46">N45/N11</f>
        <v>47.67707733904618</v>
      </c>
      <c r="O46" s="51">
        <f t="shared" si="6"/>
        <v>3.839366690411676</v>
      </c>
      <c r="P46" s="25">
        <f t="shared" si="6"/>
        <v>14.697301368942579</v>
      </c>
      <c r="Q46" s="51">
        <f>Q45/Q11</f>
        <v>24.606486945087205</v>
      </c>
      <c r="R46" s="25">
        <f t="shared" si="6"/>
        <v>40.785872862342096</v>
      </c>
      <c r="S46" s="51">
        <f t="shared" si="6"/>
        <v>39.05470427005926</v>
      </c>
      <c r="T46" s="25">
        <f t="shared" si="6"/>
        <v>17.475667657590293</v>
      </c>
      <c r="U46" s="51">
        <f t="shared" si="6"/>
        <v>7.314061864205285</v>
      </c>
      <c r="V46" s="25">
        <f t="shared" si="6"/>
        <v>24.69558729795925</v>
      </c>
      <c r="W46" s="51">
        <f t="shared" si="6"/>
        <v>21.670370972433115</v>
      </c>
      <c r="X46" s="25">
        <f t="shared" si="6"/>
        <v>30.185418053788233</v>
      </c>
      <c r="Y46" s="51">
        <f t="shared" si="6"/>
        <v>10.524811193630422</v>
      </c>
      <c r="Z46" s="51">
        <f t="shared" si="6"/>
        <v>9.821997592183907</v>
      </c>
      <c r="AA46" s="25">
        <f t="shared" si="6"/>
        <v>31.043532738447993</v>
      </c>
      <c r="AB46" s="51">
        <f t="shared" si="6"/>
        <v>30.072783811029755</v>
      </c>
      <c r="AC46" s="25">
        <f t="shared" si="6"/>
        <v>7.022188926100843</v>
      </c>
      <c r="AD46" s="51">
        <f t="shared" si="6"/>
        <v>88.0626257052073</v>
      </c>
      <c r="AE46" s="25">
        <f t="shared" si="6"/>
        <v>8.307443991920595</v>
      </c>
      <c r="AF46" s="51">
        <f t="shared" si="6"/>
        <v>16.880638485461656</v>
      </c>
      <c r="AG46" s="25">
        <f t="shared" si="6"/>
        <v>22.546810435405366</v>
      </c>
      <c r="AH46" s="51">
        <f t="shared" si="6"/>
        <v>11.005654906053273</v>
      </c>
      <c r="AI46" s="25">
        <f t="shared" si="6"/>
        <v>20.05012894859752</v>
      </c>
      <c r="AJ46" s="51">
        <f t="shared" si="6"/>
        <v>4.80351678622111</v>
      </c>
      <c r="AK46" s="25">
        <f t="shared" si="6"/>
        <v>37.79487945254789</v>
      </c>
      <c r="AL46" s="51">
        <f t="shared" si="6"/>
        <v>28.564743133861835</v>
      </c>
      <c r="AM46" s="25">
        <f t="shared" si="6"/>
        <v>16.247863165956907</v>
      </c>
      <c r="AN46" s="51">
        <f t="shared" si="6"/>
        <v>41.18508306711044</v>
      </c>
      <c r="AO46" s="25"/>
      <c r="AP46" s="59">
        <f t="shared" si="6"/>
        <v>26.888233685672127</v>
      </c>
      <c r="AQ46" s="26">
        <f t="shared" si="6"/>
        <v>31.319682822206943</v>
      </c>
      <c r="AR46" s="168"/>
      <c r="AS46" s="168"/>
      <c r="AT46" s="26">
        <f>K46</f>
        <v>41.038355505393454</v>
      </c>
      <c r="AU46" s="26">
        <f>AU45/AU11</f>
        <v>40.79428212191095</v>
      </c>
      <c r="AV46" s="26">
        <f>AV45/AV11</f>
        <v>40.5343033537909</v>
      </c>
      <c r="AZ46" s="1224"/>
      <c r="BA46" s="14">
        <f>RANK(K46,K46:AN46,0)</f>
        <v>4</v>
      </c>
    </row>
    <row r="47" spans="9:42" s="14" customFormat="1" ht="6" customHeight="1">
      <c r="I47" s="43"/>
      <c r="J47" s="164"/>
      <c r="K47" s="36"/>
      <c r="L47" s="164"/>
      <c r="M47" s="84"/>
      <c r="N47" s="25"/>
      <c r="O47" s="51"/>
      <c r="P47" s="25"/>
      <c r="Q47" s="51"/>
      <c r="R47" s="25"/>
      <c r="S47" s="51"/>
      <c r="T47" s="25"/>
      <c r="U47" s="51"/>
      <c r="V47" s="25"/>
      <c r="W47" s="51"/>
      <c r="X47" s="25"/>
      <c r="Y47" s="51"/>
      <c r="Z47" s="51"/>
      <c r="AA47" s="25"/>
      <c r="AB47" s="51"/>
      <c r="AC47" s="25"/>
      <c r="AD47" s="51"/>
      <c r="AE47" s="25"/>
      <c r="AF47" s="51"/>
      <c r="AG47" s="25"/>
      <c r="AH47" s="51"/>
      <c r="AI47" s="25"/>
      <c r="AJ47" s="51"/>
      <c r="AK47" s="25"/>
      <c r="AL47" s="51"/>
      <c r="AM47" s="25"/>
      <c r="AN47" s="51"/>
      <c r="AO47" s="25"/>
      <c r="AP47" s="59"/>
    </row>
    <row r="48" spans="1:42" s="14" customFormat="1" ht="18.75">
      <c r="A48" s="1" t="s">
        <v>280</v>
      </c>
      <c r="I48" s="42"/>
      <c r="K48" s="15"/>
      <c r="M48" s="76"/>
      <c r="O48" s="42"/>
      <c r="Q48" s="42"/>
      <c r="S48" s="42"/>
      <c r="U48" s="42"/>
      <c r="W48" s="42"/>
      <c r="Y48" s="42"/>
      <c r="Z48" s="42"/>
      <c r="AB48" s="42"/>
      <c r="AD48" s="42"/>
      <c r="AF48" s="42"/>
      <c r="AH48" s="42"/>
      <c r="AJ48" s="42"/>
      <c r="AL48" s="42"/>
      <c r="AN48" s="42"/>
      <c r="AP48" s="42"/>
    </row>
    <row r="49" spans="1:42" s="14" customFormat="1" ht="6" customHeight="1">
      <c r="A49" s="1"/>
      <c r="I49" s="42"/>
      <c r="K49" s="15"/>
      <c r="M49" s="76"/>
      <c r="O49" s="42"/>
      <c r="Q49" s="42"/>
      <c r="S49" s="42"/>
      <c r="U49" s="42"/>
      <c r="W49" s="42"/>
      <c r="Y49" s="42"/>
      <c r="Z49" s="42"/>
      <c r="AB49" s="42"/>
      <c r="AD49" s="42"/>
      <c r="AF49" s="42"/>
      <c r="AH49" s="42"/>
      <c r="AJ49" s="42"/>
      <c r="AL49" s="42"/>
      <c r="AN49" s="42"/>
      <c r="AP49" s="42"/>
    </row>
    <row r="50" spans="1:42" s="14" customFormat="1" ht="15.75">
      <c r="A50" s="1"/>
      <c r="B50" s="1" t="s">
        <v>111</v>
      </c>
      <c r="I50" s="42"/>
      <c r="K50" s="15"/>
      <c r="M50" s="76"/>
      <c r="O50" s="42"/>
      <c r="Q50" s="42"/>
      <c r="S50" s="42"/>
      <c r="U50" s="42"/>
      <c r="W50" s="42"/>
      <c r="Y50" s="42"/>
      <c r="Z50" s="42"/>
      <c r="AB50" s="42"/>
      <c r="AD50" s="42"/>
      <c r="AF50" s="42"/>
      <c r="AH50" s="42"/>
      <c r="AJ50" s="42"/>
      <c r="AL50" s="42"/>
      <c r="AN50" s="42"/>
      <c r="AP50" s="42"/>
    </row>
    <row r="51" spans="1:52" s="14" customFormat="1" ht="18.75">
      <c r="A51" s="1"/>
      <c r="C51" s="14" t="s">
        <v>23</v>
      </c>
      <c r="E51" s="14">
        <v>2015</v>
      </c>
      <c r="G51" s="62"/>
      <c r="I51" s="43" t="s">
        <v>271</v>
      </c>
      <c r="K51" s="36">
        <v>8557</v>
      </c>
      <c r="L51" s="25"/>
      <c r="M51" s="88">
        <v>9126.11244406766</v>
      </c>
      <c r="N51" s="28">
        <v>9510.262230509643</v>
      </c>
      <c r="O51" s="55">
        <v>7892.8806647688625</v>
      </c>
      <c r="P51" s="28">
        <v>7317.680084491828</v>
      </c>
      <c r="Q51" s="54">
        <v>6614.4601464660955</v>
      </c>
      <c r="R51" s="28">
        <v>11435.927760120234</v>
      </c>
      <c r="S51" s="54">
        <v>9986.89863358844</v>
      </c>
      <c r="T51" s="28">
        <v>9390.254172201501</v>
      </c>
      <c r="U51" s="54">
        <v>9089.11763759172</v>
      </c>
      <c r="V51" s="28">
        <v>6837.939921615619</v>
      </c>
      <c r="W51" s="54">
        <v>12115.861223998963</v>
      </c>
      <c r="X51" s="28">
        <v>10912.976609147183</v>
      </c>
      <c r="Y51" s="54">
        <v>6246.39671920396</v>
      </c>
      <c r="Z51" s="54">
        <v>5544.0146207736825</v>
      </c>
      <c r="AA51" s="28">
        <v>11222.393120451547</v>
      </c>
      <c r="AB51" s="54">
        <v>11175.592738502246</v>
      </c>
      <c r="AC51" s="28">
        <v>8511.732258181566</v>
      </c>
      <c r="AD51" s="54">
        <v>13005.15892955909</v>
      </c>
      <c r="AE51" s="28">
        <v>6818.703627619208</v>
      </c>
      <c r="AF51" s="54">
        <v>5832.692991199519</v>
      </c>
      <c r="AG51" s="28">
        <v>8243.432856079673</v>
      </c>
      <c r="AH51" s="54">
        <v>5277.378231542319</v>
      </c>
      <c r="AI51" s="28">
        <v>8141.619925106071</v>
      </c>
      <c r="AJ51" s="55">
        <v>4524.672273009723</v>
      </c>
      <c r="AK51" s="28">
        <v>11482.779772441263</v>
      </c>
      <c r="AL51" s="54">
        <v>12602.094347884511</v>
      </c>
      <c r="AM51" s="28">
        <v>5078.256352800751</v>
      </c>
      <c r="AN51" s="71">
        <v>10153.25537443697</v>
      </c>
      <c r="AO51" s="29">
        <v>12439.415608838366</v>
      </c>
      <c r="AP51" s="60">
        <v>9286.651499384385</v>
      </c>
      <c r="AQ51" s="28">
        <v>10181.300586501793</v>
      </c>
      <c r="AR51" s="78"/>
      <c r="AS51" s="78"/>
      <c r="AT51" s="25">
        <f aca="true" t="shared" si="7" ref="AT51:AT57">K51</f>
        <v>8557</v>
      </c>
      <c r="AU51" s="220">
        <v>8684</v>
      </c>
      <c r="AZ51" s="1225" t="s">
        <v>283</v>
      </c>
    </row>
    <row r="52" spans="1:52" s="14" customFormat="1" ht="15.75">
      <c r="A52" s="1"/>
      <c r="C52" s="14" t="s">
        <v>29</v>
      </c>
      <c r="E52" s="14">
        <v>2002</v>
      </c>
      <c r="G52" s="62"/>
      <c r="I52" s="42" t="s">
        <v>94</v>
      </c>
      <c r="K52" s="92">
        <v>55</v>
      </c>
      <c r="L52" s="25"/>
      <c r="M52" s="88">
        <v>198.40309702395353</v>
      </c>
      <c r="N52" s="28">
        <v>99.89534773094854</v>
      </c>
      <c r="O52" s="55" t="s">
        <v>142</v>
      </c>
      <c r="P52" s="92" t="s">
        <v>142</v>
      </c>
      <c r="Q52" s="55" t="s">
        <v>142</v>
      </c>
      <c r="R52" s="28">
        <v>217.13287561561415</v>
      </c>
      <c r="S52" s="54">
        <v>143.69933677229182</v>
      </c>
      <c r="T52" s="92" t="s">
        <v>142</v>
      </c>
      <c r="U52" s="54">
        <v>2013.4831460674156</v>
      </c>
      <c r="V52" s="28">
        <v>334.0339974410528</v>
      </c>
      <c r="W52" s="54">
        <v>171.23287671232876</v>
      </c>
      <c r="X52" s="28">
        <v>201.49070357932672</v>
      </c>
      <c r="Y52" s="56" t="s">
        <v>142</v>
      </c>
      <c r="Z52" s="56" t="s">
        <v>142</v>
      </c>
      <c r="AA52" s="28">
        <v>92.65858873841769</v>
      </c>
      <c r="AB52" s="54">
        <v>1188.044662309368</v>
      </c>
      <c r="AC52" s="30" t="s">
        <v>142</v>
      </c>
      <c r="AD52" s="54">
        <v>130.43478260869566</v>
      </c>
      <c r="AE52" s="30" t="s">
        <v>142</v>
      </c>
      <c r="AF52" s="55" t="s">
        <v>142</v>
      </c>
      <c r="AG52" s="28">
        <v>55.09979184523081</v>
      </c>
      <c r="AH52" s="55" t="s">
        <v>142</v>
      </c>
      <c r="AI52" s="28">
        <v>754.0208136234626</v>
      </c>
      <c r="AJ52" s="55" t="s">
        <v>142</v>
      </c>
      <c r="AK52" s="28">
        <v>110.53387863380125</v>
      </c>
      <c r="AL52" s="55" t="s">
        <v>142</v>
      </c>
      <c r="AM52" s="30" t="s">
        <v>142</v>
      </c>
      <c r="AN52" s="71">
        <v>85</v>
      </c>
      <c r="AO52" s="29"/>
      <c r="AP52" s="60" t="s">
        <v>142</v>
      </c>
      <c r="AQ52" s="28">
        <v>404.66124266920576</v>
      </c>
      <c r="AR52" s="25"/>
      <c r="AS52" s="25"/>
      <c r="AT52" s="25">
        <f t="shared" si="7"/>
        <v>55</v>
      </c>
      <c r="AU52" s="25">
        <v>57.936</v>
      </c>
      <c r="AZ52" s="1225"/>
    </row>
    <row r="53" spans="1:52" s="14" customFormat="1" ht="18.75">
      <c r="A53" s="1"/>
      <c r="C53" s="14" t="s">
        <v>32</v>
      </c>
      <c r="E53" s="14">
        <v>2015</v>
      </c>
      <c r="G53" s="62"/>
      <c r="I53" s="43" t="s">
        <v>272</v>
      </c>
      <c r="K53" s="36">
        <v>651</v>
      </c>
      <c r="L53" s="25"/>
      <c r="M53" s="88">
        <v>1199.243285283484</v>
      </c>
      <c r="N53" s="28">
        <v>1347.0849827880947</v>
      </c>
      <c r="O53" s="55">
        <v>1736.6920487329005</v>
      </c>
      <c r="P53" s="28">
        <v>1684.4200492609798</v>
      </c>
      <c r="Q53" s="54">
        <v>1543.2222066704467</v>
      </c>
      <c r="R53" s="28">
        <v>801.9809298543868</v>
      </c>
      <c r="S53" s="54">
        <v>1221.616282798692</v>
      </c>
      <c r="T53" s="28">
        <v>2395.8607933929857</v>
      </c>
      <c r="U53" s="54">
        <v>1955.9155157629132</v>
      </c>
      <c r="V53" s="28">
        <v>998.904734087938</v>
      </c>
      <c r="W53" s="54">
        <v>1377.9861773731382</v>
      </c>
      <c r="X53" s="28">
        <v>1059.9258884274602</v>
      </c>
      <c r="Y53" s="54">
        <v>799.2301640871357</v>
      </c>
      <c r="Z53" s="54">
        <v>1808.6278505432026</v>
      </c>
      <c r="AA53" s="28">
        <v>2328.462553651896</v>
      </c>
      <c r="AB53" s="54">
        <v>1695.072993096936</v>
      </c>
      <c r="AC53" s="28">
        <v>939.8482573627426</v>
      </c>
      <c r="AD53" s="54">
        <v>1941.2272326701204</v>
      </c>
      <c r="AE53" s="28">
        <v>1165.0997736262495</v>
      </c>
      <c r="AF53" s="54">
        <v>1257.5148635756598</v>
      </c>
      <c r="AG53" s="28">
        <v>288.95529760901024</v>
      </c>
      <c r="AH53" s="54">
        <v>988.8012860415831</v>
      </c>
      <c r="AI53" s="28">
        <v>582.8533732916093</v>
      </c>
      <c r="AJ53" s="55">
        <v>879.6455920949813</v>
      </c>
      <c r="AK53" s="28">
        <v>1008.5813023122682</v>
      </c>
      <c r="AL53" s="54">
        <v>1733.5438645674108</v>
      </c>
      <c r="AM53" s="28">
        <v>990.0912946205824</v>
      </c>
      <c r="AN53" s="71">
        <v>629.9493191876771</v>
      </c>
      <c r="AO53" s="29">
        <v>1673.3867618346037</v>
      </c>
      <c r="AP53" s="60">
        <v>1069.45672678929</v>
      </c>
      <c r="AQ53" s="28">
        <v>1039.233789485232</v>
      </c>
      <c r="AR53" s="25"/>
      <c r="AS53" s="25"/>
      <c r="AT53" s="25">
        <f t="shared" si="7"/>
        <v>651</v>
      </c>
      <c r="AU53" s="25">
        <v>564.88</v>
      </c>
      <c r="AZ53" s="1225"/>
    </row>
    <row r="54" spans="1:52" s="14" customFormat="1" ht="18.75">
      <c r="A54" s="1"/>
      <c r="C54" s="14" t="s">
        <v>46</v>
      </c>
      <c r="E54" s="14">
        <v>2015</v>
      </c>
      <c r="G54" s="62"/>
      <c r="I54" s="42" t="s">
        <v>273</v>
      </c>
      <c r="K54" s="36">
        <v>0</v>
      </c>
      <c r="L54" s="25"/>
      <c r="M54" s="88">
        <v>836.587640746357</v>
      </c>
      <c r="N54" s="28">
        <v>110.34472000151912</v>
      </c>
      <c r="O54" s="55">
        <v>102.81278020959712</v>
      </c>
      <c r="P54" s="92" t="s">
        <v>282</v>
      </c>
      <c r="Q54" s="54">
        <v>933.0749102675722</v>
      </c>
      <c r="R54" s="28">
        <v>208.19474215881928</v>
      </c>
      <c r="S54" s="54">
        <v>53.18288995117245</v>
      </c>
      <c r="T54" s="28">
        <v>128.63377018147816</v>
      </c>
      <c r="U54" s="54">
        <v>154.812482739372</v>
      </c>
      <c r="V54" s="28">
        <v>156.70373194891354</v>
      </c>
      <c r="W54" s="54">
        <v>94.27102923352545</v>
      </c>
      <c r="X54" s="28">
        <v>244.26058397810758</v>
      </c>
      <c r="Y54" s="54">
        <v>141.51982952280963</v>
      </c>
      <c r="Z54" s="54">
        <v>299.1845771144278</v>
      </c>
      <c r="AA54" s="28">
        <v>38.83963436185724</v>
      </c>
      <c r="AB54" s="54">
        <v>110.61653594341645</v>
      </c>
      <c r="AC54" s="92" t="s">
        <v>282</v>
      </c>
      <c r="AD54" s="92" t="s">
        <v>282</v>
      </c>
      <c r="AE54" s="28">
        <v>65.94696328878362</v>
      </c>
      <c r="AF54" s="92" t="s">
        <v>282</v>
      </c>
      <c r="AG54" s="28">
        <v>54.225226115236886</v>
      </c>
      <c r="AH54" s="54">
        <v>111.04671570646511</v>
      </c>
      <c r="AI54" s="28">
        <v>97.22113786626895</v>
      </c>
      <c r="AJ54" s="55">
        <v>383.85999622987447</v>
      </c>
      <c r="AK54" s="28">
        <v>256.45931639916677</v>
      </c>
      <c r="AL54" s="92" t="s">
        <v>282</v>
      </c>
      <c r="AM54" s="28">
        <v>46.261576223925076</v>
      </c>
      <c r="AN54" s="71">
        <v>204.13107613640037</v>
      </c>
      <c r="AO54" s="29"/>
      <c r="AP54" s="60">
        <v>201.42706140308718</v>
      </c>
      <c r="AQ54" s="28">
        <v>187.96763664280158</v>
      </c>
      <c r="AR54" s="25"/>
      <c r="AS54" s="25"/>
      <c r="AT54" s="25">
        <f t="shared" si="7"/>
        <v>0</v>
      </c>
      <c r="AU54" s="25">
        <v>117.48</v>
      </c>
      <c r="AZ54" s="1225"/>
    </row>
    <row r="55" spans="1:52" s="31" customFormat="1" ht="18.75">
      <c r="A55" s="162"/>
      <c r="C55" s="15" t="s">
        <v>52</v>
      </c>
      <c r="E55" s="14">
        <v>2015</v>
      </c>
      <c r="G55" s="163"/>
      <c r="I55" s="44" t="s">
        <v>274</v>
      </c>
      <c r="K55" s="36">
        <v>778</v>
      </c>
      <c r="L55" s="36"/>
      <c r="M55" s="88">
        <v>1409.913143106883</v>
      </c>
      <c r="N55" s="28">
        <v>917.8008238090663</v>
      </c>
      <c r="O55" s="55">
        <v>215.07323181062225</v>
      </c>
      <c r="P55" s="92" t="s">
        <v>282</v>
      </c>
      <c r="Q55" s="54">
        <v>770.999048705789</v>
      </c>
      <c r="R55" s="28">
        <v>1124.2249040955621</v>
      </c>
      <c r="S55" s="54">
        <v>1149.5278472502591</v>
      </c>
      <c r="T55" s="28">
        <v>217.7768335705273</v>
      </c>
      <c r="U55" s="54">
        <v>116.80960506052872</v>
      </c>
      <c r="V55" s="28">
        <v>565.1825336956198</v>
      </c>
      <c r="W55" s="54">
        <v>751.8614235693753</v>
      </c>
      <c r="X55" s="28">
        <v>1343.1484120462803</v>
      </c>
      <c r="Y55" s="54">
        <v>222.7052367207565</v>
      </c>
      <c r="Z55" s="54">
        <v>772.5657427149964</v>
      </c>
      <c r="AA55" s="28">
        <v>414.62336396170673</v>
      </c>
      <c r="AB55" s="54">
        <v>858.7297385870546</v>
      </c>
      <c r="AC55" s="28">
        <v>89.68726529835392</v>
      </c>
      <c r="AD55" s="54">
        <v>742.5065457813904</v>
      </c>
      <c r="AE55" s="28">
        <v>297.06519725129095</v>
      </c>
      <c r="AF55" s="92" t="s">
        <v>282</v>
      </c>
      <c r="AG55" s="28">
        <v>1036.819365037928</v>
      </c>
      <c r="AH55" s="54">
        <v>453.6171945544676</v>
      </c>
      <c r="AI55" s="28">
        <v>381.40413396972014</v>
      </c>
      <c r="AJ55" s="55">
        <v>259.19612547106425</v>
      </c>
      <c r="AK55" s="28">
        <v>1307.1238300031137</v>
      </c>
      <c r="AL55" s="54">
        <v>304.4296452425112</v>
      </c>
      <c r="AM55" s="28">
        <v>629.1791950675007</v>
      </c>
      <c r="AN55" s="71">
        <v>1025.1961971750632</v>
      </c>
      <c r="AO55" s="29"/>
      <c r="AP55" s="60">
        <v>869.5509067847483</v>
      </c>
      <c r="AQ55" s="28">
        <v>981.6145263641829</v>
      </c>
      <c r="AR55" s="36"/>
      <c r="AS55" s="36"/>
      <c r="AT55" s="36">
        <f t="shared" si="7"/>
        <v>778</v>
      </c>
      <c r="AU55" s="221">
        <v>778.92</v>
      </c>
      <c r="AZ55" s="1225"/>
    </row>
    <row r="56" spans="1:52" s="14" customFormat="1" ht="15.75">
      <c r="A56" s="1"/>
      <c r="C56" s="14" t="s">
        <v>33</v>
      </c>
      <c r="E56" s="14">
        <v>2001</v>
      </c>
      <c r="G56" s="62"/>
      <c r="I56" s="42" t="s">
        <v>94</v>
      </c>
      <c r="K56" s="36">
        <v>56</v>
      </c>
      <c r="L56" s="25"/>
      <c r="M56" s="88">
        <v>136</v>
      </c>
      <c r="N56" s="28">
        <v>322</v>
      </c>
      <c r="O56" s="55" t="s">
        <v>142</v>
      </c>
      <c r="P56" s="30" t="s">
        <v>142</v>
      </c>
      <c r="Q56" s="56" t="s">
        <v>142</v>
      </c>
      <c r="R56" s="28">
        <v>291</v>
      </c>
      <c r="S56" s="54">
        <v>936</v>
      </c>
      <c r="T56" s="30" t="s">
        <v>142</v>
      </c>
      <c r="U56" s="54">
        <v>76</v>
      </c>
      <c r="V56" s="28">
        <v>20</v>
      </c>
      <c r="W56" s="54">
        <v>251</v>
      </c>
      <c r="X56" s="28">
        <v>75</v>
      </c>
      <c r="Y56" s="56" t="s">
        <v>142</v>
      </c>
      <c r="Z56" s="56" t="s">
        <v>142</v>
      </c>
      <c r="AA56" s="28">
        <v>184</v>
      </c>
      <c r="AB56" s="54">
        <v>154</v>
      </c>
      <c r="AC56" s="30" t="s">
        <v>142</v>
      </c>
      <c r="AD56" s="54">
        <v>23</v>
      </c>
      <c r="AE56" s="30" t="s">
        <v>142</v>
      </c>
      <c r="AF56" s="56" t="s">
        <v>142</v>
      </c>
      <c r="AG56" s="28">
        <v>848</v>
      </c>
      <c r="AH56" s="56" t="s">
        <v>142</v>
      </c>
      <c r="AI56" s="28">
        <v>29</v>
      </c>
      <c r="AJ56" s="55" t="s">
        <v>142</v>
      </c>
      <c r="AK56" s="28">
        <v>271</v>
      </c>
      <c r="AL56" s="56" t="s">
        <v>142</v>
      </c>
      <c r="AM56" s="30" t="s">
        <v>142</v>
      </c>
      <c r="AN56" s="71">
        <v>75</v>
      </c>
      <c r="AO56" s="25"/>
      <c r="AP56" s="60" t="s">
        <v>142</v>
      </c>
      <c r="AQ56" s="28">
        <v>185.64083712530282</v>
      </c>
      <c r="AR56" s="25"/>
      <c r="AS56" s="25"/>
      <c r="AT56" s="25">
        <f t="shared" si="7"/>
        <v>56</v>
      </c>
      <c r="AU56" s="25">
        <f>42*1.6</f>
        <v>67.2</v>
      </c>
      <c r="AZ56" s="1225"/>
    </row>
    <row r="57" spans="1:52" s="14" customFormat="1" ht="15.75">
      <c r="A57" s="1"/>
      <c r="C57" s="14" t="s">
        <v>34</v>
      </c>
      <c r="E57" s="14">
        <v>2001</v>
      </c>
      <c r="G57" s="62"/>
      <c r="I57" s="42" t="s">
        <v>94</v>
      </c>
      <c r="K57" s="36">
        <v>288</v>
      </c>
      <c r="L57" s="25"/>
      <c r="M57" s="88">
        <v>419</v>
      </c>
      <c r="N57" s="28">
        <v>380</v>
      </c>
      <c r="O57" s="55" t="s">
        <v>142</v>
      </c>
      <c r="P57" s="30" t="s">
        <v>142</v>
      </c>
      <c r="Q57" s="56" t="s">
        <v>142</v>
      </c>
      <c r="R57" s="28">
        <v>372</v>
      </c>
      <c r="S57" s="54">
        <v>431</v>
      </c>
      <c r="T57" s="30" t="s">
        <v>142</v>
      </c>
      <c r="U57" s="54">
        <v>389</v>
      </c>
      <c r="V57" s="28">
        <v>368</v>
      </c>
      <c r="W57" s="54">
        <v>386</v>
      </c>
      <c r="X57" s="28">
        <v>404</v>
      </c>
      <c r="Y57" s="56" t="s">
        <v>142</v>
      </c>
      <c r="Z57" s="56" t="s">
        <v>142</v>
      </c>
      <c r="AA57" s="28">
        <v>368</v>
      </c>
      <c r="AB57" s="54">
        <v>410</v>
      </c>
      <c r="AC57" s="30" t="s">
        <v>142</v>
      </c>
      <c r="AD57" s="54">
        <v>457</v>
      </c>
      <c r="AE57" s="30" t="s">
        <v>142</v>
      </c>
      <c r="AF57" s="56" t="s">
        <v>142</v>
      </c>
      <c r="AG57" s="28">
        <v>377</v>
      </c>
      <c r="AH57" s="56" t="s">
        <v>142</v>
      </c>
      <c r="AI57" s="28">
        <v>342</v>
      </c>
      <c r="AJ57" s="55" t="s">
        <v>142</v>
      </c>
      <c r="AK57" s="28">
        <v>383</v>
      </c>
      <c r="AL57" s="56" t="s">
        <v>142</v>
      </c>
      <c r="AM57" s="30" t="s">
        <v>142</v>
      </c>
      <c r="AN57" s="71">
        <v>355</v>
      </c>
      <c r="AO57" s="25"/>
      <c r="AP57" s="60" t="s">
        <v>142</v>
      </c>
      <c r="AQ57" s="28">
        <v>382.13200513267816</v>
      </c>
      <c r="AR57" s="25"/>
      <c r="AS57" s="25"/>
      <c r="AT57" s="25">
        <f t="shared" si="7"/>
        <v>288</v>
      </c>
      <c r="AU57" s="25">
        <f>179*1.6</f>
        <v>286.40000000000003</v>
      </c>
      <c r="AZ57" s="1225"/>
    </row>
    <row r="58" spans="1:52" s="14" customFormat="1" ht="15.75">
      <c r="A58" s="1"/>
      <c r="C58" s="14" t="s">
        <v>31</v>
      </c>
      <c r="G58" s="62"/>
      <c r="I58" s="44" t="s">
        <v>26</v>
      </c>
      <c r="K58" s="36">
        <f>SUM(K51:K57)</f>
        <v>10385</v>
      </c>
      <c r="L58" s="25"/>
      <c r="M58" s="87">
        <f>SUM(M51:M57)</f>
        <v>13325.259610228337</v>
      </c>
      <c r="N58" s="78">
        <f>SUM(N51:N57)</f>
        <v>12687.38810483927</v>
      </c>
      <c r="O58" s="77">
        <f aca="true" t="shared" si="8" ref="O58:AM58">SUM(O51:O57)</f>
        <v>9947.458725521981</v>
      </c>
      <c r="P58" s="78">
        <f>SUM(P51:P57)</f>
        <v>9002.100133752807</v>
      </c>
      <c r="Q58" s="77">
        <f t="shared" si="8"/>
        <v>9861.756312109905</v>
      </c>
      <c r="R58" s="78">
        <f>SUM(R51:R57)</f>
        <v>14450.461211844617</v>
      </c>
      <c r="S58" s="77">
        <f t="shared" si="8"/>
        <v>13921.924990360856</v>
      </c>
      <c r="T58" s="78">
        <f t="shared" si="8"/>
        <v>12132.525569346491</v>
      </c>
      <c r="U58" s="77">
        <f t="shared" si="8"/>
        <v>13795.13838722195</v>
      </c>
      <c r="V58" s="78">
        <f t="shared" si="8"/>
        <v>9280.764918789142</v>
      </c>
      <c r="W58" s="77">
        <f t="shared" si="8"/>
        <v>15148.212730887331</v>
      </c>
      <c r="X58" s="78">
        <f t="shared" si="8"/>
        <v>14240.80219717836</v>
      </c>
      <c r="Y58" s="77">
        <f t="shared" si="8"/>
        <v>7409.851949534661</v>
      </c>
      <c r="Z58" s="77">
        <f t="shared" si="8"/>
        <v>8424.39279114631</v>
      </c>
      <c r="AA58" s="78">
        <f t="shared" si="8"/>
        <v>14648.977261165424</v>
      </c>
      <c r="AB58" s="77">
        <f t="shared" si="8"/>
        <v>15592.056668439021</v>
      </c>
      <c r="AC58" s="78">
        <f t="shared" si="8"/>
        <v>9541.267780842663</v>
      </c>
      <c r="AD58" s="77">
        <f t="shared" si="8"/>
        <v>16299.327490619296</v>
      </c>
      <c r="AE58" s="78">
        <f t="shared" si="8"/>
        <v>8346.815561785534</v>
      </c>
      <c r="AF58" s="77">
        <f t="shared" si="8"/>
        <v>7090.207854775179</v>
      </c>
      <c r="AG58" s="78">
        <f t="shared" si="8"/>
        <v>10903.532536687078</v>
      </c>
      <c r="AH58" s="77">
        <f t="shared" si="8"/>
        <v>6830.843427844834</v>
      </c>
      <c r="AI58" s="78">
        <f t="shared" si="8"/>
        <v>10328.11938385713</v>
      </c>
      <c r="AJ58" s="77">
        <f t="shared" si="8"/>
        <v>6047.373986805642</v>
      </c>
      <c r="AK58" s="78">
        <f t="shared" si="8"/>
        <v>14819.478099789612</v>
      </c>
      <c r="AL58" s="77">
        <f t="shared" si="8"/>
        <v>14640.067857694434</v>
      </c>
      <c r="AM58" s="78">
        <f t="shared" si="8"/>
        <v>6743.788418712759</v>
      </c>
      <c r="AN58" s="71">
        <f>SUM(AN51:AN57)</f>
        <v>12527.53196693611</v>
      </c>
      <c r="AO58" s="78"/>
      <c r="AP58" s="77">
        <f>SUM(AP51:AP57)</f>
        <v>11427.086194361511</v>
      </c>
      <c r="AQ58" s="78">
        <f>SUM(AQ51:AQ57)</f>
        <v>13362.550623921195</v>
      </c>
      <c r="AR58" s="25"/>
      <c r="AS58" s="25"/>
      <c r="AT58" s="25">
        <f>SUM(AT51:AT57)</f>
        <v>10385</v>
      </c>
      <c r="AU58" s="25">
        <f>SUM(AU51:AU57)</f>
        <v>10556.815999999999</v>
      </c>
      <c r="AZ58" s="1225"/>
    </row>
    <row r="59" spans="9:47" s="14" customFormat="1" ht="10.5" customHeight="1">
      <c r="I59" s="42"/>
      <c r="K59" s="37"/>
      <c r="M59" s="76"/>
      <c r="O59" s="42"/>
      <c r="Q59" s="42"/>
      <c r="S59" s="42"/>
      <c r="U59" s="42"/>
      <c r="W59" s="42"/>
      <c r="Y59" s="42"/>
      <c r="Z59" s="42"/>
      <c r="AB59" s="42"/>
      <c r="AD59" s="42"/>
      <c r="AF59" s="42"/>
      <c r="AH59" s="42"/>
      <c r="AJ59" s="42"/>
      <c r="AL59" s="42"/>
      <c r="AN59" s="71"/>
      <c r="AP59" s="42"/>
      <c r="AT59" s="38"/>
      <c r="AU59" s="38"/>
    </row>
    <row r="60" spans="2:47" s="14" customFormat="1" ht="18.75">
      <c r="B60" s="1" t="s">
        <v>281</v>
      </c>
      <c r="I60" s="42"/>
      <c r="K60" s="37"/>
      <c r="M60" s="76"/>
      <c r="O60" s="42"/>
      <c r="Q60" s="42"/>
      <c r="S60" s="42"/>
      <c r="U60" s="42"/>
      <c r="W60" s="42"/>
      <c r="Y60" s="42"/>
      <c r="Z60" s="42"/>
      <c r="AB60" s="42"/>
      <c r="AD60" s="42"/>
      <c r="AF60" s="42"/>
      <c r="AH60" s="42"/>
      <c r="AJ60" s="42"/>
      <c r="AL60" s="42"/>
      <c r="AN60" s="71"/>
      <c r="AP60" s="42"/>
      <c r="AT60" s="38"/>
      <c r="AU60" s="38"/>
    </row>
    <row r="61" spans="3:47" s="14" customFormat="1" ht="12.75" customHeight="1">
      <c r="C61" s="14" t="s">
        <v>23</v>
      </c>
      <c r="E61" s="14">
        <v>2015</v>
      </c>
      <c r="G61" s="1228" t="s">
        <v>106</v>
      </c>
      <c r="I61" s="42" t="s">
        <v>230</v>
      </c>
      <c r="K61" s="79">
        <f>AT61</f>
        <v>85.68996595233327</v>
      </c>
      <c r="L61" s="79"/>
      <c r="M61" s="89">
        <v>72.59160518164033</v>
      </c>
      <c r="N61" s="79">
        <v>80.01571684793521</v>
      </c>
      <c r="O61" s="80">
        <v>79.34569906300054</v>
      </c>
      <c r="P61" s="79">
        <v>81.28858794910143</v>
      </c>
      <c r="Q61" s="80">
        <v>67.07182713837454</v>
      </c>
      <c r="R61" s="79">
        <v>84.27156275644036</v>
      </c>
      <c r="S61" s="80">
        <v>80.46665907408462</v>
      </c>
      <c r="T61" s="79">
        <v>77.39735736412958</v>
      </c>
      <c r="U61" s="80">
        <v>80.3162899629382</v>
      </c>
      <c r="V61" s="79">
        <v>79.8943206002622</v>
      </c>
      <c r="W61" s="80">
        <v>84.49008539207604</v>
      </c>
      <c r="X61" s="79">
        <v>80.47732984820085</v>
      </c>
      <c r="Y61" s="80">
        <v>84.29853608068693</v>
      </c>
      <c r="Z61" s="80">
        <v>65.80907085196947</v>
      </c>
      <c r="AA61" s="79">
        <v>80.13523101660938</v>
      </c>
      <c r="AB61" s="80">
        <v>80.7484323969708</v>
      </c>
      <c r="AC61" s="79">
        <v>89.20965697317249</v>
      </c>
      <c r="AD61" s="80">
        <v>82.89405231842004</v>
      </c>
      <c r="AE61" s="79">
        <v>81.69227625967292</v>
      </c>
      <c r="AF61" s="80">
        <v>82.26406207924163</v>
      </c>
      <c r="AG61" s="79">
        <v>85.66000381203003</v>
      </c>
      <c r="AH61" s="80">
        <v>77.25807636037938</v>
      </c>
      <c r="AI61" s="79">
        <v>88.4660732792668</v>
      </c>
      <c r="AJ61" s="80">
        <v>74.82044740215835</v>
      </c>
      <c r="AK61" s="79">
        <v>81.69921980307207</v>
      </c>
      <c r="AL61" s="80">
        <v>86.07948043943787</v>
      </c>
      <c r="AM61" s="79">
        <v>75.30272359538345</v>
      </c>
      <c r="AN61" s="240">
        <v>84.52219234365657</v>
      </c>
      <c r="AO61" s="22"/>
      <c r="AP61" s="80">
        <v>81.2687621448652</v>
      </c>
      <c r="AQ61" s="79">
        <v>82.17275886356144</v>
      </c>
      <c r="AT61" s="79">
        <f>100*AT51/(AT$51+AT$53+AT$54+AT$55)</f>
        <v>85.68996595233327</v>
      </c>
      <c r="AU61" s="79">
        <f>100*AU51/(AU$51+AU$53+AU$54+AU$55)</f>
        <v>85.5964547060308</v>
      </c>
    </row>
    <row r="62" spans="3:47" s="14" customFormat="1" ht="15">
      <c r="C62" s="14" t="s">
        <v>30</v>
      </c>
      <c r="E62" s="14">
        <v>2015</v>
      </c>
      <c r="G62" s="1228"/>
      <c r="I62" s="42" t="s">
        <v>139</v>
      </c>
      <c r="K62" s="79">
        <f>AT62</f>
        <v>6.519126777488484</v>
      </c>
      <c r="L62" s="79"/>
      <c r="M62" s="89">
        <v>9.539110504672903</v>
      </c>
      <c r="N62" s="79">
        <v>11.33385893472904</v>
      </c>
      <c r="O62" s="80">
        <v>17.45865046192257</v>
      </c>
      <c r="P62" s="79">
        <v>18.711412050898577</v>
      </c>
      <c r="Q62" s="80">
        <v>15.648553440480189</v>
      </c>
      <c r="R62" s="79">
        <v>5.909812275605157</v>
      </c>
      <c r="S62" s="80">
        <v>9.842833551620064</v>
      </c>
      <c r="T62" s="79">
        <v>19.74742010390864</v>
      </c>
      <c r="U62" s="80">
        <v>17.28351243439814</v>
      </c>
      <c r="V62" s="79">
        <v>11.671178160261636</v>
      </c>
      <c r="W62" s="80">
        <v>9.609401068802374</v>
      </c>
      <c r="X62" s="79">
        <v>7.816383044945424</v>
      </c>
      <c r="Y62" s="80">
        <v>10.786047677205309</v>
      </c>
      <c r="Z62" s="80">
        <v>21.46894019998683</v>
      </c>
      <c r="AA62" s="79">
        <v>16.626746420990745</v>
      </c>
      <c r="AB62" s="80">
        <v>12.247626608605534</v>
      </c>
      <c r="AC62" s="79">
        <v>9.850349858640454</v>
      </c>
      <c r="AD62" s="80">
        <v>12.373258386036055</v>
      </c>
      <c r="AE62" s="79">
        <v>13.95861409661979</v>
      </c>
      <c r="AF62" s="80">
        <v>17.73593792075837</v>
      </c>
      <c r="AG62" s="79">
        <v>3.0026218842116394</v>
      </c>
      <c r="AH62" s="80">
        <v>14.47553726690461</v>
      </c>
      <c r="AI62" s="79">
        <v>6.333229714357069</v>
      </c>
      <c r="AJ62" s="80">
        <v>14.54591024160604</v>
      </c>
      <c r="AK62" s="79">
        <v>7.175989363188857</v>
      </c>
      <c r="AL62" s="80">
        <v>11.84109173139048</v>
      </c>
      <c r="AM62" s="79">
        <v>14.681529626185528</v>
      </c>
      <c r="AN62" s="240">
        <v>5.2441010847803025</v>
      </c>
      <c r="AO62" s="22"/>
      <c r="AP62" s="80">
        <v>9.35896263140987</v>
      </c>
      <c r="AQ62" s="79">
        <v>8.387603023866394</v>
      </c>
      <c r="AT62" s="79">
        <f>100*AT53/(AT$51+AT$53+AT$54+AT$55)</f>
        <v>6.519126777488484</v>
      </c>
      <c r="AU62" s="79">
        <f>100*AU53/(AU$51+AU$53+AU$54+AU$55)</f>
        <v>5.56790941206157</v>
      </c>
    </row>
    <row r="63" spans="3:47" s="14" customFormat="1" ht="15">
      <c r="C63" s="14" t="s">
        <v>52</v>
      </c>
      <c r="E63" s="14">
        <v>2015</v>
      </c>
      <c r="G63" s="1228"/>
      <c r="I63" s="42" t="s">
        <v>139</v>
      </c>
      <c r="K63" s="79">
        <f>AT63</f>
        <v>7.790907270178249</v>
      </c>
      <c r="L63" s="79"/>
      <c r="M63" s="89">
        <v>11.214836421542298</v>
      </c>
      <c r="N63" s="79">
        <v>7.722025855933988</v>
      </c>
      <c r="O63" s="80">
        <v>2.162092226216666</v>
      </c>
      <c r="P63" s="79" t="s">
        <v>146</v>
      </c>
      <c r="Q63" s="80">
        <v>7.818070375142288</v>
      </c>
      <c r="R63" s="79">
        <v>8.284434069986311</v>
      </c>
      <c r="S63" s="80">
        <v>9.262001024998574</v>
      </c>
      <c r="T63" s="79">
        <v>1.7949835120953932</v>
      </c>
      <c r="U63" s="80">
        <v>1.0321919557621135</v>
      </c>
      <c r="V63" s="79">
        <v>6.603578718497643</v>
      </c>
      <c r="W63" s="80">
        <v>5.243113527460605</v>
      </c>
      <c r="X63" s="79">
        <v>9.904996744951589</v>
      </c>
      <c r="Y63" s="80">
        <v>3.005528831581343</v>
      </c>
      <c r="Z63" s="80">
        <v>9.170580739384935</v>
      </c>
      <c r="AA63" s="79">
        <v>2.960682155698552</v>
      </c>
      <c r="AB63" s="80">
        <v>6.204689260433652</v>
      </c>
      <c r="AC63" s="79">
        <v>0.9399931681870578</v>
      </c>
      <c r="AD63" s="80">
        <v>4.732689295543934</v>
      </c>
      <c r="AE63" s="79">
        <v>3.5590243375132555</v>
      </c>
      <c r="AF63" s="80" t="s">
        <v>146</v>
      </c>
      <c r="AG63" s="79">
        <v>10.773903580234009</v>
      </c>
      <c r="AH63" s="80">
        <v>6.640720129894503</v>
      </c>
      <c r="AI63" s="79">
        <v>4.144301303077711</v>
      </c>
      <c r="AJ63" s="80">
        <v>4.286093865479244</v>
      </c>
      <c r="AK63" s="79">
        <v>9.3000997331288</v>
      </c>
      <c r="AL63" s="80">
        <v>2.079427829171645</v>
      </c>
      <c r="AM63" s="79">
        <v>9.329758824011224</v>
      </c>
      <c r="AN63" s="240">
        <v>8.534388919811944</v>
      </c>
      <c r="AO63" s="22"/>
      <c r="AP63" s="80">
        <v>7.609559357431052</v>
      </c>
      <c r="AQ63" s="79">
        <v>7.922560883708063</v>
      </c>
      <c r="AT63" s="79">
        <f>100*AT55/(AT$51+AT$53+AT$54+AT$55)</f>
        <v>7.790907270178249</v>
      </c>
      <c r="AU63" s="79">
        <f>100*AU55/(AU$51+AU$53+AU$54+AU$55)</f>
        <v>7.677658970476912</v>
      </c>
    </row>
    <row r="64" spans="3:47" s="14" customFormat="1" ht="15">
      <c r="C64" s="14" t="s">
        <v>46</v>
      </c>
      <c r="E64" s="14">
        <v>2015</v>
      </c>
      <c r="G64" s="1228"/>
      <c r="I64" s="42" t="s">
        <v>139</v>
      </c>
      <c r="K64" s="79">
        <f>AT64</f>
        <v>0</v>
      </c>
      <c r="L64" s="79"/>
      <c r="M64" s="89">
        <v>6.654447892144476</v>
      </c>
      <c r="N64" s="79">
        <v>0.928398361401765</v>
      </c>
      <c r="O64" s="80">
        <v>1.0335582488602095</v>
      </c>
      <c r="P64" s="161" t="s">
        <v>146</v>
      </c>
      <c r="Q64" s="80">
        <v>9.461549046002968</v>
      </c>
      <c r="R64" s="79">
        <v>1.5341908979681593</v>
      </c>
      <c r="S64" s="80">
        <v>0.428506349296737</v>
      </c>
      <c r="T64" s="79">
        <v>1.0602390198663876</v>
      </c>
      <c r="U64" s="80">
        <v>1.36800564690153</v>
      </c>
      <c r="V64" s="79">
        <v>1.8309225209785076</v>
      </c>
      <c r="W64" s="80">
        <v>0.6574000116609575</v>
      </c>
      <c r="X64" s="79">
        <v>1.801290361902141</v>
      </c>
      <c r="Y64" s="80">
        <v>1.909887410526429</v>
      </c>
      <c r="Z64" s="80">
        <v>3.551408208658772</v>
      </c>
      <c r="AA64" s="79">
        <v>0.27734040670131493</v>
      </c>
      <c r="AB64" s="80">
        <v>0.7992517339900073</v>
      </c>
      <c r="AC64" s="79" t="s">
        <v>146</v>
      </c>
      <c r="AD64" s="80" t="s">
        <v>146</v>
      </c>
      <c r="AE64" s="79">
        <v>0.7900853061940234</v>
      </c>
      <c r="AF64" s="80" t="s">
        <v>146</v>
      </c>
      <c r="AG64" s="79">
        <v>0.5634707235243219</v>
      </c>
      <c r="AH64" s="80">
        <v>1.6256662428215094</v>
      </c>
      <c r="AI64" s="79">
        <v>1.0563957032984432</v>
      </c>
      <c r="AJ64" s="80">
        <v>6.347548490756363</v>
      </c>
      <c r="AK64" s="79">
        <v>1.824691100610264</v>
      </c>
      <c r="AL64" s="80" t="s">
        <v>146</v>
      </c>
      <c r="AM64" s="79">
        <v>0.6859879544197709</v>
      </c>
      <c r="AN64" s="240">
        <v>1.6993176517511952</v>
      </c>
      <c r="AO64" s="22"/>
      <c r="AP64" s="80">
        <v>1.762715866293874</v>
      </c>
      <c r="AQ64" s="79">
        <v>1.5170772288640892</v>
      </c>
      <c r="AT64" s="79">
        <f>100*AT54/(AT$51+AT$53+AT$54+AT$55)</f>
        <v>0</v>
      </c>
      <c r="AU64" s="79">
        <f>100*AU54/(AU$51+AU$53+AU$54+AU$55)</f>
        <v>1.1579769114307343</v>
      </c>
    </row>
    <row r="65" spans="3:47" s="14" customFormat="1" ht="15">
      <c r="C65" s="14" t="s">
        <v>234</v>
      </c>
      <c r="E65" s="14">
        <v>2015</v>
      </c>
      <c r="F65" s="15"/>
      <c r="G65" s="1228"/>
      <c r="I65" s="44" t="s">
        <v>26</v>
      </c>
      <c r="K65" s="231">
        <f>AT65</f>
        <v>9986</v>
      </c>
      <c r="L65" s="36"/>
      <c r="M65" s="72">
        <f>M51+M53+M55+M54</f>
        <v>12571.856513204384</v>
      </c>
      <c r="N65" s="36">
        <f aca="true" t="shared" si="9" ref="N65:AQ65">N51+N53+N55+N54</f>
        <v>11885.492757108323</v>
      </c>
      <c r="O65" s="81">
        <f t="shared" si="9"/>
        <v>9947.458725521981</v>
      </c>
      <c r="P65" s="36">
        <f>P51+P53</f>
        <v>9002.100133752807</v>
      </c>
      <c r="Q65" s="81">
        <f t="shared" si="9"/>
        <v>9861.756312109905</v>
      </c>
      <c r="R65" s="36">
        <f t="shared" si="9"/>
        <v>13570.328336229002</v>
      </c>
      <c r="S65" s="81">
        <f t="shared" si="9"/>
        <v>12411.225653588564</v>
      </c>
      <c r="T65" s="36">
        <f t="shared" si="9"/>
        <v>12132.525569346491</v>
      </c>
      <c r="U65" s="81">
        <f t="shared" si="9"/>
        <v>11316.655241154534</v>
      </c>
      <c r="V65" s="36">
        <f t="shared" si="9"/>
        <v>8558.73092134809</v>
      </c>
      <c r="W65" s="81">
        <f t="shared" si="9"/>
        <v>14339.979854175002</v>
      </c>
      <c r="X65" s="36">
        <f t="shared" si="9"/>
        <v>13560.311493599032</v>
      </c>
      <c r="Y65" s="81">
        <f t="shared" si="9"/>
        <v>7409.851949534661</v>
      </c>
      <c r="Z65" s="81">
        <f t="shared" si="9"/>
        <v>8424.392791146309</v>
      </c>
      <c r="AA65" s="36">
        <f t="shared" si="9"/>
        <v>14004.318672427007</v>
      </c>
      <c r="AB65" s="81">
        <f t="shared" si="9"/>
        <v>13840.012006129653</v>
      </c>
      <c r="AC65" s="36">
        <f>AC51+AC53+AC55</f>
        <v>9541.267780842663</v>
      </c>
      <c r="AD65" s="81">
        <f>AD51+AD53+AD55</f>
        <v>15688.8927080106</v>
      </c>
      <c r="AE65" s="36">
        <f t="shared" si="9"/>
        <v>8346.815561785532</v>
      </c>
      <c r="AF65" s="81">
        <f>AF51+AF53</f>
        <v>7090.207854775179</v>
      </c>
      <c r="AG65" s="36">
        <f t="shared" si="9"/>
        <v>9623.43274484185</v>
      </c>
      <c r="AH65" s="81">
        <f t="shared" si="9"/>
        <v>6830.843427844834</v>
      </c>
      <c r="AI65" s="36">
        <f t="shared" si="9"/>
        <v>9203.098570233667</v>
      </c>
      <c r="AJ65" s="81">
        <f t="shared" si="9"/>
        <v>6047.373986805642</v>
      </c>
      <c r="AK65" s="36">
        <f t="shared" si="9"/>
        <v>14054.944221155813</v>
      </c>
      <c r="AL65" s="81">
        <f>AL51+AL53+AL55</f>
        <v>14640.067857694434</v>
      </c>
      <c r="AM65" s="36">
        <f t="shared" si="9"/>
        <v>6743.788418712759</v>
      </c>
      <c r="AN65" s="71">
        <f t="shared" si="9"/>
        <v>12012.53196693611</v>
      </c>
      <c r="AO65" s="22"/>
      <c r="AP65" s="81">
        <f t="shared" si="9"/>
        <v>11427.086194361511</v>
      </c>
      <c r="AQ65" s="36">
        <f t="shared" si="9"/>
        <v>12390.116538994009</v>
      </c>
      <c r="AR65" s="25"/>
      <c r="AS65" s="25"/>
      <c r="AT65" s="36">
        <f>AT51+AT53+AT55+AT54</f>
        <v>9986</v>
      </c>
      <c r="AU65" s="36">
        <f>AU51+AU53+AU55+AU54</f>
        <v>10145.279999999999</v>
      </c>
    </row>
    <row r="66" spans="9:42" s="14" customFormat="1" ht="9.75" customHeight="1">
      <c r="I66" s="42"/>
      <c r="K66" s="275"/>
      <c r="M66" s="76"/>
      <c r="O66" s="42"/>
      <c r="Q66" s="42"/>
      <c r="S66" s="42"/>
      <c r="U66" s="42"/>
      <c r="W66" s="42"/>
      <c r="Y66" s="42"/>
      <c r="Z66" s="42"/>
      <c r="AB66" s="42"/>
      <c r="AD66" s="42"/>
      <c r="AF66" s="42"/>
      <c r="AH66" s="42"/>
      <c r="AJ66" s="42"/>
      <c r="AL66" s="42"/>
      <c r="AN66" s="42"/>
      <c r="AP66" s="42"/>
    </row>
    <row r="67" spans="2:42" s="14" customFormat="1" ht="15.75">
      <c r="B67" s="1" t="s">
        <v>112</v>
      </c>
      <c r="I67" s="42"/>
      <c r="K67" s="15"/>
      <c r="M67" s="76"/>
      <c r="O67" s="42"/>
      <c r="Q67" s="42"/>
      <c r="S67" s="42"/>
      <c r="U67" s="42"/>
      <c r="W67" s="42"/>
      <c r="Y67" s="42"/>
      <c r="Z67" s="42"/>
      <c r="AB67" s="42"/>
      <c r="AD67" s="42"/>
      <c r="AF67" s="42"/>
      <c r="AH67" s="42"/>
      <c r="AJ67" s="42"/>
      <c r="AL67" s="42"/>
      <c r="AN67" s="42"/>
      <c r="AP67" s="42"/>
    </row>
    <row r="68" spans="3:52" s="14" customFormat="1" ht="15">
      <c r="C68" s="14" t="s">
        <v>0</v>
      </c>
      <c r="E68" s="14">
        <v>2015</v>
      </c>
      <c r="I68" s="43" t="s">
        <v>140</v>
      </c>
      <c r="J68" s="164"/>
      <c r="K68" s="106">
        <v>9.5642</v>
      </c>
      <c r="L68" s="164"/>
      <c r="M68" s="73">
        <v>18.657633999999998</v>
      </c>
      <c r="N68" s="17">
        <v>22.277310999999997</v>
      </c>
      <c r="O68" s="52">
        <v>5.5930420000000005</v>
      </c>
      <c r="P68" s="17">
        <v>5.345100999999999</v>
      </c>
      <c r="Q68" s="52">
        <v>9.084695999999997</v>
      </c>
      <c r="R68" s="17">
        <v>126.05412099999998</v>
      </c>
      <c r="S68" s="52">
        <v>21.942473</v>
      </c>
      <c r="T68" s="17">
        <v>1.641424</v>
      </c>
      <c r="U68" s="52">
        <v>35.04615500000001</v>
      </c>
      <c r="V68" s="17">
        <v>149.048841</v>
      </c>
      <c r="W68" s="52">
        <v>13.359805</v>
      </c>
      <c r="X68" s="17">
        <v>90.13632300000002</v>
      </c>
      <c r="Y68" s="52">
        <v>5.464208</v>
      </c>
      <c r="Z68" s="52">
        <v>8.09224</v>
      </c>
      <c r="AA68" s="17">
        <v>25.180641</v>
      </c>
      <c r="AB68" s="52">
        <v>103.634421</v>
      </c>
      <c r="AC68" s="17">
        <v>3.254413</v>
      </c>
      <c r="AD68" s="52">
        <v>2.2805360000000006</v>
      </c>
      <c r="AE68" s="17">
        <v>3.79341</v>
      </c>
      <c r="AF68" s="52">
        <v>4.188652</v>
      </c>
      <c r="AG68" s="17">
        <v>39.16597200000001</v>
      </c>
      <c r="AH68" s="52">
        <v>23.207586999999997</v>
      </c>
      <c r="AI68" s="17">
        <v>29.689077</v>
      </c>
      <c r="AJ68" s="52">
        <v>10.759720000000002</v>
      </c>
      <c r="AK68" s="17">
        <v>27.319654999999997</v>
      </c>
      <c r="AL68" s="52">
        <v>1.598792</v>
      </c>
      <c r="AM68" s="17">
        <v>0.813878</v>
      </c>
      <c r="AN68" s="52">
        <v>160.71120499999995</v>
      </c>
      <c r="AO68" s="17"/>
      <c r="AP68" s="52">
        <v>947.3413330000001</v>
      </c>
      <c r="AQ68" s="19">
        <v>864.5041699999999</v>
      </c>
      <c r="AR68" s="164"/>
      <c r="AS68" s="164"/>
      <c r="AT68" s="106">
        <f>K68</f>
        <v>9.5642</v>
      </c>
      <c r="AV68" s="22">
        <v>136.682457</v>
      </c>
      <c r="AX68" s="20">
        <v>-61.48250000000007</v>
      </c>
      <c r="AZ68" s="1221" t="s">
        <v>298</v>
      </c>
    </row>
    <row r="69" spans="3:52" s="14" customFormat="1" ht="15">
      <c r="C69" s="14" t="s">
        <v>38</v>
      </c>
      <c r="E69" s="14">
        <v>2015</v>
      </c>
      <c r="I69" s="44" t="s">
        <v>26</v>
      </c>
      <c r="K69" s="106">
        <f>K68/5.314</f>
        <v>1.7998118178396687</v>
      </c>
      <c r="M69" s="90">
        <f>M68/M11</f>
        <v>2.147004698232789</v>
      </c>
      <c r="N69" s="17">
        <f aca="true" t="shared" si="10" ref="N69:AQ69">N68/N11</f>
        <v>1.9695058410234814</v>
      </c>
      <c r="O69" s="52">
        <f t="shared" si="10"/>
        <v>0.7818298679412183</v>
      </c>
      <c r="P69" s="17">
        <f t="shared" si="10"/>
        <v>6.3008149057135325</v>
      </c>
      <c r="Q69" s="52">
        <f t="shared" si="10"/>
        <v>0.8607950677303042</v>
      </c>
      <c r="R69" s="17">
        <f t="shared" si="10"/>
        <v>1.5339588898341263</v>
      </c>
      <c r="S69" s="52">
        <f t="shared" si="10"/>
        <v>3.8446658470076045</v>
      </c>
      <c r="T69" s="17">
        <f t="shared" si="10"/>
        <v>1.2473357528891806</v>
      </c>
      <c r="U69" s="52">
        <f t="shared" si="10"/>
        <v>3.2499048568271456</v>
      </c>
      <c r="V69" s="17">
        <f t="shared" si="10"/>
        <v>3.2090899746689847</v>
      </c>
      <c r="W69" s="52">
        <f t="shared" si="10"/>
        <v>2.4346737963314617</v>
      </c>
      <c r="X69" s="17">
        <f t="shared" si="10"/>
        <v>1.3501556397211205</v>
      </c>
      <c r="Y69" s="52">
        <f t="shared" si="10"/>
        <v>1.303898733113973</v>
      </c>
      <c r="Z69" s="52">
        <f t="shared" si="10"/>
        <v>0.8231781036235751</v>
      </c>
      <c r="AA69" s="17">
        <f t="shared" si="10"/>
        <v>5.3295520157808305</v>
      </c>
      <c r="AB69" s="52">
        <f t="shared" si="10"/>
        <v>1.7082911024742857</v>
      </c>
      <c r="AC69" s="17">
        <f t="shared" si="10"/>
        <v>1.126656622439293</v>
      </c>
      <c r="AD69" s="52">
        <f t="shared" si="10"/>
        <v>3.9575530716756133</v>
      </c>
      <c r="AE69" s="17">
        <f t="shared" si="10"/>
        <v>1.9266088594113533</v>
      </c>
      <c r="AF69" s="52">
        <f t="shared" si="10"/>
        <v>9.642318308114817</v>
      </c>
      <c r="AG69" s="17">
        <f t="shared" si="10"/>
        <v>2.3067138932995355</v>
      </c>
      <c r="AH69" s="52">
        <f t="shared" si="10"/>
        <v>0.6112534371436151</v>
      </c>
      <c r="AI69" s="17">
        <f t="shared" si="10"/>
        <v>2.8709147662824805</v>
      </c>
      <c r="AJ69" s="52">
        <f t="shared" si="10"/>
        <v>0.5445115902510457</v>
      </c>
      <c r="AK69" s="17">
        <f t="shared" si="10"/>
        <v>2.77328269761386</v>
      </c>
      <c r="AL69" s="52">
        <f t="shared" si="10"/>
        <v>0.774537978129899</v>
      </c>
      <c r="AM69" s="17">
        <f t="shared" si="10"/>
        <v>0.14998897950187348</v>
      </c>
      <c r="AN69" s="52">
        <f t="shared" si="10"/>
        <v>2.4580134952203454</v>
      </c>
      <c r="AO69" s="17"/>
      <c r="AP69" s="52">
        <f t="shared" si="10"/>
        <v>1.8564966463899364</v>
      </c>
      <c r="AQ69" s="17">
        <f t="shared" si="10"/>
        <v>2.129942259872127</v>
      </c>
      <c r="AR69" s="17"/>
      <c r="AS69" s="17"/>
      <c r="AT69" s="106">
        <f>AT68/5.347</f>
        <v>1.7887039461380212</v>
      </c>
      <c r="AU69" s="17"/>
      <c r="AV69" s="17">
        <f>AV68/AV11</f>
        <v>2.0820474164522658</v>
      </c>
      <c r="AZ69" s="1230"/>
    </row>
    <row r="70" spans="9:52" s="14" customFormat="1" ht="6" customHeight="1">
      <c r="I70" s="42"/>
      <c r="K70" s="15"/>
      <c r="M70" s="76"/>
      <c r="O70" s="42"/>
      <c r="Q70" s="42"/>
      <c r="S70" s="42"/>
      <c r="U70" s="42"/>
      <c r="W70" s="42"/>
      <c r="Y70" s="42"/>
      <c r="Z70" s="42"/>
      <c r="AB70" s="42"/>
      <c r="AD70" s="42"/>
      <c r="AF70" s="42"/>
      <c r="AH70" s="42"/>
      <c r="AJ70" s="42"/>
      <c r="AL70" s="42"/>
      <c r="AN70" s="42"/>
      <c r="AP70" s="42"/>
      <c r="AT70" s="15"/>
      <c r="AZ70" s="1230"/>
    </row>
    <row r="71" spans="2:52" s="14" customFormat="1" ht="15.75">
      <c r="B71" s="1" t="s">
        <v>35</v>
      </c>
      <c r="I71" s="42"/>
      <c r="K71" s="15"/>
      <c r="M71" s="76"/>
      <c r="O71" s="42"/>
      <c r="Q71" s="42"/>
      <c r="S71" s="42"/>
      <c r="U71" s="42"/>
      <c r="W71" s="42"/>
      <c r="Y71" s="42"/>
      <c r="Z71" s="42"/>
      <c r="AB71" s="42"/>
      <c r="AD71" s="42"/>
      <c r="AF71" s="42"/>
      <c r="AH71" s="42"/>
      <c r="AJ71" s="42"/>
      <c r="AL71" s="42"/>
      <c r="AN71" s="42"/>
      <c r="AP71" s="42"/>
      <c r="AT71" s="169"/>
      <c r="AU71" s="164"/>
      <c r="AV71" s="164"/>
      <c r="AZ71" s="1230"/>
    </row>
    <row r="72" spans="3:50" s="14" customFormat="1" ht="15">
      <c r="C72" s="14" t="s">
        <v>36</v>
      </c>
      <c r="E72" s="14">
        <v>2015</v>
      </c>
      <c r="G72" s="21"/>
      <c r="I72" s="43" t="s">
        <v>141</v>
      </c>
      <c r="K72" s="36">
        <v>168</v>
      </c>
      <c r="M72" s="84">
        <v>479</v>
      </c>
      <c r="N72" s="25">
        <v>732</v>
      </c>
      <c r="O72" s="51">
        <v>708</v>
      </c>
      <c r="P72" s="25">
        <v>57</v>
      </c>
      <c r="Q72" s="51">
        <v>734</v>
      </c>
      <c r="R72" s="25">
        <v>3459</v>
      </c>
      <c r="S72" s="51">
        <v>178</v>
      </c>
      <c r="T72" s="25">
        <v>67</v>
      </c>
      <c r="U72" s="51">
        <v>793</v>
      </c>
      <c r="V72" s="25">
        <v>1689</v>
      </c>
      <c r="W72" s="51">
        <v>266</v>
      </c>
      <c r="X72" s="25">
        <v>3461</v>
      </c>
      <c r="Y72" s="51">
        <v>348</v>
      </c>
      <c r="Z72" s="51">
        <v>644</v>
      </c>
      <c r="AA72" s="25">
        <v>166</v>
      </c>
      <c r="AB72" s="51">
        <v>3428</v>
      </c>
      <c r="AC72" s="25">
        <v>242</v>
      </c>
      <c r="AD72" s="51">
        <v>36</v>
      </c>
      <c r="AE72" s="25">
        <v>188</v>
      </c>
      <c r="AF72" s="51">
        <v>11</v>
      </c>
      <c r="AG72" s="25">
        <v>531</v>
      </c>
      <c r="AH72" s="51">
        <v>2938</v>
      </c>
      <c r="AI72" s="25">
        <v>593</v>
      </c>
      <c r="AJ72" s="51">
        <v>1893</v>
      </c>
      <c r="AK72" s="25">
        <v>259</v>
      </c>
      <c r="AL72" s="51">
        <v>120</v>
      </c>
      <c r="AM72" s="25">
        <v>310</v>
      </c>
      <c r="AN72" s="51">
        <v>1804</v>
      </c>
      <c r="AO72" s="25"/>
      <c r="AP72" s="59">
        <v>26134</v>
      </c>
      <c r="AQ72" s="91">
        <v>17874</v>
      </c>
      <c r="AT72" s="36">
        <f>K72</f>
        <v>168</v>
      </c>
      <c r="AU72" s="25">
        <v>1730</v>
      </c>
      <c r="AV72" s="25">
        <f>AN72</f>
        <v>1804</v>
      </c>
      <c r="AX72" s="25">
        <v>-13446</v>
      </c>
    </row>
    <row r="73" spans="3:53" s="14" customFormat="1" ht="12" customHeight="1">
      <c r="C73" s="14" t="s">
        <v>37</v>
      </c>
      <c r="E73" s="14">
        <v>2015</v>
      </c>
      <c r="I73" s="44" t="s">
        <v>26</v>
      </c>
      <c r="K73" s="36">
        <f>K72/5.373</f>
        <v>31.267448352875487</v>
      </c>
      <c r="M73" s="86">
        <f>M72/M11</f>
        <v>55.12034647337952</v>
      </c>
      <c r="N73" s="24">
        <f aca="true" t="shared" si="11" ref="N73:AP73">N72/N11</f>
        <v>64.71509400884104</v>
      </c>
      <c r="O73" s="49">
        <f t="shared" si="11"/>
        <v>98.96860179172309</v>
      </c>
      <c r="P73" s="24">
        <f t="shared" si="11"/>
        <v>67.19170500719657</v>
      </c>
      <c r="Q73" s="49">
        <f t="shared" si="11"/>
        <v>69.54812573960025</v>
      </c>
      <c r="R73" s="24">
        <f t="shared" si="11"/>
        <v>42.092743639347134</v>
      </c>
      <c r="S73" s="49">
        <f t="shared" si="11"/>
        <v>31.18839525368693</v>
      </c>
      <c r="T73" s="24">
        <f t="shared" si="11"/>
        <v>50.91402065741399</v>
      </c>
      <c r="U73" s="49">
        <f t="shared" si="11"/>
        <v>73.53658486826659</v>
      </c>
      <c r="V73" s="24">
        <f t="shared" si="11"/>
        <v>36.364945415549485</v>
      </c>
      <c r="W73" s="49">
        <f t="shared" si="11"/>
        <v>48.47550019062171</v>
      </c>
      <c r="X73" s="24">
        <f t="shared" si="11"/>
        <v>51.84245943863049</v>
      </c>
      <c r="Y73" s="49">
        <f t="shared" si="11"/>
        <v>83.04163368665003</v>
      </c>
      <c r="Z73" s="49">
        <f t="shared" si="11"/>
        <v>65.51050126214525</v>
      </c>
      <c r="AA73" s="24">
        <f t="shared" si="11"/>
        <v>35.13435716825548</v>
      </c>
      <c r="AB73" s="49">
        <f t="shared" si="11"/>
        <v>56.50653366685815</v>
      </c>
      <c r="AC73" s="24">
        <f t="shared" si="11"/>
        <v>83.77882666714672</v>
      </c>
      <c r="AD73" s="49">
        <f t="shared" si="11"/>
        <v>62.47299344554177</v>
      </c>
      <c r="AE73" s="24">
        <f t="shared" si="11"/>
        <v>95.48202423922919</v>
      </c>
      <c r="AF73" s="49">
        <f t="shared" si="11"/>
        <v>25.3221087331349</v>
      </c>
      <c r="AG73" s="24">
        <f t="shared" si="11"/>
        <v>31.273705586626395</v>
      </c>
      <c r="AH73" s="49">
        <f t="shared" si="11"/>
        <v>77.38256451771318</v>
      </c>
      <c r="AI73" s="24">
        <f t="shared" si="11"/>
        <v>57.34272090727209</v>
      </c>
      <c r="AJ73" s="49">
        <f t="shared" si="11"/>
        <v>95.79807284438901</v>
      </c>
      <c r="AK73" s="24">
        <f t="shared" si="11"/>
        <v>26.29170165882365</v>
      </c>
      <c r="AL73" s="49">
        <f t="shared" si="11"/>
        <v>58.13423971072402</v>
      </c>
      <c r="AM73" s="24">
        <f t="shared" si="11"/>
        <v>57.129672562203154</v>
      </c>
      <c r="AN73" s="49">
        <f t="shared" si="11"/>
        <v>27.591457268816473</v>
      </c>
      <c r="AO73" s="24"/>
      <c r="AP73" s="49">
        <f t="shared" si="11"/>
        <v>51.21457458539349</v>
      </c>
      <c r="AQ73" s="24">
        <f>AQ72/AQ11</f>
        <v>44.03748330439448</v>
      </c>
      <c r="AR73" s="24"/>
      <c r="AS73" s="24"/>
      <c r="AT73" s="36">
        <f>K73</f>
        <v>31.267448352875487</v>
      </c>
      <c r="AU73" s="24">
        <f>AU72/AU11</f>
        <v>27.12198150374926</v>
      </c>
      <c r="AV73" s="25">
        <f>AN73</f>
        <v>27.591457268816473</v>
      </c>
      <c r="BA73" s="14">
        <f>RANK(K73,K73:AN73,1)</f>
        <v>5</v>
      </c>
    </row>
    <row r="74" spans="9:48" s="14" customFormat="1" ht="6" customHeight="1">
      <c r="I74" s="42"/>
      <c r="K74" s="15"/>
      <c r="M74" s="76"/>
      <c r="O74" s="42"/>
      <c r="Q74" s="42"/>
      <c r="S74" s="42"/>
      <c r="U74" s="42"/>
      <c r="W74" s="42"/>
      <c r="Y74" s="42"/>
      <c r="Z74" s="42"/>
      <c r="AB74" s="42"/>
      <c r="AD74" s="42"/>
      <c r="AF74" s="42"/>
      <c r="AH74" s="42"/>
      <c r="AJ74" s="42"/>
      <c r="AL74" s="42"/>
      <c r="AN74" s="42"/>
      <c r="AP74" s="42"/>
      <c r="AV74" s="25"/>
    </row>
    <row r="75" spans="2:42" s="14" customFormat="1" ht="14.25" customHeight="1">
      <c r="B75" s="1" t="s">
        <v>232</v>
      </c>
      <c r="I75" s="42"/>
      <c r="K75" s="15"/>
      <c r="M75" s="76"/>
      <c r="O75" s="42"/>
      <c r="Q75" s="42"/>
      <c r="S75" s="42"/>
      <c r="U75" s="42"/>
      <c r="W75" s="42"/>
      <c r="Y75" s="42"/>
      <c r="Z75" s="42"/>
      <c r="AB75" s="42"/>
      <c r="AD75" s="42"/>
      <c r="AF75" s="42"/>
      <c r="AH75" s="42"/>
      <c r="AJ75" s="42"/>
      <c r="AL75" s="42"/>
      <c r="AN75" s="42"/>
      <c r="AP75" s="42"/>
    </row>
    <row r="76" spans="3:48" s="14" customFormat="1" ht="15.75" customHeight="1">
      <c r="C76" s="14" t="s">
        <v>41</v>
      </c>
      <c r="E76" s="14">
        <v>2015</v>
      </c>
      <c r="I76" s="42" t="s">
        <v>218</v>
      </c>
      <c r="K76" s="226">
        <v>14.438</v>
      </c>
      <c r="L76" s="31"/>
      <c r="M76" s="227">
        <v>24.436</v>
      </c>
      <c r="N76" s="226">
        <v>31.729</v>
      </c>
      <c r="O76" s="228">
        <v>32.297</v>
      </c>
      <c r="P76" s="226">
        <v>0.563</v>
      </c>
      <c r="Q76" s="228">
        <v>57.2</v>
      </c>
      <c r="R76" s="226">
        <v>314.816</v>
      </c>
      <c r="S76" s="228">
        <v>15.5</v>
      </c>
      <c r="T76" s="226">
        <v>6.263</v>
      </c>
      <c r="U76" s="228">
        <v>19.764</v>
      </c>
      <c r="V76" s="226">
        <v>209.39</v>
      </c>
      <c r="W76" s="228">
        <v>24.488</v>
      </c>
      <c r="X76" s="226">
        <v>153.58</v>
      </c>
      <c r="Y76" s="228">
        <v>10.439</v>
      </c>
      <c r="Z76" s="228">
        <v>38.353</v>
      </c>
      <c r="AA76" s="226">
        <v>9.9</v>
      </c>
      <c r="AB76" s="228">
        <v>116.82</v>
      </c>
      <c r="AC76" s="226">
        <v>26.485</v>
      </c>
      <c r="AD76" s="228">
        <v>8.85</v>
      </c>
      <c r="AE76" s="226">
        <v>14.69</v>
      </c>
      <c r="AF76" s="228">
        <v>0.25</v>
      </c>
      <c r="AG76" s="226">
        <v>68.9</v>
      </c>
      <c r="AH76" s="228">
        <v>260.713</v>
      </c>
      <c r="AI76" s="226">
        <v>31.835</v>
      </c>
      <c r="AJ76" s="228">
        <v>39.023</v>
      </c>
      <c r="AK76" s="226">
        <v>41.502</v>
      </c>
      <c r="AL76" s="228">
        <v>17.909</v>
      </c>
      <c r="AM76" s="226">
        <v>33.54</v>
      </c>
      <c r="AN76" s="228">
        <v>158.924</v>
      </c>
      <c r="AO76" s="229"/>
      <c r="AP76" s="230">
        <v>1768.1589999999999</v>
      </c>
      <c r="AQ76" s="231">
        <v>1230.434</v>
      </c>
      <c r="AR76" s="31"/>
      <c r="AS76" s="31"/>
      <c r="AT76" s="226">
        <f>K76</f>
        <v>14.438</v>
      </c>
      <c r="AU76" s="226"/>
      <c r="AV76" s="226">
        <v>152.3</v>
      </c>
    </row>
    <row r="77" spans="3:48" s="14" customFormat="1" ht="15.75" customHeight="1">
      <c r="C77" s="14" t="s">
        <v>42</v>
      </c>
      <c r="E77" s="14">
        <v>2015</v>
      </c>
      <c r="I77" s="42" t="s">
        <v>222</v>
      </c>
      <c r="K77" s="226">
        <v>2.607</v>
      </c>
      <c r="L77" s="31"/>
      <c r="M77" s="227">
        <v>20.266</v>
      </c>
      <c r="N77" s="226">
        <v>7.28</v>
      </c>
      <c r="O77" s="228">
        <v>3.65</v>
      </c>
      <c r="P77" s="276">
        <v>0</v>
      </c>
      <c r="Q77" s="228">
        <v>15.261</v>
      </c>
      <c r="R77" s="226">
        <v>116.632</v>
      </c>
      <c r="S77" s="228">
        <v>2.273</v>
      </c>
      <c r="T77" s="226">
        <v>3.117</v>
      </c>
      <c r="U77" s="228">
        <v>0.294</v>
      </c>
      <c r="V77" s="226">
        <v>11.131</v>
      </c>
      <c r="W77" s="228">
        <v>8.468</v>
      </c>
      <c r="X77" s="226">
        <v>34.252</v>
      </c>
      <c r="Y77" s="228">
        <v>2.184</v>
      </c>
      <c r="Z77" s="228">
        <v>10.01</v>
      </c>
      <c r="AA77" s="226">
        <v>0.096</v>
      </c>
      <c r="AB77" s="228">
        <v>20.781</v>
      </c>
      <c r="AC77" s="226">
        <v>14.036</v>
      </c>
      <c r="AD77" s="228">
        <v>0.207</v>
      </c>
      <c r="AE77" s="226">
        <v>18.906</v>
      </c>
      <c r="AF77" s="277">
        <v>0</v>
      </c>
      <c r="AG77" s="226">
        <v>6.545</v>
      </c>
      <c r="AH77" s="228">
        <v>50.603</v>
      </c>
      <c r="AI77" s="226">
        <v>2.688</v>
      </c>
      <c r="AJ77" s="228">
        <v>13.673</v>
      </c>
      <c r="AK77" s="226">
        <v>20.583</v>
      </c>
      <c r="AL77" s="228">
        <v>4.175</v>
      </c>
      <c r="AM77" s="226">
        <v>8.439</v>
      </c>
      <c r="AN77" s="228">
        <v>21.99</v>
      </c>
      <c r="AO77" s="229"/>
      <c r="AP77" s="230">
        <v>417.5400000000001</v>
      </c>
      <c r="AQ77" s="231">
        <v>273.48599999999993</v>
      </c>
      <c r="AR77" s="31"/>
      <c r="AS77" s="31"/>
      <c r="AT77" s="226">
        <f>K77</f>
        <v>2.607</v>
      </c>
      <c r="AU77" s="226"/>
      <c r="AV77" s="226">
        <v>21.990000000000002</v>
      </c>
    </row>
    <row r="78" spans="3:52" s="14" customFormat="1" ht="15.75" customHeight="1">
      <c r="C78" s="14" t="s">
        <v>43</v>
      </c>
      <c r="E78" s="14">
        <v>2015</v>
      </c>
      <c r="I78" s="42" t="s">
        <v>223</v>
      </c>
      <c r="K78" s="226">
        <v>0.236</v>
      </c>
      <c r="L78" s="31">
        <v>10.451</v>
      </c>
      <c r="M78" s="227">
        <v>1.806</v>
      </c>
      <c r="N78" s="26">
        <v>10.426</v>
      </c>
      <c r="O78" s="50">
        <v>5.595</v>
      </c>
      <c r="P78" s="276">
        <v>0</v>
      </c>
      <c r="Q78" s="277">
        <v>0</v>
      </c>
      <c r="R78" s="276">
        <v>55.315</v>
      </c>
      <c r="S78" s="277">
        <v>0</v>
      </c>
      <c r="T78" s="276">
        <v>0</v>
      </c>
      <c r="U78" s="277">
        <v>0</v>
      </c>
      <c r="V78" s="276">
        <v>0</v>
      </c>
      <c r="W78" s="228">
        <v>0.13</v>
      </c>
      <c r="X78" s="226">
        <v>8.516</v>
      </c>
      <c r="Y78" s="42">
        <v>0.879</v>
      </c>
      <c r="Z78" s="228">
        <v>1.824</v>
      </c>
      <c r="AA78" s="276">
        <v>0</v>
      </c>
      <c r="AB78" s="228">
        <v>0.062</v>
      </c>
      <c r="AC78" s="276">
        <v>0</v>
      </c>
      <c r="AD78" s="277">
        <v>0</v>
      </c>
      <c r="AE78" s="276">
        <v>0</v>
      </c>
      <c r="AF78" s="277">
        <v>0</v>
      </c>
      <c r="AG78" s="276">
        <v>48.535</v>
      </c>
      <c r="AH78" s="228">
        <v>0.088</v>
      </c>
      <c r="AI78" s="276">
        <v>0</v>
      </c>
      <c r="AJ78" s="50">
        <v>13.168</v>
      </c>
      <c r="AK78" s="276">
        <v>0</v>
      </c>
      <c r="AL78" s="1220">
        <v>0</v>
      </c>
      <c r="AM78" s="226">
        <v>0.741</v>
      </c>
      <c r="AN78" s="228">
        <v>0.166</v>
      </c>
      <c r="AO78" s="229"/>
      <c r="AP78" s="230">
        <v>147.51900000000003</v>
      </c>
      <c r="AQ78" s="231">
        <v>125.19099999999999</v>
      </c>
      <c r="AR78" s="31"/>
      <c r="AS78" s="31"/>
      <c r="AT78" s="226">
        <f>K78</f>
        <v>0.236</v>
      </c>
      <c r="AU78" s="226"/>
      <c r="AV78" s="226">
        <f>AN78</f>
        <v>0.166</v>
      </c>
      <c r="AZ78" s="1221" t="s">
        <v>279</v>
      </c>
    </row>
    <row r="79" spans="3:52" s="14" customFormat="1" ht="15.75" customHeight="1">
      <c r="C79" s="14" t="s">
        <v>44</v>
      </c>
      <c r="E79" s="14">
        <v>2015</v>
      </c>
      <c r="I79" s="42" t="s">
        <v>225</v>
      </c>
      <c r="K79" s="226">
        <v>5.836</v>
      </c>
      <c r="L79" s="31"/>
      <c r="M79" s="227">
        <v>8.475</v>
      </c>
      <c r="N79" s="226">
        <v>1.6327322686986514</v>
      </c>
      <c r="O79" s="228">
        <v>0.661</v>
      </c>
      <c r="P79" s="276">
        <v>0</v>
      </c>
      <c r="Q79" s="228">
        <v>2.023</v>
      </c>
      <c r="R79" s="226">
        <v>17.713</v>
      </c>
      <c r="S79" s="228">
        <v>2.65</v>
      </c>
      <c r="T79" s="276">
        <v>0</v>
      </c>
      <c r="U79" s="228">
        <v>0.2044981302419847</v>
      </c>
      <c r="V79" s="226">
        <v>10.115</v>
      </c>
      <c r="W79" s="277">
        <v>0</v>
      </c>
      <c r="X79" s="226">
        <v>11.5</v>
      </c>
      <c r="Y79" s="228">
        <v>1.395</v>
      </c>
      <c r="Z79" s="228">
        <v>2.46488</v>
      </c>
      <c r="AA79" s="276">
        <v>0</v>
      </c>
      <c r="AB79" s="228">
        <v>9.667</v>
      </c>
      <c r="AC79" s="226">
        <v>0.496</v>
      </c>
      <c r="AD79" s="277">
        <v>0</v>
      </c>
      <c r="AE79" s="226">
        <v>1.965</v>
      </c>
      <c r="AF79" s="277">
        <v>0</v>
      </c>
      <c r="AG79" s="226">
        <v>6.044</v>
      </c>
      <c r="AH79" s="228">
        <v>21.843</v>
      </c>
      <c r="AI79" s="226">
        <v>0.3907574</v>
      </c>
      <c r="AJ79" s="228">
        <v>1.029</v>
      </c>
      <c r="AK79" s="276">
        <v>0</v>
      </c>
      <c r="AL79" s="1220">
        <v>0</v>
      </c>
      <c r="AM79" s="226">
        <v>4.966</v>
      </c>
      <c r="AN79" s="228">
        <v>9.955738084394113</v>
      </c>
      <c r="AO79" s="229"/>
      <c r="AP79" s="230">
        <v>112.88771480506807</v>
      </c>
      <c r="AQ79" s="231">
        <v>75.83321480506808</v>
      </c>
      <c r="AR79" s="31"/>
      <c r="AS79" s="31"/>
      <c r="AT79" s="226">
        <f>K79</f>
        <v>5.836</v>
      </c>
      <c r="AU79" s="226"/>
      <c r="AV79" s="226">
        <f>AN79</f>
        <v>9.955738084394113</v>
      </c>
      <c r="AZ79" s="1222"/>
    </row>
    <row r="80" spans="3:48" s="14" customFormat="1" ht="15.75" customHeight="1">
      <c r="C80" s="14" t="s">
        <v>31</v>
      </c>
      <c r="E80" s="14">
        <v>2015</v>
      </c>
      <c r="G80" s="21"/>
      <c r="I80" s="42" t="s">
        <v>26</v>
      </c>
      <c r="K80" s="226">
        <v>23.117</v>
      </c>
      <c r="L80" s="31"/>
      <c r="M80" s="227">
        <v>54.925</v>
      </c>
      <c r="N80" s="226">
        <v>51.25988888888889</v>
      </c>
      <c r="O80" s="228">
        <v>33.2009</v>
      </c>
      <c r="P80" s="226">
        <v>0.896</v>
      </c>
      <c r="Q80" s="228">
        <v>67.44</v>
      </c>
      <c r="R80" s="226">
        <v>491.769</v>
      </c>
      <c r="S80" s="228">
        <v>22.026999999999997</v>
      </c>
      <c r="T80" s="226">
        <v>10.92</v>
      </c>
      <c r="U80" s="228">
        <v>21.345777777777776</v>
      </c>
      <c r="V80" s="226">
        <v>218.066</v>
      </c>
      <c r="W80" s="228">
        <v>34.859</v>
      </c>
      <c r="X80" s="226">
        <v>229.11299999999997</v>
      </c>
      <c r="Y80" s="228">
        <v>12.590999999999998</v>
      </c>
      <c r="Z80" s="228">
        <v>47.70770999999999</v>
      </c>
      <c r="AA80" s="226">
        <v>10.067</v>
      </c>
      <c r="AB80" s="228">
        <v>154.42600000000002</v>
      </c>
      <c r="AC80" s="226">
        <v>38.2542</v>
      </c>
      <c r="AD80" s="228">
        <v>8.481</v>
      </c>
      <c r="AE80" s="226">
        <v>36.676</v>
      </c>
      <c r="AF80" s="228">
        <v>0.25</v>
      </c>
      <c r="AG80" s="226">
        <v>127.066</v>
      </c>
      <c r="AH80" s="228">
        <v>293.691</v>
      </c>
      <c r="AI80" s="226">
        <v>35.712078967642526</v>
      </c>
      <c r="AJ80" s="228">
        <v>56.43899999999999</v>
      </c>
      <c r="AK80" s="226">
        <v>55.524</v>
      </c>
      <c r="AL80" s="228">
        <v>19.358</v>
      </c>
      <c r="AM80" s="226">
        <v>42.479</v>
      </c>
      <c r="AN80" s="228">
        <v>190.04999999999995</v>
      </c>
      <c r="AO80" s="226"/>
      <c r="AP80" s="230">
        <v>2364.5935556343093</v>
      </c>
      <c r="AQ80" s="231">
        <v>1704.6907456343095</v>
      </c>
      <c r="AR80" s="31"/>
      <c r="AS80" s="31"/>
      <c r="AT80" s="226">
        <f>K80</f>
        <v>23.117</v>
      </c>
      <c r="AU80" s="226"/>
      <c r="AV80" s="226">
        <f>SUM(AV76:AV79)</f>
        <v>184.41173808439413</v>
      </c>
    </row>
    <row r="81" spans="9:42" s="14" customFormat="1" ht="6" customHeight="1">
      <c r="I81" s="42"/>
      <c r="K81" s="15"/>
      <c r="M81" s="76"/>
      <c r="O81" s="42"/>
      <c r="Q81" s="42"/>
      <c r="S81" s="42"/>
      <c r="U81" s="42"/>
      <c r="W81" s="42"/>
      <c r="Y81" s="42"/>
      <c r="Z81" s="42"/>
      <c r="AB81" s="42"/>
      <c r="AD81" s="42"/>
      <c r="AF81" s="42"/>
      <c r="AH81" s="42"/>
      <c r="AJ81" s="42"/>
      <c r="AL81" s="42"/>
      <c r="AN81" s="42"/>
      <c r="AP81" s="42"/>
    </row>
    <row r="82" spans="2:42" s="14" customFormat="1" ht="15.75">
      <c r="B82" s="1" t="s">
        <v>113</v>
      </c>
      <c r="I82" s="42"/>
      <c r="K82" s="15"/>
      <c r="M82" s="76"/>
      <c r="N82" s="22"/>
      <c r="O82" s="42"/>
      <c r="Q82" s="42"/>
      <c r="S82" s="42"/>
      <c r="U82" s="42"/>
      <c r="W82" s="42"/>
      <c r="Y82" s="42"/>
      <c r="Z82" s="42"/>
      <c r="AB82" s="42"/>
      <c r="AD82" s="42"/>
      <c r="AF82" s="42"/>
      <c r="AH82" s="42"/>
      <c r="AJ82" s="42"/>
      <c r="AL82" s="42"/>
      <c r="AN82" s="42"/>
      <c r="AP82" s="42"/>
    </row>
    <row r="83" spans="3:52" s="14" customFormat="1" ht="15">
      <c r="C83" s="14" t="s">
        <v>41</v>
      </c>
      <c r="E83" s="14">
        <v>2015</v>
      </c>
      <c r="I83" s="42" t="s">
        <v>135</v>
      </c>
      <c r="J83" s="164"/>
      <c r="K83" s="219">
        <f>K76/K$80*100</f>
        <v>62.45620106415193</v>
      </c>
      <c r="L83" s="238"/>
      <c r="M83" s="214">
        <f aca="true" t="shared" si="12" ref="M83:AP83">M76/M$80*100</f>
        <v>44.48975876194811</v>
      </c>
      <c r="N83" s="217">
        <f t="shared" si="12"/>
        <v>61.898300382148484</v>
      </c>
      <c r="O83" s="214">
        <f t="shared" si="12"/>
        <v>97.27748344171393</v>
      </c>
      <c r="P83" s="217">
        <f t="shared" si="12"/>
        <v>62.834821428571416</v>
      </c>
      <c r="Q83" s="214">
        <f t="shared" si="12"/>
        <v>84.81613285883749</v>
      </c>
      <c r="R83" s="217">
        <f t="shared" si="12"/>
        <v>64.0170486549579</v>
      </c>
      <c r="S83" s="214">
        <f t="shared" si="12"/>
        <v>70.36818450083987</v>
      </c>
      <c r="T83" s="217">
        <f t="shared" si="12"/>
        <v>57.35347985347985</v>
      </c>
      <c r="U83" s="214">
        <f t="shared" si="12"/>
        <v>92.58973931873075</v>
      </c>
      <c r="V83" s="217">
        <f t="shared" si="12"/>
        <v>96.02138802014069</v>
      </c>
      <c r="W83" s="214">
        <f t="shared" si="12"/>
        <v>70.24871625692073</v>
      </c>
      <c r="X83" s="217">
        <f t="shared" si="12"/>
        <v>67.03242504790214</v>
      </c>
      <c r="Y83" s="214">
        <f t="shared" si="12"/>
        <v>82.90842665395918</v>
      </c>
      <c r="Z83" s="214">
        <f t="shared" si="12"/>
        <v>80.3916180424506</v>
      </c>
      <c r="AA83" s="217">
        <f t="shared" si="12"/>
        <v>98.34111453263137</v>
      </c>
      <c r="AB83" s="214">
        <f t="shared" si="12"/>
        <v>75.64788312848871</v>
      </c>
      <c r="AC83" s="217">
        <f t="shared" si="12"/>
        <v>69.23422787563196</v>
      </c>
      <c r="AD83" s="214">
        <f t="shared" si="12"/>
        <v>104.35090201627166</v>
      </c>
      <c r="AE83" s="217">
        <f t="shared" si="12"/>
        <v>40.05344094230559</v>
      </c>
      <c r="AF83" s="214">
        <f t="shared" si="12"/>
        <v>100</v>
      </c>
      <c r="AG83" s="217">
        <f t="shared" si="12"/>
        <v>54.223789211905626</v>
      </c>
      <c r="AH83" s="214">
        <f t="shared" si="12"/>
        <v>88.77119149037595</v>
      </c>
      <c r="AI83" s="217">
        <f t="shared" si="12"/>
        <v>89.14350807984208</v>
      </c>
      <c r="AJ83" s="214">
        <f t="shared" si="12"/>
        <v>69.141905420011</v>
      </c>
      <c r="AK83" s="217">
        <f t="shared" si="12"/>
        <v>74.74605575967149</v>
      </c>
      <c r="AL83" s="214">
        <f t="shared" si="12"/>
        <v>92.51472259530942</v>
      </c>
      <c r="AM83" s="217">
        <f t="shared" si="12"/>
        <v>78.956660938346</v>
      </c>
      <c r="AN83" s="214">
        <f t="shared" si="12"/>
        <v>83.62220468297818</v>
      </c>
      <c r="AO83" s="215"/>
      <c r="AP83" s="50">
        <f t="shared" si="12"/>
        <v>74.7764450168133</v>
      </c>
      <c r="AQ83" s="217">
        <f>AQ76/AQ$80*100</f>
        <v>72.17930895390413</v>
      </c>
      <c r="AR83" s="164"/>
      <c r="AS83" s="164"/>
      <c r="AT83" s="22">
        <f>K83</f>
        <v>62.45620106415193</v>
      </c>
      <c r="AU83" s="233"/>
      <c r="AV83" s="217">
        <f>AV76/AV$80*100</f>
        <v>82.58693377224256</v>
      </c>
      <c r="AZ83" s="1225" t="s">
        <v>145</v>
      </c>
    </row>
    <row r="84" spans="3:52" s="14" customFormat="1" ht="15">
      <c r="C84" s="14" t="s">
        <v>42</v>
      </c>
      <c r="E84" s="14">
        <v>2015</v>
      </c>
      <c r="I84" s="42" t="s">
        <v>136</v>
      </c>
      <c r="J84" s="164"/>
      <c r="K84" s="219">
        <f>K77/K$80*100</f>
        <v>11.27741488947528</v>
      </c>
      <c r="L84" s="238"/>
      <c r="M84" s="214">
        <f aca="true" t="shared" si="13" ref="M84:AN84">M77/M$80*100</f>
        <v>36.89758761948111</v>
      </c>
      <c r="N84" s="217">
        <f t="shared" si="13"/>
        <v>14.202137690505248</v>
      </c>
      <c r="O84" s="214">
        <f t="shared" si="13"/>
        <v>10.993677882226086</v>
      </c>
      <c r="P84" s="217">
        <f t="shared" si="13"/>
        <v>0</v>
      </c>
      <c r="Q84" s="214">
        <f t="shared" si="13"/>
        <v>22.62900355871886</v>
      </c>
      <c r="R84" s="217">
        <f t="shared" si="13"/>
        <v>23.716826396133143</v>
      </c>
      <c r="S84" s="214">
        <f t="shared" si="13"/>
        <v>10.319153765832842</v>
      </c>
      <c r="T84" s="217">
        <f t="shared" si="13"/>
        <v>28.543956043956044</v>
      </c>
      <c r="U84" s="214">
        <f t="shared" si="13"/>
        <v>1.3773215624219206</v>
      </c>
      <c r="V84" s="217">
        <f t="shared" si="13"/>
        <v>5.104417928517054</v>
      </c>
      <c r="W84" s="214">
        <f t="shared" si="13"/>
        <v>24.292148369144265</v>
      </c>
      <c r="X84" s="217">
        <f t="shared" si="13"/>
        <v>14.949828250688526</v>
      </c>
      <c r="Y84" s="214">
        <f t="shared" si="13"/>
        <v>17.34572313557303</v>
      </c>
      <c r="Z84" s="214">
        <f t="shared" si="13"/>
        <v>20.981933528144616</v>
      </c>
      <c r="AA84" s="217">
        <f t="shared" si="13"/>
        <v>0.9536108075891527</v>
      </c>
      <c r="AB84" s="214">
        <f t="shared" si="13"/>
        <v>13.456930827710355</v>
      </c>
      <c r="AC84" s="217">
        <f t="shared" si="13"/>
        <v>36.69139597743516</v>
      </c>
      <c r="AD84" s="214">
        <f t="shared" si="13"/>
        <v>2.440749911567032</v>
      </c>
      <c r="AE84" s="217">
        <f t="shared" si="13"/>
        <v>51.54869669538662</v>
      </c>
      <c r="AF84" s="216">
        <f t="shared" si="13"/>
        <v>0</v>
      </c>
      <c r="AG84" s="217">
        <f t="shared" si="13"/>
        <v>5.150866478837769</v>
      </c>
      <c r="AH84" s="214">
        <f t="shared" si="13"/>
        <v>17.230013858102566</v>
      </c>
      <c r="AI84" s="217">
        <f t="shared" si="13"/>
        <v>7.526865076758773</v>
      </c>
      <c r="AJ84" s="214">
        <f t="shared" si="13"/>
        <v>24.22615567249597</v>
      </c>
      <c r="AK84" s="217">
        <f t="shared" si="13"/>
        <v>37.0704560190188</v>
      </c>
      <c r="AL84" s="214">
        <f t="shared" si="13"/>
        <v>21.567310672590143</v>
      </c>
      <c r="AM84" s="217">
        <f t="shared" si="13"/>
        <v>19.86628687115987</v>
      </c>
      <c r="AN84" s="214">
        <f t="shared" si="13"/>
        <v>11.570639305445937</v>
      </c>
      <c r="AO84" s="215"/>
      <c r="AP84" s="50">
        <f>AP77/AP$80*100</f>
        <v>17.6580029580599</v>
      </c>
      <c r="AQ84" s="217">
        <f>AQ77/AQ$80*100</f>
        <v>16.0431445234506</v>
      </c>
      <c r="AR84" s="164"/>
      <c r="AS84" s="164"/>
      <c r="AT84" s="22">
        <f>K84</f>
        <v>11.27741488947528</v>
      </c>
      <c r="AU84" s="233"/>
      <c r="AV84" s="217">
        <f>AV77/AV$80*100</f>
        <v>11.924403635269956</v>
      </c>
      <c r="AZ84" s="1225"/>
    </row>
    <row r="85" spans="3:52" s="14" customFormat="1" ht="15">
      <c r="C85" s="14" t="s">
        <v>43</v>
      </c>
      <c r="E85" s="14">
        <v>2015</v>
      </c>
      <c r="I85" s="42" t="s">
        <v>137</v>
      </c>
      <c r="J85" s="164"/>
      <c r="K85" s="219">
        <f>K78/K$80*100</f>
        <v>1.0208937145823418</v>
      </c>
      <c r="L85" s="238"/>
      <c r="M85" s="214">
        <f aca="true" t="shared" si="14" ref="M85:AN85">M78/M$80*100</f>
        <v>3.288120163859809</v>
      </c>
      <c r="N85" s="217">
        <f t="shared" si="14"/>
        <v>20.339490049616444</v>
      </c>
      <c r="O85" s="214">
        <f t="shared" si="14"/>
        <v>16.8519528085082</v>
      </c>
      <c r="P85" s="217">
        <f t="shared" si="14"/>
        <v>0</v>
      </c>
      <c r="Q85" s="214">
        <f t="shared" si="14"/>
        <v>0</v>
      </c>
      <c r="R85" s="217">
        <f t="shared" si="14"/>
        <v>11.248167330596276</v>
      </c>
      <c r="S85" s="214">
        <f t="shared" si="14"/>
        <v>0</v>
      </c>
      <c r="T85" s="217">
        <f t="shared" si="14"/>
        <v>0</v>
      </c>
      <c r="U85" s="214">
        <f t="shared" si="14"/>
        <v>0</v>
      </c>
      <c r="V85" s="217">
        <f t="shared" si="14"/>
        <v>0</v>
      </c>
      <c r="W85" s="214">
        <f t="shared" si="14"/>
        <v>0.3729309504001836</v>
      </c>
      <c r="X85" s="217">
        <f t="shared" si="14"/>
        <v>3.7169431677818374</v>
      </c>
      <c r="Y85" s="214">
        <f t="shared" si="14"/>
        <v>6.9811770312127726</v>
      </c>
      <c r="Z85" s="214">
        <f t="shared" si="14"/>
        <v>3.823281394139438</v>
      </c>
      <c r="AA85" s="217">
        <f t="shared" si="14"/>
        <v>0</v>
      </c>
      <c r="AB85" s="214">
        <f t="shared" si="14"/>
        <v>0.040148679626487764</v>
      </c>
      <c r="AC85" s="217">
        <f t="shared" si="14"/>
        <v>0</v>
      </c>
      <c r="AD85" s="214">
        <f t="shared" si="14"/>
        <v>0</v>
      </c>
      <c r="AE85" s="218">
        <f t="shared" si="14"/>
        <v>0</v>
      </c>
      <c r="AF85" s="214">
        <f t="shared" si="14"/>
        <v>0</v>
      </c>
      <c r="AG85" s="217">
        <f t="shared" si="14"/>
        <v>38.19668518722553</v>
      </c>
      <c r="AH85" s="214">
        <f t="shared" si="14"/>
        <v>0.029963465002332386</v>
      </c>
      <c r="AI85" s="217">
        <f t="shared" si="14"/>
        <v>0</v>
      </c>
      <c r="AJ85" s="214">
        <f t="shared" si="14"/>
        <v>23.331384326440936</v>
      </c>
      <c r="AK85" s="217">
        <f t="shared" si="14"/>
        <v>0</v>
      </c>
      <c r="AL85" s="214">
        <f t="shared" si="14"/>
        <v>0</v>
      </c>
      <c r="AM85" s="217">
        <f t="shared" si="14"/>
        <v>1.7443913463122955</v>
      </c>
      <c r="AN85" s="214">
        <f t="shared" si="14"/>
        <v>0.08734543541173379</v>
      </c>
      <c r="AO85" s="215"/>
      <c r="AP85" s="50">
        <f>AP78/AP$80*100</f>
        <v>6.238662016501505</v>
      </c>
      <c r="AQ85" s="217">
        <f>AQ78/AQ$80*100</f>
        <v>7.343912690358207</v>
      </c>
      <c r="AR85" s="164"/>
      <c r="AS85" s="164"/>
      <c r="AT85" s="22">
        <f>K85</f>
        <v>1.0208937145823418</v>
      </c>
      <c r="AU85" s="233"/>
      <c r="AV85" s="217">
        <f>AV78/AV$80*100</f>
        <v>0.0900159619579269</v>
      </c>
      <c r="AZ85" s="1225"/>
    </row>
    <row r="86" spans="1:52" s="14" customFormat="1" ht="15">
      <c r="A86" s="6"/>
      <c r="B86" s="6"/>
      <c r="C86" s="6" t="s">
        <v>44</v>
      </c>
      <c r="D86" s="6"/>
      <c r="E86" s="6">
        <v>2015</v>
      </c>
      <c r="F86" s="6"/>
      <c r="G86" s="6"/>
      <c r="H86" s="6"/>
      <c r="I86" s="68" t="s">
        <v>138</v>
      </c>
      <c r="J86" s="167"/>
      <c r="K86" s="222">
        <f>K79/K$80*100</f>
        <v>25.24549033179046</v>
      </c>
      <c r="L86" s="239"/>
      <c r="M86" s="223">
        <f aca="true" t="shared" si="15" ref="M86:AN86">M79/M$80*100</f>
        <v>15.430131998179336</v>
      </c>
      <c r="N86" s="224">
        <f t="shared" si="15"/>
        <v>3.1852044631578655</v>
      </c>
      <c r="O86" s="223">
        <f t="shared" si="15"/>
        <v>1.990909884972998</v>
      </c>
      <c r="P86" s="224">
        <f t="shared" si="15"/>
        <v>0</v>
      </c>
      <c r="Q86" s="223">
        <f t="shared" si="15"/>
        <v>2.9997034400948994</v>
      </c>
      <c r="R86" s="224">
        <f t="shared" si="15"/>
        <v>3.601894385371994</v>
      </c>
      <c r="S86" s="223">
        <f t="shared" si="15"/>
        <v>12.030689608208109</v>
      </c>
      <c r="T86" s="224">
        <f t="shared" si="15"/>
        <v>0</v>
      </c>
      <c r="U86" s="223">
        <f t="shared" si="15"/>
        <v>0.9580261369294278</v>
      </c>
      <c r="V86" s="224">
        <f t="shared" si="15"/>
        <v>4.638503939174378</v>
      </c>
      <c r="W86" s="223">
        <f t="shared" si="15"/>
        <v>0</v>
      </c>
      <c r="X86" s="224">
        <f t="shared" si="15"/>
        <v>5.019357260391161</v>
      </c>
      <c r="Y86" s="223">
        <f t="shared" si="15"/>
        <v>11.079342387419587</v>
      </c>
      <c r="Z86" s="223">
        <f t="shared" si="15"/>
        <v>5.166628203282028</v>
      </c>
      <c r="AA86" s="224">
        <f t="shared" si="15"/>
        <v>0</v>
      </c>
      <c r="AB86" s="223">
        <f t="shared" si="15"/>
        <v>6.25995622498802</v>
      </c>
      <c r="AC86" s="224">
        <f t="shared" si="15"/>
        <v>1.29658965551495</v>
      </c>
      <c r="AD86" s="223">
        <f t="shared" si="15"/>
        <v>0</v>
      </c>
      <c r="AE86" s="224">
        <f t="shared" si="15"/>
        <v>5.357727124004798</v>
      </c>
      <c r="AF86" s="223">
        <f t="shared" si="15"/>
        <v>0</v>
      </c>
      <c r="AG86" s="224">
        <f t="shared" si="15"/>
        <v>4.756583192986322</v>
      </c>
      <c r="AH86" s="223">
        <f t="shared" si="15"/>
        <v>7.437408705067572</v>
      </c>
      <c r="AI86" s="224">
        <f t="shared" si="15"/>
        <v>1.0941883286997984</v>
      </c>
      <c r="AJ86" s="223">
        <f t="shared" si="15"/>
        <v>1.8232073566151066</v>
      </c>
      <c r="AK86" s="224">
        <f t="shared" si="15"/>
        <v>0</v>
      </c>
      <c r="AL86" s="223">
        <f t="shared" si="15"/>
        <v>0</v>
      </c>
      <c r="AM86" s="224">
        <f t="shared" si="15"/>
        <v>11.690482355987665</v>
      </c>
      <c r="AN86" s="223">
        <f t="shared" si="15"/>
        <v>5.2384836013649645</v>
      </c>
      <c r="AO86" s="225"/>
      <c r="AP86" s="70">
        <f>AP79/AP$80*100</f>
        <v>4.774085361777348</v>
      </c>
      <c r="AQ86" s="224">
        <f>AQ79/AQ$80*100</f>
        <v>4.448502756249246</v>
      </c>
      <c r="AR86" s="167"/>
      <c r="AS86" s="167"/>
      <c r="AT86" s="69">
        <f>K86</f>
        <v>25.24549033179046</v>
      </c>
      <c r="AU86" s="234"/>
      <c r="AV86" s="224">
        <f>AV79/AV$80*100</f>
        <v>5.398646630529545</v>
      </c>
      <c r="AZ86" s="1225"/>
    </row>
    <row r="87" s="14" customFormat="1" ht="6" customHeight="1">
      <c r="K87" s="15"/>
    </row>
    <row r="88" spans="1:47" s="14" customFormat="1" ht="15">
      <c r="A88" s="14" t="s">
        <v>275</v>
      </c>
      <c r="K88" s="15"/>
      <c r="M88" s="36"/>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row>
    <row r="89" s="14" customFormat="1" ht="8.25" customHeight="1">
      <c r="K89" s="15"/>
    </row>
    <row r="90" s="14" customFormat="1" ht="75" customHeight="1">
      <c r="K90" s="15"/>
    </row>
    <row r="91" spans="11:38" s="14" customFormat="1" ht="15">
      <c r="K91" s="15"/>
      <c r="N91" s="275"/>
      <c r="AK91" s="24"/>
      <c r="AL91" s="24"/>
    </row>
    <row r="92" spans="11:33" s="14" customFormat="1" ht="15">
      <c r="K92" s="15"/>
      <c r="AG92" s="116"/>
    </row>
    <row r="93" ht="15">
      <c r="M93" s="17"/>
    </row>
  </sheetData>
  <sheetProtection/>
  <mergeCells count="13">
    <mergeCell ref="AZ37:AZ38"/>
    <mergeCell ref="AZ40:AZ42"/>
    <mergeCell ref="AZ68:AZ71"/>
    <mergeCell ref="AZ78:AZ79"/>
    <mergeCell ref="AZ21:AZ27"/>
    <mergeCell ref="AZ44:AZ46"/>
    <mergeCell ref="AZ83:AZ86"/>
    <mergeCell ref="AT3:AV3"/>
    <mergeCell ref="G61:G65"/>
    <mergeCell ref="G26:G27"/>
    <mergeCell ref="AZ51:AZ58"/>
    <mergeCell ref="AZ33:AZ35"/>
    <mergeCell ref="AZ29:AZ31"/>
  </mergeCells>
  <hyperlinks>
    <hyperlink ref="AZ37" r:id="rId1" display="http://tinyurl.com/zhrtb5x"/>
    <hyperlink ref="AZ40:AZ42" r:id="rId2" display="http://tinyurl.com/zhrtb5x"/>
  </hyperlinks>
  <printOptions/>
  <pageMargins left="0.5511811023622047" right="0.35433070866141736" top="0.8267716535433072" bottom="0.2362204724409449" header="0.5118110236220472" footer="0.5118110236220472"/>
  <pageSetup fitToHeight="4" fitToWidth="2" horizontalDpi="600" verticalDpi="600" orientation="landscape" pageOrder="overThenDown" paperSize="9" scale="55" r:id="rId3"/>
  <rowBreaks count="1" manualBreakCount="1">
    <brk id="58" max="48" man="1"/>
  </rowBreaks>
  <colBreaks count="1" manualBreakCount="1">
    <brk id="29" max="88" man="1"/>
  </colBreaks>
</worksheet>
</file>

<file path=xl/worksheets/sheet10.xml><?xml version="1.0" encoding="utf-8"?>
<worksheet xmlns="http://schemas.openxmlformats.org/spreadsheetml/2006/main" xmlns:r="http://schemas.openxmlformats.org/officeDocument/2006/relationships">
  <sheetPr>
    <tabColor rgb="FF0070C0"/>
  </sheetPr>
  <dimension ref="A1:AH72"/>
  <sheetViews>
    <sheetView zoomScalePageLayoutView="0" workbookViewId="0" topLeftCell="A1">
      <selection activeCell="AH6" sqref="AH6:AH7"/>
    </sheetView>
  </sheetViews>
  <sheetFormatPr defaultColWidth="9.140625" defaultRowHeight="12.75"/>
  <cols>
    <col min="1" max="1" width="2.7109375" style="573" customWidth="1"/>
    <col min="2" max="2" width="4.421875" style="573" customWidth="1"/>
    <col min="3" max="14" width="6.7109375" style="573" hidden="1" customWidth="1"/>
    <col min="15" max="15" width="10.140625" style="573" hidden="1" customWidth="1"/>
    <col min="16" max="16" width="10.421875" style="573" hidden="1" customWidth="1"/>
    <col min="17" max="17" width="8.7109375" style="573" hidden="1" customWidth="1"/>
    <col min="18" max="20" width="10.421875" style="573" hidden="1" customWidth="1"/>
    <col min="21" max="21" width="7.28125" style="573" customWidth="1"/>
    <col min="22" max="22" width="7.8515625" style="573" customWidth="1"/>
    <col min="23" max="30" width="7.28125" style="573" customWidth="1"/>
    <col min="31" max="31" width="6.28125" style="573" customWidth="1"/>
    <col min="32" max="32" width="5.140625" style="573" customWidth="1"/>
    <col min="33" max="16384" width="9.140625" style="573" customWidth="1"/>
  </cols>
  <sheetData>
    <row r="1" spans="2:32" ht="14.25" customHeight="1">
      <c r="B1" s="570"/>
      <c r="C1" s="571"/>
      <c r="D1" s="571"/>
      <c r="E1" s="571"/>
      <c r="F1" s="571"/>
      <c r="G1" s="571"/>
      <c r="H1" s="571"/>
      <c r="I1" s="571"/>
      <c r="J1" s="571"/>
      <c r="K1" s="571"/>
      <c r="L1" s="571"/>
      <c r="M1" s="571"/>
      <c r="N1" s="571"/>
      <c r="O1" s="571"/>
      <c r="P1" s="571"/>
      <c r="Q1" s="574"/>
      <c r="T1" s="574"/>
      <c r="U1" s="574"/>
      <c r="V1" s="574"/>
      <c r="W1" s="574"/>
      <c r="X1" s="574"/>
      <c r="Y1" s="574"/>
      <c r="Z1" s="574"/>
      <c r="AA1" s="574"/>
      <c r="AB1" s="574"/>
      <c r="AC1" s="574"/>
      <c r="AD1" s="574"/>
      <c r="AF1" s="574" t="s">
        <v>177</v>
      </c>
    </row>
    <row r="2" spans="2:32" s="577" customFormat="1" ht="30" customHeight="1">
      <c r="B2" s="1271" t="s">
        <v>178</v>
      </c>
      <c r="C2" s="1271"/>
      <c r="D2" s="1271"/>
      <c r="E2" s="1271"/>
      <c r="F2" s="1271"/>
      <c r="G2" s="1271"/>
      <c r="H2" s="1271"/>
      <c r="I2" s="1271"/>
      <c r="J2" s="1271"/>
      <c r="K2" s="1271"/>
      <c r="L2" s="1271"/>
      <c r="M2" s="1271"/>
      <c r="N2" s="1271"/>
      <c r="O2" s="1271"/>
      <c r="P2" s="1271"/>
      <c r="Q2" s="1271"/>
      <c r="R2" s="1271"/>
      <c r="S2" s="1271"/>
      <c r="T2" s="1271"/>
      <c r="U2" s="1271"/>
      <c r="V2" s="1271"/>
      <c r="W2" s="1271"/>
      <c r="X2" s="1271"/>
      <c r="Y2" s="1271"/>
      <c r="Z2" s="1271"/>
      <c r="AA2" s="1271"/>
      <c r="AB2" s="1271"/>
      <c r="AC2" s="1271"/>
      <c r="AD2" s="1271"/>
      <c r="AE2" s="1271"/>
      <c r="AF2" s="1271"/>
    </row>
    <row r="3" spans="3:32" ht="10.5" customHeight="1">
      <c r="C3" s="578"/>
      <c r="D3" s="578"/>
      <c r="E3" s="578"/>
      <c r="F3" s="578"/>
      <c r="G3" s="578"/>
      <c r="H3" s="578"/>
      <c r="I3" s="578"/>
      <c r="J3" s="578"/>
      <c r="K3" s="578"/>
      <c r="L3" s="578"/>
      <c r="M3" s="578"/>
      <c r="N3" s="578"/>
      <c r="O3" s="578"/>
      <c r="P3" s="578"/>
      <c r="Q3" s="578"/>
      <c r="R3" s="578"/>
      <c r="X3" s="578" t="s">
        <v>253</v>
      </c>
      <c r="Y3" s="578"/>
      <c r="Z3" s="578"/>
      <c r="AA3" s="578"/>
      <c r="AB3" s="578"/>
      <c r="AC3" s="578"/>
      <c r="AD3" s="578"/>
      <c r="AE3" s="580"/>
      <c r="AF3" s="578"/>
    </row>
    <row r="4" spans="2:34" ht="19.5" customHeight="1">
      <c r="B4" s="581"/>
      <c r="C4" s="582">
        <v>1970</v>
      </c>
      <c r="D4" s="582">
        <v>1980</v>
      </c>
      <c r="E4" s="583">
        <v>1990</v>
      </c>
      <c r="F4" s="583">
        <v>1991</v>
      </c>
      <c r="G4" s="583">
        <v>1992</v>
      </c>
      <c r="H4" s="583">
        <v>1993</v>
      </c>
      <c r="I4" s="583">
        <v>1994</v>
      </c>
      <c r="J4" s="583">
        <v>1995</v>
      </c>
      <c r="K4" s="583">
        <v>1996</v>
      </c>
      <c r="L4" s="583">
        <v>1997</v>
      </c>
      <c r="M4" s="583">
        <v>1998</v>
      </c>
      <c r="N4" s="583">
        <v>1999</v>
      </c>
      <c r="O4" s="583">
        <v>2000</v>
      </c>
      <c r="P4" s="583">
        <v>2001</v>
      </c>
      <c r="Q4" s="583">
        <v>2002</v>
      </c>
      <c r="R4" s="583">
        <v>2003</v>
      </c>
      <c r="S4" s="583">
        <v>2004</v>
      </c>
      <c r="T4" s="583">
        <v>2005</v>
      </c>
      <c r="U4" s="583">
        <v>2006</v>
      </c>
      <c r="V4" s="583">
        <v>2007</v>
      </c>
      <c r="W4" s="583">
        <v>2008</v>
      </c>
      <c r="X4" s="583">
        <v>2009</v>
      </c>
      <c r="Y4" s="583">
        <v>2010</v>
      </c>
      <c r="Z4" s="583">
        <v>2011</v>
      </c>
      <c r="AA4" s="583">
        <v>2012</v>
      </c>
      <c r="AB4" s="583">
        <v>2013</v>
      </c>
      <c r="AC4" s="583">
        <v>2014</v>
      </c>
      <c r="AD4" s="583">
        <v>2015</v>
      </c>
      <c r="AE4" s="584" t="s">
        <v>331</v>
      </c>
      <c r="AF4" s="681"/>
      <c r="AG4" s="313" t="s">
        <v>346</v>
      </c>
      <c r="AH4" s="297"/>
    </row>
    <row r="5" spans="2:34" ht="9.75" customHeight="1">
      <c r="B5" s="581"/>
      <c r="C5" s="682"/>
      <c r="D5" s="682"/>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683" t="s">
        <v>147</v>
      </c>
      <c r="AF5" s="681"/>
      <c r="AG5" s="241" t="s">
        <v>0</v>
      </c>
      <c r="AH5" s="297" t="s">
        <v>327</v>
      </c>
    </row>
    <row r="6" spans="2:34" ht="12.75" customHeight="1">
      <c r="B6" s="591" t="s">
        <v>250</v>
      </c>
      <c r="C6" s="684" t="s">
        <v>99</v>
      </c>
      <c r="D6" s="684" t="s">
        <v>99</v>
      </c>
      <c r="E6" s="685" t="s">
        <v>99</v>
      </c>
      <c r="F6" s="685" t="s">
        <v>99</v>
      </c>
      <c r="G6" s="685" t="s">
        <v>99</v>
      </c>
      <c r="H6" s="685" t="s">
        <v>99</v>
      </c>
      <c r="I6" s="685" t="s">
        <v>99</v>
      </c>
      <c r="J6" s="686">
        <v>514.7284657948057</v>
      </c>
      <c r="K6" s="686">
        <v>519.3074723402809</v>
      </c>
      <c r="L6" s="686">
        <v>522.4775718300093</v>
      </c>
      <c r="M6" s="686">
        <v>525.5552769022315</v>
      </c>
      <c r="N6" s="686">
        <v>527.7253265321467</v>
      </c>
      <c r="O6" s="686">
        <v>551.2284300559636</v>
      </c>
      <c r="P6" s="686">
        <v>550.4064586271504</v>
      </c>
      <c r="Q6" s="686">
        <v>541.8320172296691</v>
      </c>
      <c r="R6" s="686">
        <v>548.5824828345259</v>
      </c>
      <c r="S6" s="686">
        <v>549.6854444180372</v>
      </c>
      <c r="T6" s="686">
        <v>548.5637472468998</v>
      </c>
      <c r="U6" s="686">
        <v>546.3121909646682</v>
      </c>
      <c r="V6" s="686">
        <v>558.7420955772774</v>
      </c>
      <c r="W6" s="686">
        <v>569.1919313762203</v>
      </c>
      <c r="X6" s="686">
        <v>547.0311654889523</v>
      </c>
      <c r="Y6" s="686">
        <v>542.3330893764933</v>
      </c>
      <c r="Z6" s="686">
        <v>544.2979426212156</v>
      </c>
      <c r="AA6" s="686">
        <v>539.9232643906546</v>
      </c>
      <c r="AB6" s="686">
        <v>537.0604617787336</v>
      </c>
      <c r="AC6" s="686">
        <v>532.3527116705428</v>
      </c>
      <c r="AD6" s="687">
        <v>543.4884075007564</v>
      </c>
      <c r="AE6" s="596">
        <v>2.0917890688054115</v>
      </c>
      <c r="AF6" s="591" t="s">
        <v>250</v>
      </c>
      <c r="AG6" s="298">
        <v>508.19111599999997</v>
      </c>
      <c r="AH6" s="315">
        <f>AD6/AG6*1000</f>
        <v>1069.45672678929</v>
      </c>
    </row>
    <row r="7" spans="1:34" ht="12.75" customHeight="1">
      <c r="A7" s="597"/>
      <c r="B7" s="598" t="s">
        <v>89</v>
      </c>
      <c r="C7" s="603">
        <v>272.649</v>
      </c>
      <c r="D7" s="603">
        <v>351.629</v>
      </c>
      <c r="E7" s="688">
        <v>379.30367255537925</v>
      </c>
      <c r="F7" s="688">
        <v>379.59051875934784</v>
      </c>
      <c r="G7" s="688">
        <v>379.91211337588805</v>
      </c>
      <c r="H7" s="688">
        <v>381.3524385044322</v>
      </c>
      <c r="I7" s="688">
        <v>381.16198104403657</v>
      </c>
      <c r="J7" s="688">
        <v>389.5220507948057</v>
      </c>
      <c r="K7" s="688">
        <v>396.9328543402807</v>
      </c>
      <c r="L7" s="688">
        <v>400.7667048300093</v>
      </c>
      <c r="M7" s="688">
        <v>408.30732990223146</v>
      </c>
      <c r="N7" s="688">
        <v>410.5345435321467</v>
      </c>
      <c r="O7" s="688">
        <v>409.37451955596373</v>
      </c>
      <c r="P7" s="688">
        <v>411.4887644071504</v>
      </c>
      <c r="Q7" s="688">
        <v>404.9020358596691</v>
      </c>
      <c r="R7" s="688">
        <v>412.4548384345259</v>
      </c>
      <c r="S7" s="688">
        <v>416.8064281880372</v>
      </c>
      <c r="T7" s="688">
        <v>414.3605957868998</v>
      </c>
      <c r="U7" s="688">
        <v>412.4994609646682</v>
      </c>
      <c r="V7" s="688">
        <v>425.60805357727736</v>
      </c>
      <c r="W7" s="688">
        <v>428.7786267762202</v>
      </c>
      <c r="X7" s="688">
        <v>422.4120359945417</v>
      </c>
      <c r="Y7" s="688">
        <v>420.23369187649314</v>
      </c>
      <c r="Z7" s="688">
        <v>424.6397859505485</v>
      </c>
      <c r="AA7" s="688">
        <v>419.6332880641024</v>
      </c>
      <c r="AB7" s="688">
        <v>417.5084512779006</v>
      </c>
      <c r="AC7" s="688">
        <v>407.0416030273888</v>
      </c>
      <c r="AD7" s="689">
        <v>419.3600375660094</v>
      </c>
      <c r="AE7" s="603">
        <v>3.0263330448292436</v>
      </c>
      <c r="AF7" s="598" t="s">
        <v>89</v>
      </c>
      <c r="AG7" s="298">
        <v>403.528101</v>
      </c>
      <c r="AH7" s="315">
        <f aca="true" t="shared" si="0" ref="AH7:AH36">AD7/AG7*1000</f>
        <v>1039.233789485232</v>
      </c>
    </row>
    <row r="8" spans="1:34" ht="12.75" customHeight="1">
      <c r="A8" s="597"/>
      <c r="B8" s="604" t="s">
        <v>251</v>
      </c>
      <c r="C8" s="690"/>
      <c r="D8" s="690"/>
      <c r="E8" s="691"/>
      <c r="F8" s="692"/>
      <c r="G8" s="692"/>
      <c r="H8" s="692"/>
      <c r="I8" s="692"/>
      <c r="J8" s="691">
        <v>125.20641500000005</v>
      </c>
      <c r="K8" s="691">
        <v>122.37461800000023</v>
      </c>
      <c r="L8" s="691">
        <v>121.71086700000001</v>
      </c>
      <c r="M8" s="691">
        <v>117.24794700000007</v>
      </c>
      <c r="N8" s="691">
        <v>117.19078300000001</v>
      </c>
      <c r="O8" s="691">
        <v>141.85391049999987</v>
      </c>
      <c r="P8" s="691">
        <v>138.91769422</v>
      </c>
      <c r="Q8" s="691">
        <v>136.92998136999995</v>
      </c>
      <c r="R8" s="691">
        <v>136.12764439999995</v>
      </c>
      <c r="S8" s="691">
        <v>132.87901622999993</v>
      </c>
      <c r="T8" s="691">
        <v>134.20315145999996</v>
      </c>
      <c r="U8" s="691">
        <v>133.81273</v>
      </c>
      <c r="V8" s="691">
        <v>133.13404200000002</v>
      </c>
      <c r="W8" s="691">
        <v>140.41330460000006</v>
      </c>
      <c r="X8" s="691">
        <v>124.61912949441057</v>
      </c>
      <c r="Y8" s="691">
        <v>122.09939750000012</v>
      </c>
      <c r="Z8" s="691">
        <v>119.6581566706671</v>
      </c>
      <c r="AA8" s="691">
        <v>120.28997632655222</v>
      </c>
      <c r="AB8" s="691">
        <v>119.55201050083303</v>
      </c>
      <c r="AC8" s="691">
        <v>125.311108643154</v>
      </c>
      <c r="AD8" s="693">
        <v>124.12836993474696</v>
      </c>
      <c r="AE8" s="609">
        <v>-0.9438418678228402</v>
      </c>
      <c r="AF8" s="604" t="s">
        <v>251</v>
      </c>
      <c r="AG8" s="298">
        <v>104.66301499999997</v>
      </c>
      <c r="AH8" s="315">
        <f t="shared" si="0"/>
        <v>1185.9812172881411</v>
      </c>
    </row>
    <row r="9" spans="1:34" s="627" customFormat="1" ht="12.75" customHeight="1">
      <c r="A9" s="619"/>
      <c r="B9" s="598" t="s">
        <v>81</v>
      </c>
      <c r="C9" s="614">
        <v>9.1</v>
      </c>
      <c r="D9" s="614">
        <v>9.8</v>
      </c>
      <c r="E9" s="616">
        <v>8.192984741832733</v>
      </c>
      <c r="F9" s="616">
        <v>8.170867841982773</v>
      </c>
      <c r="G9" s="616">
        <v>8.338078415562842</v>
      </c>
      <c r="H9" s="616">
        <v>8.577886975268642</v>
      </c>
      <c r="I9" s="616">
        <v>8.736271342619089</v>
      </c>
      <c r="J9" s="616">
        <v>8.971114336525325</v>
      </c>
      <c r="K9" s="616">
        <v>8.993439770994408</v>
      </c>
      <c r="L9" s="616">
        <v>9.071136073440593</v>
      </c>
      <c r="M9" s="616">
        <v>9.240753404456093</v>
      </c>
      <c r="N9" s="616">
        <v>9.251280045109212</v>
      </c>
      <c r="O9" s="616">
        <v>9.537900259105012</v>
      </c>
      <c r="P9" s="616">
        <v>9.493597151560785</v>
      </c>
      <c r="Q9" s="616">
        <v>9.606299966538835</v>
      </c>
      <c r="R9" s="616">
        <v>9.782600905796183</v>
      </c>
      <c r="S9" s="616">
        <v>9.909870909328074</v>
      </c>
      <c r="T9" s="616">
        <v>9.658124709230014</v>
      </c>
      <c r="U9" s="616">
        <v>9.563670932805143</v>
      </c>
      <c r="V9" s="616">
        <v>10.139828761267628</v>
      </c>
      <c r="W9" s="616">
        <v>9.904487885450676</v>
      </c>
      <c r="X9" s="616">
        <v>9.183516929671056</v>
      </c>
      <c r="Y9" s="616">
        <v>9.951612714295887</v>
      </c>
      <c r="Z9" s="616">
        <v>9.90355966348199</v>
      </c>
      <c r="AA9" s="616">
        <v>9.868701515196832</v>
      </c>
      <c r="AB9" s="827">
        <v>9.896578185510519</v>
      </c>
      <c r="AC9" s="616">
        <v>10.136862897278643</v>
      </c>
      <c r="AD9" s="704">
        <v>10.2954148601556</v>
      </c>
      <c r="AE9" s="640">
        <f aca="true" t="shared" si="1" ref="AE9:AE44">AD9/AC9*100-100</f>
        <v>1.5641127287962178</v>
      </c>
      <c r="AF9" s="598" t="s">
        <v>81</v>
      </c>
      <c r="AG9" s="298">
        <v>8.584926</v>
      </c>
      <c r="AH9" s="315">
        <f t="shared" si="0"/>
        <v>1199.243285283484</v>
      </c>
    </row>
    <row r="10" spans="1:34" ht="12.75" customHeight="1">
      <c r="A10" s="597"/>
      <c r="B10" s="610" t="s">
        <v>60</v>
      </c>
      <c r="C10" s="611">
        <v>12.153</v>
      </c>
      <c r="D10" s="611">
        <v>14.422</v>
      </c>
      <c r="E10" s="624">
        <v>11.371379813302717</v>
      </c>
      <c r="F10" s="624">
        <v>11.928856672785459</v>
      </c>
      <c r="G10" s="624">
        <v>12.208590988011615</v>
      </c>
      <c r="H10" s="624">
        <v>12.449307712355173</v>
      </c>
      <c r="I10" s="624">
        <v>12.920557778575041</v>
      </c>
      <c r="J10" s="624">
        <v>13.1163927490109</v>
      </c>
      <c r="K10" s="624">
        <v>13.048036161999931</v>
      </c>
      <c r="L10" s="638">
        <v>13.062294037072977</v>
      </c>
      <c r="M10" s="638">
        <v>13.264206083397962</v>
      </c>
      <c r="N10" s="639">
        <v>13.441653719101833</v>
      </c>
      <c r="O10" s="638">
        <v>13.298261168538518</v>
      </c>
      <c r="P10" s="638">
        <v>13.785338279369089</v>
      </c>
      <c r="Q10" s="638">
        <v>14.959423828844177</v>
      </c>
      <c r="R10" s="638">
        <v>16.483572017775955</v>
      </c>
      <c r="S10" s="638">
        <v>17.1429920041393</v>
      </c>
      <c r="T10" s="638">
        <v>17.51504805548251</v>
      </c>
      <c r="U10" s="638">
        <v>18.078005341336816</v>
      </c>
      <c r="V10" s="638">
        <v>18.729636998103302</v>
      </c>
      <c r="W10" s="638">
        <v>17.61</v>
      </c>
      <c r="X10" s="638">
        <v>17.63</v>
      </c>
      <c r="Y10" s="638">
        <v>17.38</v>
      </c>
      <c r="Z10" s="638">
        <v>17.67</v>
      </c>
      <c r="AA10" s="638">
        <v>17.91</v>
      </c>
      <c r="AB10" s="638">
        <v>16.1743950094485</v>
      </c>
      <c r="AC10" s="638">
        <v>15.789431240535</v>
      </c>
      <c r="AD10" s="694">
        <v>15.1660673711109</v>
      </c>
      <c r="AE10" s="613">
        <f t="shared" si="1"/>
        <v>-3.9479817855869612</v>
      </c>
      <c r="AF10" s="610" t="s">
        <v>60</v>
      </c>
      <c r="AG10" s="298">
        <v>11.258434</v>
      </c>
      <c r="AH10" s="315">
        <f t="shared" si="0"/>
        <v>1347.0849827880947</v>
      </c>
    </row>
    <row r="11" spans="1:34" s="627" customFormat="1" ht="12.75" customHeight="1">
      <c r="A11" s="619"/>
      <c r="B11" s="598" t="s">
        <v>101</v>
      </c>
      <c r="C11" s="614">
        <v>12.235</v>
      </c>
      <c r="D11" s="614">
        <v>21.614</v>
      </c>
      <c r="E11" s="615">
        <v>25.955</v>
      </c>
      <c r="F11" s="615">
        <v>19.026</v>
      </c>
      <c r="G11" s="615">
        <v>16.957</v>
      </c>
      <c r="H11" s="615">
        <v>14.062</v>
      </c>
      <c r="I11" s="642">
        <v>12.817</v>
      </c>
      <c r="J11" s="628">
        <v>11.566</v>
      </c>
      <c r="K11" s="628">
        <v>10.577</v>
      </c>
      <c r="L11" s="628">
        <v>11.863</v>
      </c>
      <c r="M11" s="628">
        <v>12.764</v>
      </c>
      <c r="N11" s="826">
        <v>14.741</v>
      </c>
      <c r="O11" s="628">
        <v>14.587</v>
      </c>
      <c r="P11" s="628">
        <v>14.963</v>
      </c>
      <c r="Q11" s="628">
        <v>16.985</v>
      </c>
      <c r="R11" s="628">
        <v>14.4</v>
      </c>
      <c r="S11" s="628">
        <v>13.029</v>
      </c>
      <c r="T11" s="615">
        <v>13.688</v>
      </c>
      <c r="U11" s="615">
        <v>12.942</v>
      </c>
      <c r="V11" s="615">
        <v>13.571</v>
      </c>
      <c r="W11" s="615">
        <v>13.839</v>
      </c>
      <c r="X11" s="615">
        <v>10.451</v>
      </c>
      <c r="Y11" s="615">
        <v>10.613</v>
      </c>
      <c r="Z11" s="615">
        <v>10.843</v>
      </c>
      <c r="AA11" s="615">
        <v>10.482</v>
      </c>
      <c r="AB11" s="615">
        <v>10.317</v>
      </c>
      <c r="AC11" s="615">
        <v>11.477</v>
      </c>
      <c r="AD11" s="695">
        <v>12.508</v>
      </c>
      <c r="AE11" s="640">
        <f t="shared" si="1"/>
        <v>8.983183758821994</v>
      </c>
      <c r="AF11" s="598" t="s">
        <v>101</v>
      </c>
      <c r="AG11" s="298">
        <v>7.202198</v>
      </c>
      <c r="AH11" s="315">
        <f t="shared" si="0"/>
        <v>1736.6920487329005</v>
      </c>
    </row>
    <row r="12" spans="1:34" ht="12.75" customHeight="1">
      <c r="A12" s="597"/>
      <c r="B12" s="610" t="s">
        <v>71</v>
      </c>
      <c r="C12" s="630" t="s">
        <v>99</v>
      </c>
      <c r="D12" s="630" t="s">
        <v>99</v>
      </c>
      <c r="E12" s="622" t="s">
        <v>99</v>
      </c>
      <c r="F12" s="622" t="s">
        <v>99</v>
      </c>
      <c r="G12" s="622" t="s">
        <v>99</v>
      </c>
      <c r="H12" s="622" t="s">
        <v>99</v>
      </c>
      <c r="I12" s="622" t="s">
        <v>99</v>
      </c>
      <c r="J12" s="623">
        <v>1</v>
      </c>
      <c r="K12" s="623">
        <v>1.04</v>
      </c>
      <c r="L12" s="623">
        <v>1.05</v>
      </c>
      <c r="M12" s="623">
        <v>1.06</v>
      </c>
      <c r="N12" s="623">
        <v>1.08</v>
      </c>
      <c r="O12" s="623">
        <v>1.12</v>
      </c>
      <c r="P12" s="623">
        <v>1.16</v>
      </c>
      <c r="Q12" s="623">
        <v>1.2</v>
      </c>
      <c r="R12" s="623">
        <v>1.28</v>
      </c>
      <c r="S12" s="623">
        <v>1.24</v>
      </c>
      <c r="T12" s="623">
        <v>1.26</v>
      </c>
      <c r="U12" s="623">
        <v>1.28</v>
      </c>
      <c r="V12" s="623">
        <v>1.3</v>
      </c>
      <c r="W12" s="623">
        <v>1.33</v>
      </c>
      <c r="X12" s="623">
        <v>1.2832081221716343</v>
      </c>
      <c r="Y12" s="623">
        <v>1.29</v>
      </c>
      <c r="Z12" s="623">
        <v>1.325042573063031</v>
      </c>
      <c r="AA12" s="623">
        <v>1.3655790761715423</v>
      </c>
      <c r="AB12" s="623">
        <v>1.3463918995498854</v>
      </c>
      <c r="AC12" s="623">
        <v>1.3463918995498854</v>
      </c>
      <c r="AD12" s="707">
        <v>1.426717257084444</v>
      </c>
      <c r="AE12" s="636">
        <f t="shared" si="1"/>
        <v>5.965971539297897</v>
      </c>
      <c r="AF12" s="610" t="s">
        <v>71</v>
      </c>
      <c r="AG12" s="298">
        <v>0.847008</v>
      </c>
      <c r="AH12" s="315">
        <f t="shared" si="0"/>
        <v>1684.4200492609798</v>
      </c>
    </row>
    <row r="13" spans="1:34" s="627" customFormat="1" ht="12.75" customHeight="1">
      <c r="A13" s="619"/>
      <c r="B13" s="610" t="s">
        <v>61</v>
      </c>
      <c r="C13" s="696"/>
      <c r="D13" s="825"/>
      <c r="E13" s="697"/>
      <c r="F13" s="624" t="s">
        <v>99</v>
      </c>
      <c r="G13" s="624" t="s">
        <v>99</v>
      </c>
      <c r="H13" s="624">
        <v>13.617</v>
      </c>
      <c r="I13" s="624">
        <v>11.523</v>
      </c>
      <c r="J13" s="624">
        <f>11.7632+1.1693+5.668</f>
        <v>18.6005</v>
      </c>
      <c r="K13" s="624">
        <f>9.7292+1.2833+5.59</f>
        <v>16.6025</v>
      </c>
      <c r="L13" s="624">
        <f>8.804+1.2948+5.512</f>
        <v>15.610800000000001</v>
      </c>
      <c r="M13" s="624">
        <f>8.6809+1.234+5.4582</f>
        <v>15.373099999999999</v>
      </c>
      <c r="N13" s="624">
        <f>8.649+1.2615+5.5333</f>
        <v>15.4438</v>
      </c>
      <c r="O13" s="624">
        <f>9.3513+1.221+5.599</f>
        <v>16.171300000000002</v>
      </c>
      <c r="P13" s="624">
        <f>10.6081+1.2103+5.7009</f>
        <v>17.5193</v>
      </c>
      <c r="Q13" s="624">
        <f>9.6675+1.1339+5.7291</f>
        <v>16.5305</v>
      </c>
      <c r="R13" s="624">
        <f>9.4486+1.1103+5.8659</f>
        <v>16.4248</v>
      </c>
      <c r="S13" s="624">
        <f>8.5162+1.1043+5.5975</f>
        <v>15.218</v>
      </c>
      <c r="T13" s="624">
        <f>8.6073+7.0006</f>
        <v>15.6079</v>
      </c>
      <c r="U13" s="624">
        <f>9.5012+6.5139</f>
        <v>16.0151</v>
      </c>
      <c r="V13" s="624">
        <f>9.5188+6.6021</f>
        <v>16.1209</v>
      </c>
      <c r="W13" s="624">
        <f>9.3691+6.7378</f>
        <v>16.1069</v>
      </c>
      <c r="X13" s="624">
        <v>16.062</v>
      </c>
      <c r="Y13" s="624">
        <f>10.3357+1.0618+5.5581</f>
        <v>16.955599999999997</v>
      </c>
      <c r="Z13" s="624">
        <f>1.0184+5.5477+9.2667</f>
        <v>15.832799999999999</v>
      </c>
      <c r="AA13" s="624">
        <f>9.0154+0.8681+5.4433</f>
        <v>15.326799999999999</v>
      </c>
      <c r="AB13" s="624">
        <f>0.9886+5.7067+9.0256</f>
        <v>15.7209</v>
      </c>
      <c r="AC13" s="624">
        <f>10.0102+0.9721+5.7406</f>
        <v>16.7229</v>
      </c>
      <c r="AD13" s="699">
        <f>9.9959+0.856+5.411</f>
        <v>16.262900000000002</v>
      </c>
      <c r="AE13" s="626">
        <f t="shared" si="1"/>
        <v>-2.7507190738448344</v>
      </c>
      <c r="AF13" s="610" t="s">
        <v>61</v>
      </c>
      <c r="AG13" s="298">
        <v>10.538275</v>
      </c>
      <c r="AH13" s="315">
        <f t="shared" si="0"/>
        <v>1543.2222066704467</v>
      </c>
    </row>
    <row r="14" spans="1:34" ht="12.75" customHeight="1">
      <c r="A14" s="597"/>
      <c r="B14" s="610" t="s">
        <v>63</v>
      </c>
      <c r="C14" s="701">
        <v>67.7</v>
      </c>
      <c r="D14" s="701">
        <v>90</v>
      </c>
      <c r="E14" s="624">
        <v>73.1</v>
      </c>
      <c r="F14" s="624">
        <v>70.3</v>
      </c>
      <c r="G14" s="624">
        <v>69.9</v>
      </c>
      <c r="H14" s="624">
        <v>70.2</v>
      </c>
      <c r="I14" s="624">
        <v>68.6</v>
      </c>
      <c r="J14" s="624">
        <v>68.5</v>
      </c>
      <c r="K14" s="624">
        <v>68.3</v>
      </c>
      <c r="L14" s="624">
        <v>68</v>
      </c>
      <c r="M14" s="624">
        <v>68.2</v>
      </c>
      <c r="N14" s="624">
        <v>68</v>
      </c>
      <c r="O14" s="624">
        <v>69</v>
      </c>
      <c r="P14" s="624">
        <v>68.7</v>
      </c>
      <c r="Q14" s="624">
        <v>67.5</v>
      </c>
      <c r="R14" s="624">
        <v>67.5</v>
      </c>
      <c r="S14" s="624">
        <f>40.359+27.447</f>
        <v>67.806</v>
      </c>
      <c r="T14" s="624">
        <f>40.365+26.697</f>
        <v>67.062</v>
      </c>
      <c r="U14" s="624">
        <f>38.542+1.495+26.147</f>
        <v>66.184</v>
      </c>
      <c r="V14" s="624">
        <f>40.141+25.246</f>
        <v>65.387</v>
      </c>
      <c r="W14" s="624">
        <f>39.479+24.113</f>
        <v>63.592</v>
      </c>
      <c r="X14" s="624">
        <v>62.097</v>
      </c>
      <c r="Y14" s="624">
        <v>61.767</v>
      </c>
      <c r="Z14" s="624">
        <v>61.4</v>
      </c>
      <c r="AA14" s="624">
        <v>59.4</v>
      </c>
      <c r="AB14" s="624">
        <v>60.5</v>
      </c>
      <c r="AC14" s="624">
        <v>62.2</v>
      </c>
      <c r="AD14" s="699">
        <v>65.1</v>
      </c>
      <c r="AE14" s="632">
        <f t="shared" si="1"/>
        <v>4.662379421221857</v>
      </c>
      <c r="AF14" s="610" t="s">
        <v>63</v>
      </c>
      <c r="AG14" s="314">
        <v>81.174</v>
      </c>
      <c r="AH14" s="315">
        <f t="shared" si="0"/>
        <v>801.9809298543868</v>
      </c>
    </row>
    <row r="15" spans="1:34" ht="12.75" customHeight="1">
      <c r="A15" s="597"/>
      <c r="B15" s="598" t="s">
        <v>14</v>
      </c>
      <c r="C15" s="614">
        <v>3.898</v>
      </c>
      <c r="D15" s="614">
        <v>4.611</v>
      </c>
      <c r="E15" s="615">
        <v>6.443</v>
      </c>
      <c r="F15" s="615">
        <v>6.394</v>
      </c>
      <c r="G15" s="615">
        <v>6.421</v>
      </c>
      <c r="H15" s="615">
        <v>6.601</v>
      </c>
      <c r="I15" s="615">
        <v>6.745</v>
      </c>
      <c r="J15" s="615">
        <v>7.284</v>
      </c>
      <c r="K15" s="615">
        <v>7.717</v>
      </c>
      <c r="L15" s="615">
        <v>7.596</v>
      </c>
      <c r="M15" s="615">
        <v>7.543</v>
      </c>
      <c r="N15" s="615">
        <v>7.397</v>
      </c>
      <c r="O15" s="643">
        <v>7.418</v>
      </c>
      <c r="P15" s="615">
        <v>7.332</v>
      </c>
      <c r="Q15" s="615">
        <v>7.295</v>
      </c>
      <c r="R15" s="615">
        <v>7.272</v>
      </c>
      <c r="S15" s="615">
        <v>7.3</v>
      </c>
      <c r="T15" s="615">
        <v>7.169</v>
      </c>
      <c r="U15" s="615">
        <v>7.054</v>
      </c>
      <c r="V15" s="615">
        <v>6.861</v>
      </c>
      <c r="W15" s="615">
        <v>6.766</v>
      </c>
      <c r="X15" s="615">
        <v>6.776</v>
      </c>
      <c r="Y15" s="615">
        <v>6.849</v>
      </c>
      <c r="Z15" s="615">
        <v>6.697</v>
      </c>
      <c r="AA15" s="615">
        <v>6.491</v>
      </c>
      <c r="AB15" s="615">
        <v>6.498</v>
      </c>
      <c r="AC15" s="615">
        <v>6.615</v>
      </c>
      <c r="AD15" s="695">
        <v>6.914</v>
      </c>
      <c r="AE15" s="700">
        <f t="shared" si="1"/>
        <v>4.520030234315925</v>
      </c>
      <c r="AF15" s="598" t="s">
        <v>14</v>
      </c>
      <c r="AG15" s="298">
        <v>5.659715</v>
      </c>
      <c r="AH15" s="315">
        <f t="shared" si="0"/>
        <v>1221.616282798692</v>
      </c>
    </row>
    <row r="16" spans="1:34" ht="12.75" customHeight="1">
      <c r="A16" s="597"/>
      <c r="B16" s="598" t="s">
        <v>64</v>
      </c>
      <c r="C16" s="614">
        <v>2.61</v>
      </c>
      <c r="D16" s="614">
        <v>3.66</v>
      </c>
      <c r="E16" s="615">
        <v>4.45</v>
      </c>
      <c r="F16" s="615">
        <v>3.83</v>
      </c>
      <c r="G16" s="615">
        <v>2.97</v>
      </c>
      <c r="H16" s="615">
        <v>2.54</v>
      </c>
      <c r="I16" s="615">
        <v>2.35</v>
      </c>
      <c r="J16" s="615">
        <v>2.048</v>
      </c>
      <c r="K16" s="615">
        <v>2.091</v>
      </c>
      <c r="L16" s="615">
        <v>2.238</v>
      </c>
      <c r="M16" s="615">
        <v>2.265</v>
      </c>
      <c r="N16" s="615">
        <v>2.223</v>
      </c>
      <c r="O16" s="615">
        <v>2.63</v>
      </c>
      <c r="P16" s="615">
        <v>2.461</v>
      </c>
      <c r="Q16" s="615">
        <v>2.33</v>
      </c>
      <c r="R16" s="615">
        <v>2.297</v>
      </c>
      <c r="S16" s="615">
        <v>2.469</v>
      </c>
      <c r="T16" s="615">
        <v>2.716</v>
      </c>
      <c r="U16" s="615">
        <v>2.881</v>
      </c>
      <c r="V16" s="615">
        <v>2.677</v>
      </c>
      <c r="W16" s="615">
        <v>2.453</v>
      </c>
      <c r="X16" s="615">
        <v>2.114</v>
      </c>
      <c r="Y16" s="615">
        <f>2.061</f>
        <v>2.061</v>
      </c>
      <c r="Z16" s="615">
        <v>2.0706943</v>
      </c>
      <c r="AA16" s="615">
        <v>2.2335885</v>
      </c>
      <c r="AB16" s="615">
        <f>2.4146148</f>
        <v>2.4146148</v>
      </c>
      <c r="AC16" s="615">
        <v>2.3926965</v>
      </c>
      <c r="AD16" s="695">
        <v>3.1464145</v>
      </c>
      <c r="AE16" s="640">
        <f t="shared" si="1"/>
        <v>31.50077747010539</v>
      </c>
      <c r="AF16" s="598" t="s">
        <v>64</v>
      </c>
      <c r="AG16" s="314">
        <v>1.313271</v>
      </c>
      <c r="AH16" s="315">
        <f t="shared" si="0"/>
        <v>2395.8607933929857</v>
      </c>
    </row>
    <row r="17" spans="1:34" ht="16.5" customHeight="1">
      <c r="A17" s="597"/>
      <c r="B17" s="598" t="s">
        <v>15</v>
      </c>
      <c r="C17" s="614">
        <v>9.425</v>
      </c>
      <c r="D17" s="614">
        <v>15.621</v>
      </c>
      <c r="E17" s="615">
        <v>17.718</v>
      </c>
      <c r="F17" s="615">
        <v>17.968</v>
      </c>
      <c r="G17" s="615">
        <v>18.549</v>
      </c>
      <c r="H17" s="615">
        <v>18.922</v>
      </c>
      <c r="I17" s="615">
        <v>19.578</v>
      </c>
      <c r="J17" s="615">
        <v>20.221</v>
      </c>
      <c r="K17" s="615">
        <v>20.449</v>
      </c>
      <c r="L17" s="615">
        <v>20.695</v>
      </c>
      <c r="M17" s="615">
        <v>21.2</v>
      </c>
      <c r="N17" s="615">
        <v>21.5</v>
      </c>
      <c r="O17" s="615">
        <v>21.7</v>
      </c>
      <c r="P17" s="616">
        <v>21.8</v>
      </c>
      <c r="Q17" s="616">
        <v>22</v>
      </c>
      <c r="R17" s="616">
        <v>21.95</v>
      </c>
      <c r="S17" s="616">
        <v>21.6</v>
      </c>
      <c r="T17" s="616">
        <v>21.7</v>
      </c>
      <c r="U17" s="616">
        <v>21.8</v>
      </c>
      <c r="V17" s="616">
        <v>22</v>
      </c>
      <c r="W17" s="616">
        <v>22.1</v>
      </c>
      <c r="X17" s="616">
        <v>20.919043007800454</v>
      </c>
      <c r="Y17" s="616">
        <v>21.1</v>
      </c>
      <c r="Z17" s="616">
        <v>21.161722909489495</v>
      </c>
      <c r="AA17" s="616">
        <v>21.09610045397415</v>
      </c>
      <c r="AB17" s="616">
        <v>21.028128543117838</v>
      </c>
      <c r="AC17" s="711">
        <v>21.006120944621784</v>
      </c>
      <c r="AD17" s="704">
        <v>21.148271968974477</v>
      </c>
      <c r="AE17" s="617">
        <f t="shared" si="1"/>
        <v>0.6767123960080141</v>
      </c>
      <c r="AF17" s="598" t="s">
        <v>15</v>
      </c>
      <c r="AG17" s="298">
        <v>10.812467</v>
      </c>
      <c r="AH17" s="315">
        <f t="shared" si="0"/>
        <v>1955.9155157629132</v>
      </c>
    </row>
    <row r="18" spans="1:34" ht="12.75" customHeight="1">
      <c r="A18" s="597"/>
      <c r="B18" s="610" t="s">
        <v>66</v>
      </c>
      <c r="C18" s="611">
        <v>20.911</v>
      </c>
      <c r="D18" s="611">
        <v>28.099</v>
      </c>
      <c r="E18" s="638">
        <v>33.36</v>
      </c>
      <c r="F18" s="638">
        <v>35.45</v>
      </c>
      <c r="G18" s="638">
        <v>35.52</v>
      </c>
      <c r="H18" s="638">
        <v>37.09</v>
      </c>
      <c r="I18" s="638">
        <v>38.13</v>
      </c>
      <c r="J18" s="638">
        <v>39.6</v>
      </c>
      <c r="K18" s="639">
        <v>44</v>
      </c>
      <c r="L18" s="638">
        <v>43.97</v>
      </c>
      <c r="M18" s="638">
        <v>49.4</v>
      </c>
      <c r="N18" s="638">
        <v>50</v>
      </c>
      <c r="O18" s="705">
        <v>50.278</v>
      </c>
      <c r="P18" s="638">
        <v>51.712</v>
      </c>
      <c r="Q18" s="638">
        <v>50.053</v>
      </c>
      <c r="R18" s="638">
        <v>49.209</v>
      </c>
      <c r="S18" s="638">
        <v>53.458</v>
      </c>
      <c r="T18" s="638">
        <v>53.176</v>
      </c>
      <c r="U18" s="638">
        <v>49.369</v>
      </c>
      <c r="V18" s="638">
        <v>59.163</v>
      </c>
      <c r="W18" s="638">
        <v>60.864</v>
      </c>
      <c r="X18" s="638">
        <v>57.043</v>
      </c>
      <c r="Y18" s="638">
        <v>50.902</v>
      </c>
      <c r="Z18" s="638">
        <v>55.742</v>
      </c>
      <c r="AA18" s="638">
        <v>54.531</v>
      </c>
      <c r="AB18" s="638">
        <v>53.836</v>
      </c>
      <c r="AC18" s="638">
        <v>39.469</v>
      </c>
      <c r="AD18" s="694">
        <v>46.389</v>
      </c>
      <c r="AE18" s="613">
        <f t="shared" si="1"/>
        <v>17.532747219336713</v>
      </c>
      <c r="AF18" s="610" t="s">
        <v>66</v>
      </c>
      <c r="AG18" s="298">
        <v>46.439864</v>
      </c>
      <c r="AH18" s="315">
        <f t="shared" si="0"/>
        <v>998.904734087938</v>
      </c>
    </row>
    <row r="19" spans="1:34" ht="12.75" customHeight="1">
      <c r="A19" s="597"/>
      <c r="B19" s="598" t="s">
        <v>87</v>
      </c>
      <c r="C19" s="614">
        <v>7.5</v>
      </c>
      <c r="D19" s="614">
        <v>8.5</v>
      </c>
      <c r="E19" s="615">
        <v>8.5</v>
      </c>
      <c r="F19" s="615">
        <v>8.1</v>
      </c>
      <c r="G19" s="615">
        <v>8</v>
      </c>
      <c r="H19" s="615">
        <v>8</v>
      </c>
      <c r="I19" s="615">
        <v>8</v>
      </c>
      <c r="J19" s="615">
        <v>8</v>
      </c>
      <c r="K19" s="615">
        <v>8</v>
      </c>
      <c r="L19" s="615">
        <v>8</v>
      </c>
      <c r="M19" s="615">
        <v>7.8</v>
      </c>
      <c r="N19" s="615">
        <v>7.6</v>
      </c>
      <c r="O19" s="615">
        <v>7.7</v>
      </c>
      <c r="P19" s="615">
        <v>7.7</v>
      </c>
      <c r="Q19" s="615">
        <v>7.7</v>
      </c>
      <c r="R19" s="615">
        <v>7.67</v>
      </c>
      <c r="S19" s="615">
        <v>7.605</v>
      </c>
      <c r="T19" s="615">
        <v>7.54</v>
      </c>
      <c r="U19" s="615">
        <v>7.54</v>
      </c>
      <c r="V19" s="615">
        <v>7.54</v>
      </c>
      <c r="W19" s="615">
        <v>7.54</v>
      </c>
      <c r="X19" s="615">
        <v>7.54</v>
      </c>
      <c r="Y19" s="615">
        <v>7.54</v>
      </c>
      <c r="Z19" s="615">
        <v>7.54</v>
      </c>
      <c r="AA19" s="615">
        <v>7.54</v>
      </c>
      <c r="AB19" s="615">
        <v>7.54</v>
      </c>
      <c r="AC19" s="615">
        <v>7.54</v>
      </c>
      <c r="AD19" s="706">
        <v>7.54</v>
      </c>
      <c r="AE19" s="640">
        <f t="shared" si="1"/>
        <v>0</v>
      </c>
      <c r="AF19" s="598" t="s">
        <v>87</v>
      </c>
      <c r="AG19" s="298">
        <v>5.471753</v>
      </c>
      <c r="AH19" s="315">
        <f t="shared" si="0"/>
        <v>1377.9861773731382</v>
      </c>
    </row>
    <row r="20" spans="1:34" s="627" customFormat="1" ht="12.75" customHeight="1">
      <c r="A20" s="619"/>
      <c r="B20" s="598" t="s">
        <v>67</v>
      </c>
      <c r="C20" s="614">
        <v>25.2</v>
      </c>
      <c r="D20" s="614">
        <v>38</v>
      </c>
      <c r="E20" s="615">
        <v>52.25974260388607</v>
      </c>
      <c r="F20" s="615">
        <v>54.120923065039335</v>
      </c>
      <c r="G20" s="615">
        <v>53.16586463106571</v>
      </c>
      <c r="H20" s="615">
        <v>53.48103734304247</v>
      </c>
      <c r="I20" s="615">
        <v>54.21079519277558</v>
      </c>
      <c r="J20" s="615">
        <v>53.18936072092363</v>
      </c>
      <c r="K20" s="615">
        <v>54.37349676481762</v>
      </c>
      <c r="L20" s="615">
        <v>55.39005647013747</v>
      </c>
      <c r="M20" s="615">
        <v>55.36184905414865</v>
      </c>
      <c r="N20" s="615">
        <v>54.52585914209821</v>
      </c>
      <c r="O20" s="615">
        <v>55.77588072874809</v>
      </c>
      <c r="P20" s="615">
        <v>54.330983789104856</v>
      </c>
      <c r="Q20" s="615">
        <v>54.906423532000495</v>
      </c>
      <c r="R20" s="615">
        <v>55.430434346171054</v>
      </c>
      <c r="S20" s="615">
        <v>56.32957465552941</v>
      </c>
      <c r="T20" s="615">
        <v>56.465931808729366</v>
      </c>
      <c r="U20" s="615">
        <v>58.76052956623673</v>
      </c>
      <c r="V20" s="615">
        <v>61.14644688077618</v>
      </c>
      <c r="W20" s="615">
        <v>63.28796595635444</v>
      </c>
      <c r="X20" s="615">
        <v>63.869495878397515</v>
      </c>
      <c r="Y20" s="615">
        <v>66.62824888080422</v>
      </c>
      <c r="Z20" s="615">
        <v>68.11317679035129</v>
      </c>
      <c r="AA20" s="615">
        <v>68.61310431672496</v>
      </c>
      <c r="AB20" s="615">
        <v>68.83465021044331</v>
      </c>
      <c r="AC20" s="615">
        <v>69.23588419810031</v>
      </c>
      <c r="AD20" s="695">
        <v>70.32869965418051</v>
      </c>
      <c r="AE20" s="640">
        <f t="shared" si="1"/>
        <v>1.578394598028666</v>
      </c>
      <c r="AF20" s="598" t="s">
        <v>67</v>
      </c>
      <c r="AG20" s="298">
        <v>66.352469</v>
      </c>
      <c r="AH20" s="315">
        <f t="shared" si="0"/>
        <v>1059.9258884274602</v>
      </c>
    </row>
    <row r="21" spans="1:34" ht="12.75" customHeight="1">
      <c r="A21" s="597"/>
      <c r="B21" s="610" t="s">
        <v>148</v>
      </c>
      <c r="C21" s="630">
        <v>3.3</v>
      </c>
      <c r="D21" s="630">
        <v>7.1</v>
      </c>
      <c r="E21" s="622">
        <v>7</v>
      </c>
      <c r="F21" s="622" t="s">
        <v>99</v>
      </c>
      <c r="G21" s="622" t="s">
        <v>99</v>
      </c>
      <c r="H21" s="622" t="s">
        <v>99</v>
      </c>
      <c r="I21" s="622" t="s">
        <v>99</v>
      </c>
      <c r="J21" s="622">
        <v>4.051915</v>
      </c>
      <c r="K21" s="622">
        <v>4.266118</v>
      </c>
      <c r="L21" s="622">
        <v>4.459067</v>
      </c>
      <c r="M21" s="622">
        <v>3.963847</v>
      </c>
      <c r="N21" s="622">
        <v>3.354983</v>
      </c>
      <c r="O21" s="622">
        <v>3.331147</v>
      </c>
      <c r="P21" s="622">
        <v>3.477757</v>
      </c>
      <c r="Q21" s="622">
        <v>3.557693</v>
      </c>
      <c r="R21" s="622">
        <v>3.71685</v>
      </c>
      <c r="S21" s="622">
        <v>3.390253</v>
      </c>
      <c r="T21" s="622">
        <v>3.403469</v>
      </c>
      <c r="U21" s="622">
        <v>3.537056</v>
      </c>
      <c r="V21" s="622">
        <v>3.80798</v>
      </c>
      <c r="W21" s="622">
        <v>4.093489</v>
      </c>
      <c r="X21" s="622">
        <v>3.437996</v>
      </c>
      <c r="Y21" s="622">
        <v>3.248418</v>
      </c>
      <c r="Z21" s="622">
        <v>3.145021</v>
      </c>
      <c r="AA21" s="622">
        <v>3.249078</v>
      </c>
      <c r="AB21" s="622">
        <v>3.507</v>
      </c>
      <c r="AC21" s="622">
        <v>3.648</v>
      </c>
      <c r="AD21" s="648">
        <v>3.377</v>
      </c>
      <c r="AE21" s="632">
        <f t="shared" si="1"/>
        <v>-7.428728070175453</v>
      </c>
      <c r="AF21" s="610" t="s">
        <v>148</v>
      </c>
      <c r="AG21" s="298">
        <v>4.225316</v>
      </c>
      <c r="AH21" s="315">
        <f t="shared" si="0"/>
        <v>799.2301640871357</v>
      </c>
    </row>
    <row r="22" spans="1:34" s="627" customFormat="1" ht="12.75" customHeight="1">
      <c r="A22" s="619"/>
      <c r="B22" s="610" t="s">
        <v>77</v>
      </c>
      <c r="C22" s="630" t="s">
        <v>99</v>
      </c>
      <c r="D22" s="630" t="s">
        <v>99</v>
      </c>
      <c r="E22" s="622">
        <v>19.261</v>
      </c>
      <c r="F22" s="631">
        <v>17.332</v>
      </c>
      <c r="G22" s="622">
        <v>15.971</v>
      </c>
      <c r="H22" s="622">
        <v>15.8</v>
      </c>
      <c r="I22" s="622">
        <v>16.392</v>
      </c>
      <c r="J22" s="622">
        <v>16.605</v>
      </c>
      <c r="K22" s="622">
        <v>16.564</v>
      </c>
      <c r="L22" s="622">
        <v>16.632</v>
      </c>
      <c r="M22" s="622">
        <v>17.172</v>
      </c>
      <c r="N22" s="622">
        <v>17.796</v>
      </c>
      <c r="O22" s="622">
        <v>18.732</v>
      </c>
      <c r="P22" s="622">
        <v>18.617</v>
      </c>
      <c r="Q22" s="622">
        <v>18.898</v>
      </c>
      <c r="R22" s="622">
        <v>18.707</v>
      </c>
      <c r="S22" s="622">
        <f>11.612+6.312+0.299</f>
        <v>18.223</v>
      </c>
      <c r="T22" s="622">
        <f>11.53+6.029+0.286</f>
        <v>17.845</v>
      </c>
      <c r="U22" s="622">
        <f>11.784+5.863+0.283</f>
        <v>17.930000000000003</v>
      </c>
      <c r="V22" s="622">
        <f>11.254+5.613+0.278</f>
        <v>17.145</v>
      </c>
      <c r="W22" s="622">
        <f>11.862+5.515+0.277</f>
        <v>17.654</v>
      </c>
      <c r="X22" s="622">
        <f>11.321+4.759+0.21</f>
        <v>16.29</v>
      </c>
      <c r="Y22" s="622">
        <f>11.776+4.484+0.201</f>
        <v>16.461</v>
      </c>
      <c r="Z22" s="622">
        <f>11.852+0.197+4.4067046</f>
        <v>16.4557046</v>
      </c>
      <c r="AA22" s="622">
        <f>12.553+4.3348054+0.186545</f>
        <v>17.0743504</v>
      </c>
      <c r="AB22" s="622">
        <f>12.606+4.358511+0.1853244</f>
        <v>17.1498354</v>
      </c>
      <c r="AC22" s="622">
        <f>12.987+4.4538901+0.1891748</f>
        <v>17.6300649</v>
      </c>
      <c r="AD22" s="648">
        <f>4.4906701+0.1925056+13.13</f>
        <v>17.813175700000002</v>
      </c>
      <c r="AE22" s="632">
        <f t="shared" si="1"/>
        <v>1.0386280540578383</v>
      </c>
      <c r="AF22" s="610" t="s">
        <v>77</v>
      </c>
      <c r="AG22" s="298">
        <v>9.849</v>
      </c>
      <c r="AH22" s="315">
        <f t="shared" si="0"/>
        <v>1808.6278505432026</v>
      </c>
    </row>
    <row r="23" spans="1:34" ht="12.75" customHeight="1">
      <c r="A23" s="597"/>
      <c r="B23" s="610" t="s">
        <v>68</v>
      </c>
      <c r="C23" s="611">
        <v>3.3</v>
      </c>
      <c r="D23" s="611">
        <v>4.5</v>
      </c>
      <c r="E23" s="638">
        <v>3.86</v>
      </c>
      <c r="F23" s="638">
        <v>4.1</v>
      </c>
      <c r="G23" s="638">
        <v>4.3</v>
      </c>
      <c r="H23" s="638">
        <v>4.49</v>
      </c>
      <c r="I23" s="638">
        <v>5</v>
      </c>
      <c r="J23" s="638">
        <v>5.15</v>
      </c>
      <c r="K23" s="638">
        <v>5.3</v>
      </c>
      <c r="L23" s="639">
        <v>5.5</v>
      </c>
      <c r="M23" s="639">
        <v>5.7</v>
      </c>
      <c r="N23" s="639">
        <v>5.9</v>
      </c>
      <c r="O23" s="639">
        <v>6.9632</v>
      </c>
      <c r="P23" s="639">
        <v>7.2896</v>
      </c>
      <c r="Q23" s="639">
        <v>7.2624</v>
      </c>
      <c r="R23" s="639">
        <v>7.5344</v>
      </c>
      <c r="S23" s="639">
        <v>7.8608</v>
      </c>
      <c r="T23" s="639">
        <v>7.9152</v>
      </c>
      <c r="U23" s="639">
        <v>8.024</v>
      </c>
      <c r="V23" s="639">
        <v>8.296</v>
      </c>
      <c r="W23" s="639">
        <v>8.568</v>
      </c>
      <c r="X23" s="639">
        <v>8.9488</v>
      </c>
      <c r="Y23" s="639">
        <v>8.4592</v>
      </c>
      <c r="Z23" s="639">
        <v>8.3776</v>
      </c>
      <c r="AA23" s="639">
        <v>8.1056</v>
      </c>
      <c r="AB23" s="639">
        <v>8.1328</v>
      </c>
      <c r="AC23" s="639">
        <v>10.2</v>
      </c>
      <c r="AD23" s="703">
        <f>0.396*27.2</f>
        <v>10.7712</v>
      </c>
      <c r="AE23" s="636">
        <f t="shared" si="1"/>
        <v>5.6000000000000085</v>
      </c>
      <c r="AF23" s="610" t="s">
        <v>68</v>
      </c>
      <c r="AG23" s="314">
        <v>4.625885</v>
      </c>
      <c r="AH23" s="315">
        <f t="shared" si="0"/>
        <v>2328.462553651896</v>
      </c>
    </row>
    <row r="24" spans="1:34" s="627" customFormat="1" ht="12.75" customHeight="1">
      <c r="A24" s="708"/>
      <c r="B24" s="598" t="s">
        <v>69</v>
      </c>
      <c r="C24" s="614">
        <v>32.004</v>
      </c>
      <c r="D24" s="614">
        <v>57.836</v>
      </c>
      <c r="E24" s="615">
        <v>83.955</v>
      </c>
      <c r="F24" s="615">
        <v>84.69</v>
      </c>
      <c r="G24" s="615">
        <v>84.7</v>
      </c>
      <c r="H24" s="615">
        <v>81.45</v>
      </c>
      <c r="I24" s="615">
        <v>79.28</v>
      </c>
      <c r="J24" s="615">
        <f>76.797+10.35</f>
        <v>87.14699999999999</v>
      </c>
      <c r="K24" s="615">
        <v>88.736</v>
      </c>
      <c r="L24" s="615">
        <v>90</v>
      </c>
      <c r="M24" s="615">
        <v>90.6</v>
      </c>
      <c r="N24" s="615">
        <v>92.153</v>
      </c>
      <c r="O24" s="615">
        <f>82.263+11.158</f>
        <v>93.421</v>
      </c>
      <c r="P24" s="615">
        <v>95.594</v>
      </c>
      <c r="Q24" s="615">
        <f>85.512+11.634</f>
        <v>97.146</v>
      </c>
      <c r="R24" s="615">
        <f>86.816+11.503</f>
        <v>98.319</v>
      </c>
      <c r="S24" s="615">
        <f>88.196+11.564</f>
        <v>99.75999999999999</v>
      </c>
      <c r="T24" s="615">
        <f>89.329+11.625</f>
        <v>100.954</v>
      </c>
      <c r="U24" s="615">
        <f>91.442+11.607</f>
        <v>103.04899999999999</v>
      </c>
      <c r="V24" s="615">
        <f>91.108+11.549</f>
        <v>102.65700000000001</v>
      </c>
      <c r="W24" s="615">
        <f>90.693+11.745</f>
        <v>102.438</v>
      </c>
      <c r="X24" s="615">
        <f>89.797+11.909</f>
        <v>101.706</v>
      </c>
      <c r="Y24" s="615">
        <f>90.134+12.085</f>
        <v>102.219</v>
      </c>
      <c r="Z24" s="615">
        <f>90.903+11.537</f>
        <v>102.44000000000001</v>
      </c>
      <c r="AA24" s="615">
        <f>90.546+10.97</f>
        <v>101.516</v>
      </c>
      <c r="AB24" s="615">
        <f>90.746+11.022</f>
        <v>101.768</v>
      </c>
      <c r="AC24" s="615">
        <f>91.608+11.207</f>
        <v>102.815</v>
      </c>
      <c r="AD24" s="706">
        <f>91.676+11.377</f>
        <v>103.053</v>
      </c>
      <c r="AE24" s="640">
        <f t="shared" si="1"/>
        <v>0.231483732918349</v>
      </c>
      <c r="AF24" s="598" t="s">
        <v>69</v>
      </c>
      <c r="AG24" s="298">
        <v>60.795612</v>
      </c>
      <c r="AH24" s="315">
        <f t="shared" si="0"/>
        <v>1695.072993096936</v>
      </c>
    </row>
    <row r="25" spans="1:34" ht="12.75" customHeight="1">
      <c r="A25" s="597"/>
      <c r="B25" s="610" t="s">
        <v>73</v>
      </c>
      <c r="C25" s="630" t="s">
        <v>99</v>
      </c>
      <c r="D25" s="630" t="s">
        <v>99</v>
      </c>
      <c r="E25" s="622">
        <v>7.889</v>
      </c>
      <c r="F25" s="622">
        <v>7.798</v>
      </c>
      <c r="G25" s="622">
        <v>6.392</v>
      </c>
      <c r="H25" s="622">
        <v>4.522</v>
      </c>
      <c r="I25" s="622">
        <v>4.627</v>
      </c>
      <c r="J25" s="622">
        <f>3.334+0.835</f>
        <v>4.1690000000000005</v>
      </c>
      <c r="K25" s="622">
        <f>2.879+0.722</f>
        <v>3.601</v>
      </c>
      <c r="L25" s="622">
        <f>2.603+0.588</f>
        <v>3.1910000000000003</v>
      </c>
      <c r="M25" s="622">
        <f>2.39+0.574</f>
        <v>2.964</v>
      </c>
      <c r="N25" s="622">
        <f>2.096+0.569</f>
        <v>2.665</v>
      </c>
      <c r="O25" s="622">
        <f>2.266+0.489</f>
        <v>2.755</v>
      </c>
      <c r="P25" s="622">
        <v>2.833</v>
      </c>
      <c r="Q25" s="622">
        <f>2.508+0.505</f>
        <v>3.013</v>
      </c>
      <c r="R25" s="622">
        <f>2.583+0.404</f>
        <v>2.987</v>
      </c>
      <c r="S25" s="622">
        <f>3.14+0.409</f>
        <v>3.549</v>
      </c>
      <c r="T25" s="622">
        <f>3.267+0.424</f>
        <v>3.691</v>
      </c>
      <c r="U25" s="622">
        <f>3.283+0.413</f>
        <v>3.6959999999999997</v>
      </c>
      <c r="V25" s="622">
        <f>3.1703+0.4498</f>
        <v>3.6201</v>
      </c>
      <c r="W25" s="622">
        <f>2.9521+0.4691</f>
        <v>3.4212000000000002</v>
      </c>
      <c r="X25" s="622">
        <v>2.7746999999999997</v>
      </c>
      <c r="Y25" s="622">
        <f>2.3479+0.3457</f>
        <v>2.6936</v>
      </c>
      <c r="Z25" s="622">
        <v>2.748</v>
      </c>
      <c r="AA25" s="622">
        <f>2.387+0.348</f>
        <v>2.735</v>
      </c>
      <c r="AB25" s="622">
        <f>2.521+0.326</f>
        <v>2.847</v>
      </c>
      <c r="AC25" s="622">
        <v>2.9733</v>
      </c>
      <c r="AD25" s="648">
        <v>2.745543</v>
      </c>
      <c r="AE25" s="632">
        <f t="shared" si="1"/>
        <v>-7.66007466451417</v>
      </c>
      <c r="AF25" s="610" t="s">
        <v>73</v>
      </c>
      <c r="AG25" s="314">
        <v>2.921262</v>
      </c>
      <c r="AH25" s="315">
        <f t="shared" si="0"/>
        <v>939.8482573627426</v>
      </c>
    </row>
    <row r="26" spans="1:34" s="627" customFormat="1" ht="12.75" customHeight="1">
      <c r="A26" s="619"/>
      <c r="B26" s="598" t="s">
        <v>76</v>
      </c>
      <c r="C26" s="637">
        <v>0.4</v>
      </c>
      <c r="D26" s="637">
        <v>0.44</v>
      </c>
      <c r="E26" s="616">
        <v>0.48</v>
      </c>
      <c r="F26" s="616">
        <v>0.49</v>
      </c>
      <c r="G26" s="616">
        <v>0.51</v>
      </c>
      <c r="H26" s="616">
        <v>0.52</v>
      </c>
      <c r="I26" s="616">
        <v>0.53</v>
      </c>
      <c r="J26" s="616">
        <v>0.54</v>
      </c>
      <c r="K26" s="616">
        <v>0.55</v>
      </c>
      <c r="L26" s="616">
        <v>0.56</v>
      </c>
      <c r="M26" s="616">
        <v>0.57</v>
      </c>
      <c r="N26" s="616">
        <v>0.58</v>
      </c>
      <c r="O26" s="616">
        <v>0.62</v>
      </c>
      <c r="P26" s="616">
        <v>0.66</v>
      </c>
      <c r="Q26" s="616">
        <v>0.72</v>
      </c>
      <c r="R26" s="616">
        <v>0.74</v>
      </c>
      <c r="S26" s="616">
        <v>0.77</v>
      </c>
      <c r="T26" s="616">
        <v>0.8</v>
      </c>
      <c r="U26" s="616">
        <v>0.82</v>
      </c>
      <c r="V26" s="616">
        <v>0.86</v>
      </c>
      <c r="W26" s="616">
        <v>0.91</v>
      </c>
      <c r="X26" s="616">
        <v>0.905872688234131</v>
      </c>
      <c r="Y26" s="616">
        <v>0.94</v>
      </c>
      <c r="Z26" s="616">
        <v>0.9876300463226344</v>
      </c>
      <c r="AA26" s="616">
        <v>1.0049122484837048</v>
      </c>
      <c r="AB26" s="616">
        <v>1.026458894764151</v>
      </c>
      <c r="AC26" s="616">
        <v>1.037546284758761</v>
      </c>
      <c r="AD26" s="704">
        <v>1.0928294004495056</v>
      </c>
      <c r="AE26" s="617">
        <f t="shared" si="1"/>
        <v>5.328255375479301</v>
      </c>
      <c r="AF26" s="598" t="s">
        <v>76</v>
      </c>
      <c r="AG26" s="298">
        <v>0.562958</v>
      </c>
      <c r="AH26" s="315">
        <f t="shared" si="0"/>
        <v>1941.2272326701204</v>
      </c>
    </row>
    <row r="27" spans="1:34" ht="12.75" customHeight="1">
      <c r="A27" s="597"/>
      <c r="B27" s="598" t="s">
        <v>72</v>
      </c>
      <c r="C27" s="614">
        <v>3.28</v>
      </c>
      <c r="D27" s="820">
        <v>4.55</v>
      </c>
      <c r="E27" s="615">
        <v>5.862</v>
      </c>
      <c r="F27" s="615">
        <v>5.331</v>
      </c>
      <c r="G27" s="615">
        <v>2.583</v>
      </c>
      <c r="H27" s="615">
        <v>1.722</v>
      </c>
      <c r="I27" s="615">
        <v>1.795</v>
      </c>
      <c r="J27" s="615">
        <v>1.835</v>
      </c>
      <c r="K27" s="615">
        <v>1.606</v>
      </c>
      <c r="L27" s="615">
        <v>1.72</v>
      </c>
      <c r="M27" s="615">
        <v>1.903</v>
      </c>
      <c r="N27" s="615">
        <v>2.368</v>
      </c>
      <c r="O27" s="643">
        <v>2.348</v>
      </c>
      <c r="P27" s="615">
        <v>2.305</v>
      </c>
      <c r="Q27" s="615">
        <v>2.361</v>
      </c>
      <c r="R27" s="615">
        <v>2.55</v>
      </c>
      <c r="S27" s="615">
        <v>2.655</v>
      </c>
      <c r="T27" s="615">
        <v>2.891</v>
      </c>
      <c r="U27" s="615">
        <v>2.78</v>
      </c>
      <c r="V27" s="615">
        <v>2.644</v>
      </c>
      <c r="W27" s="615">
        <v>2.517</v>
      </c>
      <c r="X27" s="615">
        <v>2.143</v>
      </c>
      <c r="Y27" s="643">
        <v>2.311</v>
      </c>
      <c r="Z27" s="615">
        <v>2.412</v>
      </c>
      <c r="AA27" s="615">
        <v>2.358</v>
      </c>
      <c r="AB27" s="615">
        <v>2.319</v>
      </c>
      <c r="AC27" s="615">
        <v>2.33</v>
      </c>
      <c r="AD27" s="706">
        <v>2.314</v>
      </c>
      <c r="AE27" s="640">
        <f t="shared" si="1"/>
        <v>-0.6866952789699639</v>
      </c>
      <c r="AF27" s="598" t="s">
        <v>72</v>
      </c>
      <c r="AG27" s="314">
        <v>1.986096</v>
      </c>
      <c r="AH27" s="315">
        <f t="shared" si="0"/>
        <v>1165.0997736262495</v>
      </c>
    </row>
    <row r="28" spans="1:34" s="627" customFormat="1" ht="12.75" customHeight="1">
      <c r="A28" s="619"/>
      <c r="B28" s="598" t="s">
        <v>78</v>
      </c>
      <c r="C28" s="614" t="s">
        <v>99</v>
      </c>
      <c r="D28" s="614" t="s">
        <v>99</v>
      </c>
      <c r="E28" s="615" t="s">
        <v>99</v>
      </c>
      <c r="F28" s="615" t="s">
        <v>99</v>
      </c>
      <c r="G28" s="615" t="s">
        <v>99</v>
      </c>
      <c r="H28" s="615" t="s">
        <v>99</v>
      </c>
      <c r="I28" s="615" t="s">
        <v>99</v>
      </c>
      <c r="J28" s="616">
        <v>0.41</v>
      </c>
      <c r="K28" s="616">
        <v>0.42</v>
      </c>
      <c r="L28" s="616">
        <v>0.44</v>
      </c>
      <c r="M28" s="616">
        <v>0.45</v>
      </c>
      <c r="N28" s="616">
        <v>0.455</v>
      </c>
      <c r="O28" s="616">
        <v>0.46</v>
      </c>
      <c r="P28" s="616">
        <v>0.47</v>
      </c>
      <c r="Q28" s="616">
        <v>0.48</v>
      </c>
      <c r="R28" s="616">
        <v>0.49</v>
      </c>
      <c r="S28" s="616">
        <v>0.5</v>
      </c>
      <c r="T28" s="616">
        <v>0.49</v>
      </c>
      <c r="U28" s="616">
        <v>0.5</v>
      </c>
      <c r="V28" s="616">
        <v>0.505</v>
      </c>
      <c r="W28" s="616">
        <v>0.51</v>
      </c>
      <c r="X28" s="616">
        <v>0.4848885722388764</v>
      </c>
      <c r="Y28" s="616">
        <v>0.5</v>
      </c>
      <c r="Z28" s="616">
        <v>0.47567815316050804</v>
      </c>
      <c r="AA28" s="616">
        <v>0.4764518954048124</v>
      </c>
      <c r="AB28" s="616">
        <v>0.46847402439797603</v>
      </c>
      <c r="AC28" s="616">
        <v>0.49155426958825765</v>
      </c>
      <c r="AD28" s="704">
        <v>0.539906461587028</v>
      </c>
      <c r="AE28" s="617">
        <f t="shared" si="1"/>
        <v>9.83659282204421</v>
      </c>
      <c r="AF28" s="598" t="s">
        <v>78</v>
      </c>
      <c r="AG28" s="298">
        <v>0.429344</v>
      </c>
      <c r="AH28" s="315">
        <f t="shared" si="0"/>
        <v>1257.5148635756598</v>
      </c>
    </row>
    <row r="29" spans="1:34" ht="12.75" customHeight="1">
      <c r="A29" s="597"/>
      <c r="B29" s="610" t="s">
        <v>16</v>
      </c>
      <c r="C29" s="630">
        <v>9.5</v>
      </c>
      <c r="D29" s="630">
        <v>11.2</v>
      </c>
      <c r="E29" s="622">
        <v>13</v>
      </c>
      <c r="F29" s="644">
        <v>12.3</v>
      </c>
      <c r="G29" s="644">
        <v>13.2</v>
      </c>
      <c r="H29" s="644">
        <v>13.05</v>
      </c>
      <c r="I29" s="644">
        <v>12.15</v>
      </c>
      <c r="J29" s="644">
        <v>12</v>
      </c>
      <c r="K29" s="644">
        <v>11.85</v>
      </c>
      <c r="L29" s="644">
        <v>12</v>
      </c>
      <c r="M29" s="644">
        <v>11.7</v>
      </c>
      <c r="N29" s="644">
        <v>11.25</v>
      </c>
      <c r="O29" s="709">
        <v>4.617277399572086</v>
      </c>
      <c r="P29" s="623">
        <v>4.672245187115668</v>
      </c>
      <c r="Q29" s="644">
        <v>4.4114885322856</v>
      </c>
      <c r="R29" s="644">
        <v>4.599831164782615</v>
      </c>
      <c r="S29" s="644">
        <v>4.700190619040386</v>
      </c>
      <c r="T29" s="623">
        <v>4.775028046812017</v>
      </c>
      <c r="U29" s="623">
        <v>4.860911858498458</v>
      </c>
      <c r="V29" s="623">
        <v>4.961403033817193</v>
      </c>
      <c r="W29" s="623">
        <v>5.048543181837985</v>
      </c>
      <c r="X29" s="623">
        <v>4.853947506228394</v>
      </c>
      <c r="Y29" s="623">
        <v>4.846074938770187</v>
      </c>
      <c r="Z29" s="623">
        <v>5.010096540903104</v>
      </c>
      <c r="AA29" s="623">
        <v>4.483869529722649</v>
      </c>
      <c r="AB29" s="623">
        <v>4.6464404346162365</v>
      </c>
      <c r="AC29" s="623">
        <v>4.546757462094314</v>
      </c>
      <c r="AD29" s="707">
        <v>4.883554311138337</v>
      </c>
      <c r="AE29" s="636">
        <f t="shared" si="1"/>
        <v>7.407407407407391</v>
      </c>
      <c r="AF29" s="610" t="s">
        <v>16</v>
      </c>
      <c r="AG29" s="314">
        <v>16.900726</v>
      </c>
      <c r="AH29" s="315">
        <f t="shared" si="0"/>
        <v>288.95529760901024</v>
      </c>
    </row>
    <row r="30" spans="1:34" s="627" customFormat="1" ht="12.75" customHeight="1">
      <c r="A30" s="619"/>
      <c r="B30" s="610" t="s">
        <v>80</v>
      </c>
      <c r="C30" s="630">
        <v>29.14</v>
      </c>
      <c r="D30" s="630">
        <v>49.223</v>
      </c>
      <c r="E30" s="622">
        <v>46.3</v>
      </c>
      <c r="F30" s="622">
        <v>41.72</v>
      </c>
      <c r="G30" s="622">
        <v>39.008</v>
      </c>
      <c r="H30" s="622">
        <v>37.811</v>
      </c>
      <c r="I30" s="622">
        <v>34.262</v>
      </c>
      <c r="J30" s="622">
        <v>34.024</v>
      </c>
      <c r="K30" s="622">
        <v>33.984</v>
      </c>
      <c r="L30" s="622">
        <v>33.128</v>
      </c>
      <c r="M30" s="622">
        <v>34.035</v>
      </c>
      <c r="N30" s="622">
        <v>33.25</v>
      </c>
      <c r="O30" s="622">
        <v>59.2</v>
      </c>
      <c r="P30" s="622">
        <v>55.4</v>
      </c>
      <c r="Q30" s="622">
        <v>52</v>
      </c>
      <c r="R30" s="622">
        <v>51.6</v>
      </c>
      <c r="S30" s="622">
        <v>51.1</v>
      </c>
      <c r="T30" s="646">
        <v>49.2</v>
      </c>
      <c r="U30" s="622">
        <v>48.7</v>
      </c>
      <c r="V30" s="622">
        <v>47.7</v>
      </c>
      <c r="W30" s="622">
        <v>47.7</v>
      </c>
      <c r="X30" s="622">
        <v>43.9</v>
      </c>
      <c r="Y30" s="622">
        <v>41.7</v>
      </c>
      <c r="Z30" s="622">
        <v>40.1</v>
      </c>
      <c r="AA30" s="622">
        <v>39.419</v>
      </c>
      <c r="AB30" s="622">
        <v>37.8</v>
      </c>
      <c r="AC30" s="622">
        <v>39.158</v>
      </c>
      <c r="AD30" s="648">
        <v>37.58</v>
      </c>
      <c r="AE30" s="632">
        <f t="shared" si="1"/>
        <v>-4.029827876806792</v>
      </c>
      <c r="AF30" s="610" t="s">
        <v>80</v>
      </c>
      <c r="AG30" s="298">
        <v>38.005614</v>
      </c>
      <c r="AH30" s="315">
        <f t="shared" si="0"/>
        <v>988.8012860415831</v>
      </c>
    </row>
    <row r="31" spans="1:34" ht="12.75" customHeight="1">
      <c r="A31" s="597"/>
      <c r="B31" s="598" t="s">
        <v>92</v>
      </c>
      <c r="C31" s="614">
        <v>4.358</v>
      </c>
      <c r="D31" s="614">
        <v>7.6</v>
      </c>
      <c r="E31" s="615">
        <v>10.3</v>
      </c>
      <c r="F31" s="615">
        <v>10.7</v>
      </c>
      <c r="G31" s="615">
        <v>11.4</v>
      </c>
      <c r="H31" s="642">
        <v>11.8</v>
      </c>
      <c r="I31" s="615">
        <v>12.55</v>
      </c>
      <c r="J31" s="615">
        <v>11.3</v>
      </c>
      <c r="K31" s="615">
        <v>11.1</v>
      </c>
      <c r="L31" s="615">
        <v>11.6</v>
      </c>
      <c r="M31" s="615">
        <v>11.55</v>
      </c>
      <c r="N31" s="615">
        <v>11.48</v>
      </c>
      <c r="O31" s="615">
        <v>11.821</v>
      </c>
      <c r="P31" s="615">
        <v>11.159</v>
      </c>
      <c r="Q31" s="615">
        <v>9.936</v>
      </c>
      <c r="R31" s="615">
        <v>10.537</v>
      </c>
      <c r="S31" s="615">
        <v>10.809</v>
      </c>
      <c r="T31" s="616">
        <v>6.376263166645883</v>
      </c>
      <c r="U31" s="616">
        <v>6.064343265791044</v>
      </c>
      <c r="V31" s="616">
        <v>6.248737903312966</v>
      </c>
      <c r="W31" s="711">
        <v>6.282629752577119</v>
      </c>
      <c r="X31" s="616">
        <v>6.000359984210191</v>
      </c>
      <c r="Y31" s="616">
        <v>6.077555342622833</v>
      </c>
      <c r="Z31" s="615">
        <v>5.85</v>
      </c>
      <c r="AA31" s="615">
        <v>5.85</v>
      </c>
      <c r="AB31" s="615">
        <v>6.023</v>
      </c>
      <c r="AC31" s="615">
        <v>5.657</v>
      </c>
      <c r="AD31" s="706">
        <v>6.047</v>
      </c>
      <c r="AE31" s="640">
        <f t="shared" si="1"/>
        <v>6.8941134877143355</v>
      </c>
      <c r="AF31" s="598" t="s">
        <v>92</v>
      </c>
      <c r="AG31" s="314">
        <v>10.374822</v>
      </c>
      <c r="AH31" s="315">
        <f t="shared" si="0"/>
        <v>582.8533732916093</v>
      </c>
    </row>
    <row r="32" spans="1:34" s="627" customFormat="1" ht="12.75" customHeight="1">
      <c r="A32" s="619"/>
      <c r="B32" s="610" t="s">
        <v>102</v>
      </c>
      <c r="C32" s="630">
        <v>7.858</v>
      </c>
      <c r="D32" s="630">
        <v>24.016</v>
      </c>
      <c r="E32" s="622">
        <v>24.007</v>
      </c>
      <c r="F32" s="622">
        <v>20.835</v>
      </c>
      <c r="G32" s="622">
        <v>25.649</v>
      </c>
      <c r="H32" s="622">
        <v>20.512</v>
      </c>
      <c r="I32" s="622">
        <v>14.058</v>
      </c>
      <c r="J32" s="622">
        <v>12.343</v>
      </c>
      <c r="K32" s="622">
        <v>12.842</v>
      </c>
      <c r="L32" s="622">
        <v>13.531</v>
      </c>
      <c r="M32" s="622">
        <v>8.962</v>
      </c>
      <c r="N32" s="622">
        <v>8.323</v>
      </c>
      <c r="O32" s="622">
        <v>7.7</v>
      </c>
      <c r="P32" s="622">
        <v>7.073</v>
      </c>
      <c r="Q32" s="622">
        <v>6.987</v>
      </c>
      <c r="R32" s="622">
        <v>9.455</v>
      </c>
      <c r="S32" s="622">
        <v>9.438</v>
      </c>
      <c r="T32" s="622">
        <v>11.811</v>
      </c>
      <c r="U32" s="622">
        <v>11.735</v>
      </c>
      <c r="V32" s="622">
        <v>12.156</v>
      </c>
      <c r="W32" s="622">
        <v>20.194</v>
      </c>
      <c r="X32" s="622">
        <v>17.108</v>
      </c>
      <c r="Y32" s="622">
        <v>15.812</v>
      </c>
      <c r="Z32" s="622">
        <v>15.529</v>
      </c>
      <c r="AA32" s="622">
        <v>16.901</v>
      </c>
      <c r="AB32" s="622">
        <v>17.082</v>
      </c>
      <c r="AC32" s="622">
        <v>18.339</v>
      </c>
      <c r="AD32" s="648">
        <v>17.471</v>
      </c>
      <c r="AE32" s="632">
        <f t="shared" si="1"/>
        <v>-4.733082501772174</v>
      </c>
      <c r="AF32" s="610" t="s">
        <v>102</v>
      </c>
      <c r="AG32" s="298">
        <v>19.861408</v>
      </c>
      <c r="AH32" s="315">
        <f t="shared" si="0"/>
        <v>879.6455920949813</v>
      </c>
    </row>
    <row r="33" spans="1:34" ht="12.75" customHeight="1">
      <c r="A33" s="597"/>
      <c r="B33" s="610" t="s">
        <v>88</v>
      </c>
      <c r="C33" s="630">
        <v>5.5</v>
      </c>
      <c r="D33" s="630">
        <v>7.3</v>
      </c>
      <c r="E33" s="622">
        <v>9.663565396357743</v>
      </c>
      <c r="F33" s="622">
        <v>9.677871179540276</v>
      </c>
      <c r="G33" s="622">
        <v>9.699579341247878</v>
      </c>
      <c r="H33" s="622">
        <v>9.421206473765904</v>
      </c>
      <c r="I33" s="622">
        <v>9.531356730066832</v>
      </c>
      <c r="J33" s="622">
        <v>9.70318298834586</v>
      </c>
      <c r="K33" s="622">
        <v>9.815881642468796</v>
      </c>
      <c r="L33" s="622">
        <v>9.822218249358277</v>
      </c>
      <c r="M33" s="622">
        <v>9.777521360228848</v>
      </c>
      <c r="N33" s="622">
        <v>9.755750625837438</v>
      </c>
      <c r="O33" s="622">
        <v>9.224</v>
      </c>
      <c r="P33" s="622">
        <v>9.22</v>
      </c>
      <c r="Q33" s="622">
        <v>9.306</v>
      </c>
      <c r="R33" s="622">
        <v>9.327</v>
      </c>
      <c r="S33" s="622">
        <v>9.255</v>
      </c>
      <c r="T33" s="622">
        <v>9.254</v>
      </c>
      <c r="U33" s="622">
        <v>9.332</v>
      </c>
      <c r="V33" s="622">
        <v>9.418</v>
      </c>
      <c r="W33" s="622">
        <v>9.167</v>
      </c>
      <c r="X33" s="622">
        <v>9.239</v>
      </c>
      <c r="Y33" s="622">
        <v>9.374</v>
      </c>
      <c r="Z33" s="622">
        <v>9.647</v>
      </c>
      <c r="AA33" s="622">
        <v>9.523</v>
      </c>
      <c r="AB33" s="622">
        <v>9.704</v>
      </c>
      <c r="AC33" s="622">
        <v>9.693</v>
      </c>
      <c r="AD33" s="648">
        <v>9.831</v>
      </c>
      <c r="AE33" s="632">
        <f t="shared" si="1"/>
        <v>1.4237078303930701</v>
      </c>
      <c r="AF33" s="610" t="s">
        <v>88</v>
      </c>
      <c r="AG33" s="314">
        <v>9.747355</v>
      </c>
      <c r="AH33" s="315">
        <f t="shared" si="0"/>
        <v>1008.5813023122682</v>
      </c>
    </row>
    <row r="34" spans="1:34" ht="12.75" customHeight="1">
      <c r="A34" s="597"/>
      <c r="B34" s="598" t="s">
        <v>83</v>
      </c>
      <c r="C34" s="614">
        <v>2.642</v>
      </c>
      <c r="D34" s="614">
        <v>4.925</v>
      </c>
      <c r="E34" s="615">
        <v>6.508</v>
      </c>
      <c r="F34" s="615">
        <v>5.554</v>
      </c>
      <c r="G34" s="615">
        <v>4.17</v>
      </c>
      <c r="H34" s="615">
        <v>3.894</v>
      </c>
      <c r="I34" s="615">
        <v>4.053</v>
      </c>
      <c r="J34" s="615">
        <v>4.113</v>
      </c>
      <c r="K34" s="615">
        <v>4.301</v>
      </c>
      <c r="L34" s="615">
        <v>4.379</v>
      </c>
      <c r="M34" s="615">
        <v>3.876</v>
      </c>
      <c r="N34" s="615">
        <v>4.138</v>
      </c>
      <c r="O34" s="615">
        <v>3.502</v>
      </c>
      <c r="P34" s="615">
        <v>3.393</v>
      </c>
      <c r="Q34" s="615">
        <v>3.339</v>
      </c>
      <c r="R34" s="615">
        <v>3.446</v>
      </c>
      <c r="S34" s="615">
        <v>3.218</v>
      </c>
      <c r="T34" s="615">
        <v>3.062</v>
      </c>
      <c r="U34" s="615">
        <v>3.133</v>
      </c>
      <c r="V34" s="615">
        <v>3.235</v>
      </c>
      <c r="W34" s="615">
        <v>3.146</v>
      </c>
      <c r="X34" s="615">
        <v>3.196</v>
      </c>
      <c r="Y34" s="615">
        <v>3.183</v>
      </c>
      <c r="Z34" s="616">
        <v>3.244143134443557</v>
      </c>
      <c r="AA34" s="616">
        <v>3.2370370249757103</v>
      </c>
      <c r="AB34" s="616">
        <v>3.3223001768851614</v>
      </c>
      <c r="AC34" s="616">
        <v>3.448992354015874</v>
      </c>
      <c r="AD34" s="704">
        <v>3.576082566075633</v>
      </c>
      <c r="AE34" s="640">
        <f t="shared" si="1"/>
        <v>3.6848505016771043</v>
      </c>
      <c r="AF34" s="598" t="s">
        <v>83</v>
      </c>
      <c r="AG34" s="298">
        <v>2.062874</v>
      </c>
      <c r="AH34" s="315">
        <f t="shared" si="0"/>
        <v>1733.5438645674108</v>
      </c>
    </row>
    <row r="35" spans="1:34" ht="12.75" customHeight="1">
      <c r="A35" s="597"/>
      <c r="B35" s="610" t="s">
        <v>85</v>
      </c>
      <c r="C35" s="620"/>
      <c r="D35" s="821"/>
      <c r="E35" s="621"/>
      <c r="F35" s="622"/>
      <c r="G35" s="622"/>
      <c r="H35" s="622"/>
      <c r="I35" s="622"/>
      <c r="J35" s="622">
        <f>11.191+3.25</f>
        <v>14.441</v>
      </c>
      <c r="K35" s="622">
        <f>11.1+3.38</f>
        <v>14.48</v>
      </c>
      <c r="L35" s="622">
        <f>9.969+3.5</f>
        <v>13.469</v>
      </c>
      <c r="M35" s="622">
        <f>8.84+3.62</f>
        <v>12.46</v>
      </c>
      <c r="N35" s="622">
        <f>7.833+3.52</f>
        <v>11.353</v>
      </c>
      <c r="O35" s="710">
        <v>9.3174635</v>
      </c>
      <c r="P35" s="623">
        <v>9.24563722</v>
      </c>
      <c r="Q35" s="623">
        <v>9.24878837</v>
      </c>
      <c r="R35" s="623">
        <v>8.7739944</v>
      </c>
      <c r="S35" s="623">
        <v>8.84976323</v>
      </c>
      <c r="T35" s="623">
        <v>8.53778246</v>
      </c>
      <c r="U35" s="623">
        <v>8.683574</v>
      </c>
      <c r="V35" s="623">
        <v>8.652062</v>
      </c>
      <c r="W35" s="623">
        <v>7.4487156</v>
      </c>
      <c r="X35" s="623">
        <v>5.3743368</v>
      </c>
      <c r="Y35" s="623">
        <v>5.2707795</v>
      </c>
      <c r="Z35" s="623">
        <v>5.4770729099999995</v>
      </c>
      <c r="AA35" s="623">
        <v>5.432091430000001</v>
      </c>
      <c r="AB35" s="623">
        <f>4.388+((219.763+60.719)*3.1)/1000</f>
        <v>5.2574942</v>
      </c>
      <c r="AC35" s="623">
        <f>4.495+((230.887+62.017)*2.93)/1000</f>
        <v>5.3532087200000005</v>
      </c>
      <c r="AD35" s="707">
        <f>4.499+((234.226+60.225)*2.95)/1000</f>
        <v>5.36763045</v>
      </c>
      <c r="AE35" s="636">
        <f t="shared" si="1"/>
        <v>0.2694034691029117</v>
      </c>
      <c r="AF35" s="610" t="s">
        <v>85</v>
      </c>
      <c r="AG35" s="298">
        <v>5.421349</v>
      </c>
      <c r="AH35" s="315">
        <f t="shared" si="0"/>
        <v>990.0912946205824</v>
      </c>
    </row>
    <row r="36" spans="1:34" ht="12.75" customHeight="1">
      <c r="A36" s="597"/>
      <c r="B36" s="604" t="s">
        <v>13</v>
      </c>
      <c r="C36" s="712">
        <f>60.2+1.5</f>
        <v>61.7</v>
      </c>
      <c r="D36" s="712">
        <f>52.2+1.5</f>
        <v>53.7</v>
      </c>
      <c r="E36" s="713">
        <v>47.1</v>
      </c>
      <c r="F36" s="713">
        <v>45.2</v>
      </c>
      <c r="G36" s="713">
        <v>44</v>
      </c>
      <c r="H36" s="713">
        <v>45.3</v>
      </c>
      <c r="I36" s="713">
        <v>45.2</v>
      </c>
      <c r="J36" s="713">
        <v>44.8</v>
      </c>
      <c r="K36" s="713">
        <v>44.7</v>
      </c>
      <c r="L36" s="713">
        <v>45.5</v>
      </c>
      <c r="M36" s="713">
        <v>46.4</v>
      </c>
      <c r="N36" s="713">
        <v>47.7</v>
      </c>
      <c r="O36" s="713">
        <v>48</v>
      </c>
      <c r="P36" s="713">
        <v>48.04</v>
      </c>
      <c r="Q36" s="713">
        <v>42.1</v>
      </c>
      <c r="R36" s="714">
        <v>46.1</v>
      </c>
      <c r="S36" s="713">
        <v>42.5</v>
      </c>
      <c r="T36" s="713">
        <v>44</v>
      </c>
      <c r="U36" s="713">
        <v>42</v>
      </c>
      <c r="V36" s="713">
        <v>42.2</v>
      </c>
      <c r="W36" s="713">
        <v>44.7</v>
      </c>
      <c r="X36" s="713">
        <v>45.7</v>
      </c>
      <c r="Y36" s="713">
        <v>46.2</v>
      </c>
      <c r="Z36" s="713">
        <v>44.1</v>
      </c>
      <c r="AA36" s="713">
        <v>43.7</v>
      </c>
      <c r="AB36" s="713">
        <v>41.9</v>
      </c>
      <c r="AC36" s="713">
        <f>39.6+1.5</f>
        <v>41.1</v>
      </c>
      <c r="AD36" s="715">
        <f>39.3+1.5</f>
        <v>40.8</v>
      </c>
      <c r="AE36" s="716">
        <f t="shared" si="1"/>
        <v>-0.7299270072992812</v>
      </c>
      <c r="AF36" s="604" t="s">
        <v>13</v>
      </c>
      <c r="AG36" s="298">
        <v>64.767115</v>
      </c>
      <c r="AH36" s="315">
        <f t="shared" si="0"/>
        <v>629.9493191876771</v>
      </c>
    </row>
    <row r="37" spans="1:32" ht="12.75" customHeight="1">
      <c r="A37" s="597"/>
      <c r="B37" s="610" t="s">
        <v>289</v>
      </c>
      <c r="C37" s="630">
        <v>0.776</v>
      </c>
      <c r="D37" s="630">
        <v>1.421</v>
      </c>
      <c r="E37" s="717">
        <v>2.174</v>
      </c>
      <c r="F37" s="717">
        <v>1.28</v>
      </c>
      <c r="G37" s="717">
        <v>0.515</v>
      </c>
      <c r="H37" s="717">
        <v>0.307</v>
      </c>
      <c r="I37" s="717">
        <v>0.197</v>
      </c>
      <c r="J37" s="717">
        <v>0.196</v>
      </c>
      <c r="K37" s="717">
        <v>0.223</v>
      </c>
      <c r="L37" s="717">
        <v>0.19</v>
      </c>
      <c r="M37" s="717">
        <v>0.19</v>
      </c>
      <c r="N37" s="717">
        <v>0.221</v>
      </c>
      <c r="O37" s="717">
        <v>0.184</v>
      </c>
      <c r="P37" s="717">
        <v>0.197</v>
      </c>
      <c r="Q37" s="717">
        <v>0.159</v>
      </c>
      <c r="R37" s="717">
        <v>0.176</v>
      </c>
      <c r="S37" s="717">
        <v>0.141</v>
      </c>
      <c r="T37" s="717">
        <v>0.28</v>
      </c>
      <c r="U37" s="717">
        <v>0.48</v>
      </c>
      <c r="V37" s="717">
        <v>0.663</v>
      </c>
      <c r="W37" s="717">
        <v>0.79</v>
      </c>
      <c r="X37" s="717">
        <v>1.302</v>
      </c>
      <c r="Y37" s="717">
        <v>2.37</v>
      </c>
      <c r="Z37" s="717">
        <v>1.254</v>
      </c>
      <c r="AA37" s="717">
        <v>0.983</v>
      </c>
      <c r="AB37" s="717">
        <v>1.063</v>
      </c>
      <c r="AC37" s="718">
        <v>1.1326680761099364</v>
      </c>
      <c r="AD37" s="719">
        <v>1.2130914544345939</v>
      </c>
      <c r="AE37" s="636">
        <f t="shared" si="1"/>
        <v>7.100348285692462</v>
      </c>
      <c r="AF37" s="610" t="s">
        <v>289</v>
      </c>
    </row>
    <row r="38" spans="1:32" ht="12.75" customHeight="1">
      <c r="A38" s="597"/>
      <c r="B38" s="598" t="s">
        <v>235</v>
      </c>
      <c r="C38" s="637"/>
      <c r="D38" s="637"/>
      <c r="E38" s="616"/>
      <c r="F38" s="616"/>
      <c r="G38" s="616"/>
      <c r="H38" s="616"/>
      <c r="I38" s="616"/>
      <c r="J38" s="616"/>
      <c r="K38" s="616"/>
      <c r="L38" s="616"/>
      <c r="M38" s="616"/>
      <c r="N38" s="616"/>
      <c r="O38" s="616"/>
      <c r="P38" s="616"/>
      <c r="Q38" s="616"/>
      <c r="R38" s="616"/>
      <c r="S38" s="616"/>
      <c r="T38" s="616"/>
      <c r="U38" s="616"/>
      <c r="V38" s="616"/>
      <c r="W38" s="615">
        <v>0.124</v>
      </c>
      <c r="X38" s="615">
        <v>0.102</v>
      </c>
      <c r="Y38" s="615">
        <v>0.081</v>
      </c>
      <c r="Z38" s="615">
        <v>0.08</v>
      </c>
      <c r="AA38" s="615">
        <v>0.112</v>
      </c>
      <c r="AB38" s="615">
        <v>0.108802</v>
      </c>
      <c r="AC38" s="615">
        <v>0.108</v>
      </c>
      <c r="AD38" s="706">
        <f>0.109621</f>
        <v>0.109621</v>
      </c>
      <c r="AE38" s="640">
        <f t="shared" si="1"/>
        <v>1.5009259259259267</v>
      </c>
      <c r="AF38" s="598" t="s">
        <v>235</v>
      </c>
    </row>
    <row r="39" spans="1:32" s="627" customFormat="1" ht="12.75" customHeight="1">
      <c r="A39" s="619"/>
      <c r="B39" s="610" t="s">
        <v>149</v>
      </c>
      <c r="C39" s="620"/>
      <c r="D39" s="620"/>
      <c r="E39" s="621"/>
      <c r="F39" s="622"/>
      <c r="G39" s="622"/>
      <c r="H39" s="622"/>
      <c r="I39" s="622"/>
      <c r="J39" s="623">
        <v>0.9</v>
      </c>
      <c r="K39" s="623">
        <v>0.9</v>
      </c>
      <c r="L39" s="623">
        <v>0.9</v>
      </c>
      <c r="M39" s="623">
        <v>0.9</v>
      </c>
      <c r="N39" s="623">
        <v>0.9</v>
      </c>
      <c r="O39" s="623">
        <v>0.9</v>
      </c>
      <c r="P39" s="622">
        <v>0.831</v>
      </c>
      <c r="Q39" s="623">
        <v>1</v>
      </c>
      <c r="R39" s="622">
        <v>1.344</v>
      </c>
      <c r="S39" s="622">
        <v>1.11</v>
      </c>
      <c r="T39" s="622">
        <v>1.086</v>
      </c>
      <c r="U39" s="622">
        <v>1.016</v>
      </c>
      <c r="V39" s="622">
        <v>1.027</v>
      </c>
      <c r="W39" s="622">
        <v>1.239</v>
      </c>
      <c r="X39" s="622">
        <v>1.213</v>
      </c>
      <c r="Y39" s="622">
        <f>1.441</f>
        <v>1.441</v>
      </c>
      <c r="Z39" s="622">
        <v>1.64</v>
      </c>
      <c r="AA39" s="622">
        <v>1.403</v>
      </c>
      <c r="AB39" s="622">
        <v>1.395</v>
      </c>
      <c r="AC39" s="622">
        <v>1.208</v>
      </c>
      <c r="AD39" s="648">
        <v>1.248</v>
      </c>
      <c r="AE39" s="632">
        <f t="shared" si="1"/>
        <v>3.3112582781456865</v>
      </c>
      <c r="AF39" s="610" t="s">
        <v>149</v>
      </c>
    </row>
    <row r="40" spans="1:32" s="627" customFormat="1" ht="12.75" customHeight="1">
      <c r="A40" s="619"/>
      <c r="B40" s="598" t="s">
        <v>236</v>
      </c>
      <c r="C40" s="720"/>
      <c r="D40" s="720"/>
      <c r="E40" s="721"/>
      <c r="F40" s="615"/>
      <c r="G40" s="615"/>
      <c r="H40" s="615"/>
      <c r="I40" s="615"/>
      <c r="J40" s="616"/>
      <c r="K40" s="616"/>
      <c r="L40" s="616"/>
      <c r="M40" s="616"/>
      <c r="N40" s="616"/>
      <c r="O40" s="616"/>
      <c r="P40" s="615"/>
      <c r="Q40" s="616"/>
      <c r="R40" s="615"/>
      <c r="S40" s="615"/>
      <c r="T40" s="615"/>
      <c r="U40" s="615"/>
      <c r="V40" s="615"/>
      <c r="W40" s="616"/>
      <c r="X40" s="616"/>
      <c r="Y40" s="616">
        <v>9.398804324412298</v>
      </c>
      <c r="Z40" s="616">
        <v>9.547604794538175</v>
      </c>
      <c r="AA40" s="616">
        <v>9.462568086499578</v>
      </c>
      <c r="AB40" s="616">
        <v>9.21917067650737</v>
      </c>
      <c r="AC40" s="616">
        <v>8.89309021507867</v>
      </c>
      <c r="AD40" s="704">
        <v>9.344</v>
      </c>
      <c r="AE40" s="617">
        <f t="shared" si="1"/>
        <v>5.070338588905685</v>
      </c>
      <c r="AF40" s="598" t="s">
        <v>236</v>
      </c>
    </row>
    <row r="41" spans="1:32" ht="12.75" customHeight="1">
      <c r="A41" s="597"/>
      <c r="B41" s="657" t="s">
        <v>150</v>
      </c>
      <c r="C41" s="630" t="s">
        <v>99</v>
      </c>
      <c r="D41" s="630" t="s">
        <v>99</v>
      </c>
      <c r="E41" s="622" t="s">
        <v>99</v>
      </c>
      <c r="F41" s="622" t="s">
        <v>99</v>
      </c>
      <c r="G41" s="622" t="s">
        <v>99</v>
      </c>
      <c r="H41" s="622">
        <v>86.914</v>
      </c>
      <c r="I41" s="622">
        <v>79.17</v>
      </c>
      <c r="J41" s="622">
        <v>85.674</v>
      </c>
      <c r="K41" s="622">
        <v>91.658</v>
      </c>
      <c r="L41" s="622">
        <v>95.36</v>
      </c>
      <c r="M41" s="622">
        <v>94.914</v>
      </c>
      <c r="N41" s="622">
        <v>91.263</v>
      </c>
      <c r="O41" s="622">
        <v>87.391</v>
      </c>
      <c r="P41" s="622">
        <v>76.8</v>
      </c>
      <c r="Q41" s="623">
        <v>80</v>
      </c>
      <c r="R41" s="623">
        <v>81</v>
      </c>
      <c r="S41" s="623">
        <v>85</v>
      </c>
      <c r="T41" s="623">
        <v>95</v>
      </c>
      <c r="U41" s="623">
        <v>100</v>
      </c>
      <c r="V41" s="623">
        <v>105</v>
      </c>
      <c r="W41" s="623">
        <v>110</v>
      </c>
      <c r="X41" s="661">
        <v>88.426</v>
      </c>
      <c r="Y41" s="622">
        <v>89.056</v>
      </c>
      <c r="Z41" s="622">
        <v>95.334</v>
      </c>
      <c r="AA41" s="622">
        <v>96.559</v>
      </c>
      <c r="AB41" s="622">
        <v>94.846</v>
      </c>
      <c r="AC41" s="622">
        <v>93.918</v>
      </c>
      <c r="AD41" s="648">
        <v>90.839</v>
      </c>
      <c r="AE41" s="662">
        <f t="shared" si="1"/>
        <v>-3.27839178858153</v>
      </c>
      <c r="AF41" s="657" t="s">
        <v>150</v>
      </c>
    </row>
    <row r="42" spans="1:32" s="627" customFormat="1" ht="12.75" customHeight="1">
      <c r="A42" s="619"/>
      <c r="B42" s="598" t="s">
        <v>151</v>
      </c>
      <c r="C42" s="663" t="s">
        <v>99</v>
      </c>
      <c r="D42" s="663" t="s">
        <v>99</v>
      </c>
      <c r="E42" s="664" t="s">
        <v>99</v>
      </c>
      <c r="F42" s="664" t="s">
        <v>99</v>
      </c>
      <c r="G42" s="664" t="s">
        <v>99</v>
      </c>
      <c r="H42" s="664" t="s">
        <v>99</v>
      </c>
      <c r="I42" s="664" t="s">
        <v>99</v>
      </c>
      <c r="J42" s="664">
        <v>0.389</v>
      </c>
      <c r="K42" s="664">
        <v>0.408</v>
      </c>
      <c r="L42" s="664">
        <v>0.433</v>
      </c>
      <c r="M42" s="664">
        <v>0.458</v>
      </c>
      <c r="N42" s="664">
        <v>0.468</v>
      </c>
      <c r="O42" s="664">
        <v>0.485</v>
      </c>
      <c r="P42" s="664">
        <v>0.508</v>
      </c>
      <c r="Q42" s="664">
        <v>0.523</v>
      </c>
      <c r="R42" s="664">
        <v>0.537</v>
      </c>
      <c r="S42" s="664">
        <v>0.554</v>
      </c>
      <c r="T42" s="664">
        <v>0.587</v>
      </c>
      <c r="U42" s="664">
        <v>0.622</v>
      </c>
      <c r="V42" s="664">
        <v>0.653</v>
      </c>
      <c r="W42" s="664">
        <v>0.636</v>
      </c>
      <c r="X42" s="664">
        <v>0.644</v>
      </c>
      <c r="Y42" s="664">
        <v>0.638</v>
      </c>
      <c r="Z42" s="664">
        <v>0.615</v>
      </c>
      <c r="AA42" s="664">
        <v>0.622</v>
      </c>
      <c r="AB42" s="664">
        <v>0.64</v>
      </c>
      <c r="AC42" s="664">
        <v>0.673</v>
      </c>
      <c r="AD42" s="722">
        <v>0.721</v>
      </c>
      <c r="AE42" s="665">
        <f t="shared" si="1"/>
        <v>7.132243684992574</v>
      </c>
      <c r="AF42" s="598" t="s">
        <v>151</v>
      </c>
    </row>
    <row r="43" spans="1:32" ht="12.75" customHeight="1">
      <c r="A43" s="597"/>
      <c r="B43" s="610" t="s">
        <v>152</v>
      </c>
      <c r="C43" s="630">
        <v>3.726</v>
      </c>
      <c r="D43" s="630">
        <v>4.257</v>
      </c>
      <c r="E43" s="622">
        <v>3.89</v>
      </c>
      <c r="F43" s="622">
        <v>3.935</v>
      </c>
      <c r="G43" s="622">
        <v>3.935</v>
      </c>
      <c r="H43" s="622">
        <v>3.935</v>
      </c>
      <c r="I43" s="622">
        <v>4</v>
      </c>
      <c r="J43" s="622">
        <v>3.752</v>
      </c>
      <c r="K43" s="622">
        <v>4.117</v>
      </c>
      <c r="L43" s="622">
        <v>4.248</v>
      </c>
      <c r="M43" s="622">
        <v>4.212</v>
      </c>
      <c r="N43" s="622">
        <v>4.177</v>
      </c>
      <c r="O43" s="622">
        <v>4.141</v>
      </c>
      <c r="P43" s="622">
        <v>4.105</v>
      </c>
      <c r="Q43" s="622">
        <v>4.125</v>
      </c>
      <c r="R43" s="622">
        <v>4.005</v>
      </c>
      <c r="S43" s="622">
        <v>4.231</v>
      </c>
      <c r="T43" s="622">
        <v>4.312</v>
      </c>
      <c r="U43" s="622">
        <v>4.258</v>
      </c>
      <c r="V43" s="622">
        <v>4.268</v>
      </c>
      <c r="W43" s="622">
        <v>4.36</v>
      </c>
      <c r="X43" s="622">
        <v>4.401</v>
      </c>
      <c r="Y43" s="622">
        <f>4.506</f>
        <v>4.506</v>
      </c>
      <c r="Z43" s="622">
        <v>4.748</v>
      </c>
      <c r="AA43" s="622">
        <v>3.788</v>
      </c>
      <c r="AB43" s="622">
        <v>3.738</v>
      </c>
      <c r="AC43" s="622">
        <v>3.793</v>
      </c>
      <c r="AD43" s="648">
        <v>4.089</v>
      </c>
      <c r="AE43" s="632">
        <f t="shared" si="1"/>
        <v>7.803849195887167</v>
      </c>
      <c r="AF43" s="610" t="s">
        <v>152</v>
      </c>
    </row>
    <row r="44" spans="1:32" s="627" customFormat="1" ht="12.75" customHeight="1">
      <c r="A44" s="619"/>
      <c r="B44" s="604" t="s">
        <v>153</v>
      </c>
      <c r="C44" s="666">
        <v>1.885</v>
      </c>
      <c r="D44" s="666">
        <v>2.486</v>
      </c>
      <c r="E44" s="650">
        <v>3.318</v>
      </c>
      <c r="F44" s="650">
        <v>3.627</v>
      </c>
      <c r="G44" s="650">
        <v>3.583</v>
      </c>
      <c r="H44" s="650">
        <v>3.539</v>
      </c>
      <c r="I44" s="651">
        <v>3.531</v>
      </c>
      <c r="J44" s="650">
        <f>2.3881+0.8137+2.327</f>
        <v>5.5288</v>
      </c>
      <c r="K44" s="650">
        <f>2.2944+0.8259+2.304</f>
        <v>5.4243</v>
      </c>
      <c r="L44" s="650">
        <f>2.2758+0.8245+2.287</f>
        <v>5.3873</v>
      </c>
      <c r="M44" s="649">
        <f>0.547+2.0788+2.129</f>
        <v>4.7548</v>
      </c>
      <c r="N44" s="650">
        <f>0.529+2.1269+2.069</f>
        <v>4.7249</v>
      </c>
      <c r="O44" s="650">
        <f>0.5283+2.1834+2.087</f>
        <v>4.7987</v>
      </c>
      <c r="P44" s="650">
        <f>0.5267+2.3116+2.01</f>
        <v>4.8483</v>
      </c>
      <c r="Q44" s="650">
        <f>0.5281+2.3648+1.968</f>
        <v>4.8609</v>
      </c>
      <c r="R44" s="650">
        <f>0.5193+2.4579+2.017</f>
        <v>4.994199999999999</v>
      </c>
      <c r="S44" s="650">
        <f>0.5348+2.4569+2.066</f>
        <v>5.0577000000000005</v>
      </c>
      <c r="T44" s="650">
        <v>5.3115</v>
      </c>
      <c r="U44" s="650">
        <v>5.6021</v>
      </c>
      <c r="V44" s="650">
        <v>5.673</v>
      </c>
      <c r="W44" s="650">
        <v>5.3265</v>
      </c>
      <c r="X44" s="650">
        <v>5.4176910016</v>
      </c>
      <c r="Y44" s="650">
        <v>5.5076538816</v>
      </c>
      <c r="Z44" s="650">
        <v>5.6060850048</v>
      </c>
      <c r="AA44" s="650">
        <v>5.7069478848</v>
      </c>
      <c r="AB44" s="650">
        <v>5.7751977792</v>
      </c>
      <c r="AC44" s="650">
        <v>5.8559</v>
      </c>
      <c r="AD44" s="723">
        <v>6.0099260096</v>
      </c>
      <c r="AE44" s="667">
        <f t="shared" si="1"/>
        <v>2.630270489591709</v>
      </c>
      <c r="AF44" s="604" t="s">
        <v>153</v>
      </c>
    </row>
    <row r="45" spans="2:32" ht="15" customHeight="1">
      <c r="B45" s="724" t="s">
        <v>179</v>
      </c>
      <c r="C45" s="724"/>
      <c r="D45" s="724"/>
      <c r="E45" s="724"/>
      <c r="F45" s="724"/>
      <c r="G45" s="724"/>
      <c r="H45" s="724"/>
      <c r="I45" s="724"/>
      <c r="J45" s="724"/>
      <c r="K45" s="724"/>
      <c r="L45" s="724"/>
      <c r="M45" s="724"/>
      <c r="N45" s="724"/>
      <c r="O45" s="724"/>
      <c r="P45" s="724"/>
      <c r="Q45" s="724"/>
      <c r="R45" s="724"/>
      <c r="S45" s="724"/>
      <c r="T45" s="724"/>
      <c r="U45" s="724"/>
      <c r="V45" s="724"/>
      <c r="W45" s="724"/>
      <c r="X45" s="724"/>
      <c r="Y45" s="724"/>
      <c r="Z45" s="724"/>
      <c r="AA45" s="724"/>
      <c r="AB45" s="724"/>
      <c r="AC45" s="724"/>
      <c r="AD45" s="724"/>
      <c r="AE45" s="724"/>
      <c r="AF45" s="725"/>
    </row>
    <row r="46" spans="2:31" ht="12.75" customHeight="1">
      <c r="B46" s="726" t="s">
        <v>173</v>
      </c>
      <c r="C46" s="727"/>
      <c r="D46" s="675"/>
      <c r="E46" s="675"/>
      <c r="F46" s="675"/>
      <c r="G46" s="675"/>
      <c r="H46" s="728"/>
      <c r="I46" s="675"/>
      <c r="J46" s="675"/>
      <c r="K46" s="672"/>
      <c r="L46" s="675"/>
      <c r="M46" s="673"/>
      <c r="N46" s="673"/>
      <c r="AE46" s="729"/>
    </row>
    <row r="47" spans="2:30" s="577" customFormat="1" ht="12.75" customHeight="1">
      <c r="B47" s="577" t="s">
        <v>339</v>
      </c>
      <c r="D47" s="730"/>
      <c r="E47" s="730"/>
      <c r="F47" s="730"/>
      <c r="G47" s="730"/>
      <c r="H47" s="730"/>
      <c r="I47" s="730"/>
      <c r="J47" s="730"/>
      <c r="K47" s="730"/>
      <c r="L47" s="730"/>
      <c r="M47" s="730"/>
      <c r="N47" s="730"/>
      <c r="O47" s="731"/>
      <c r="P47" s="731"/>
      <c r="Q47" s="731"/>
      <c r="R47" s="731"/>
      <c r="S47" s="731"/>
      <c r="T47" s="731"/>
      <c r="U47" s="731"/>
      <c r="V47" s="731"/>
      <c r="W47" s="731"/>
      <c r="X47" s="731"/>
      <c r="Y47" s="731"/>
      <c r="Z47" s="731"/>
      <c r="AA47" s="731"/>
      <c r="AB47" s="731"/>
      <c r="AC47" s="731"/>
      <c r="AD47" s="731"/>
    </row>
    <row r="48" spans="2:31" s="577" customFormat="1" ht="12.75" customHeight="1">
      <c r="B48" s="1272" t="s">
        <v>311</v>
      </c>
      <c r="C48" s="1272"/>
      <c r="D48" s="1272"/>
      <c r="E48" s="1272"/>
      <c r="F48" s="1272"/>
      <c r="G48" s="1272"/>
      <c r="H48" s="1272"/>
      <c r="I48" s="1272"/>
      <c r="J48" s="1272"/>
      <c r="K48" s="1272"/>
      <c r="L48" s="1272"/>
      <c r="M48" s="1272"/>
      <c r="N48" s="1272"/>
      <c r="O48" s="1272"/>
      <c r="P48" s="1272"/>
      <c r="Q48" s="1272"/>
      <c r="R48" s="1272"/>
      <c r="S48" s="1272"/>
      <c r="T48" s="1272"/>
      <c r="U48" s="1272"/>
      <c r="V48" s="1272"/>
      <c r="W48" s="1272"/>
      <c r="X48" s="1272"/>
      <c r="Y48" s="1272"/>
      <c r="Z48" s="1272"/>
      <c r="AA48" s="1272"/>
      <c r="AB48" s="1272"/>
      <c r="AC48" s="1272"/>
      <c r="AD48" s="1272"/>
      <c r="AE48" s="1272"/>
    </row>
    <row r="49" ht="11.25">
      <c r="B49" s="573" t="s">
        <v>312</v>
      </c>
    </row>
    <row r="50" ht="11.25">
      <c r="B50" s="573" t="s">
        <v>340</v>
      </c>
    </row>
    <row r="51" ht="12.75" customHeight="1">
      <c r="B51" s="573" t="s">
        <v>313</v>
      </c>
    </row>
    <row r="52" spans="2:32" s="577" customFormat="1" ht="11.25" customHeight="1">
      <c r="B52" s="732" t="s">
        <v>180</v>
      </c>
      <c r="D52" s="730"/>
      <c r="E52" s="730"/>
      <c r="F52" s="730"/>
      <c r="G52" s="730"/>
      <c r="H52" s="730"/>
      <c r="I52" s="730"/>
      <c r="J52" s="730"/>
      <c r="K52" s="730"/>
      <c r="L52" s="730"/>
      <c r="M52" s="730"/>
      <c r="N52" s="730"/>
      <c r="O52" s="730"/>
      <c r="P52" s="730"/>
      <c r="Q52" s="730"/>
      <c r="R52" s="730"/>
      <c r="S52" s="730"/>
      <c r="T52" s="573"/>
      <c r="U52" s="573"/>
      <c r="V52" s="573"/>
      <c r="W52" s="573"/>
      <c r="X52" s="573"/>
      <c r="Y52" s="573"/>
      <c r="Z52" s="573"/>
      <c r="AA52" s="573"/>
      <c r="AD52" s="573"/>
      <c r="AE52" s="573"/>
      <c r="AF52" s="573"/>
    </row>
    <row r="53" spans="2:29" ht="12.75" customHeight="1">
      <c r="B53" s="573" t="s">
        <v>307</v>
      </c>
      <c r="C53" s="733"/>
      <c r="D53" s="733"/>
      <c r="E53" s="733"/>
      <c r="F53" s="733"/>
      <c r="G53" s="733"/>
      <c r="H53" s="733"/>
      <c r="I53" s="733"/>
      <c r="J53" s="733"/>
      <c r="K53" s="733"/>
      <c r="L53" s="734"/>
      <c r="M53" s="734"/>
      <c r="N53" s="734"/>
      <c r="O53" s="730"/>
      <c r="P53" s="730"/>
      <c r="Q53" s="730"/>
      <c r="R53" s="730"/>
      <c r="S53" s="730"/>
      <c r="T53" s="730"/>
      <c r="U53" s="730"/>
      <c r="V53" s="730"/>
      <c r="W53" s="730"/>
      <c r="X53" s="730"/>
      <c r="Y53" s="730"/>
      <c r="Z53" s="730"/>
      <c r="AA53" s="730"/>
      <c r="AB53" s="730"/>
      <c r="AC53" s="730"/>
    </row>
    <row r="54" ht="11.25">
      <c r="B54" s="573" t="s">
        <v>314</v>
      </c>
    </row>
    <row r="55" spans="2:19" ht="11.25">
      <c r="B55" s="679" t="s">
        <v>341</v>
      </c>
      <c r="E55" s="735"/>
      <c r="F55" s="735"/>
      <c r="G55" s="735"/>
      <c r="H55" s="735"/>
      <c r="I55" s="735"/>
      <c r="J55" s="735"/>
      <c r="K55" s="735"/>
      <c r="L55" s="735"/>
      <c r="M55" s="735"/>
      <c r="N55" s="735"/>
      <c r="O55" s="735"/>
      <c r="P55" s="735"/>
      <c r="Q55" s="735"/>
      <c r="R55" s="735"/>
      <c r="S55" s="735"/>
    </row>
    <row r="56" spans="20:29" ht="11.25">
      <c r="T56" s="612"/>
      <c r="AB56" s="612"/>
      <c r="AC56" s="612"/>
    </row>
    <row r="57" ht="11.25">
      <c r="E57" s="736"/>
    </row>
    <row r="59" spans="21:27" ht="11.25">
      <c r="U59" s="730"/>
      <c r="V59" s="730"/>
      <c r="W59" s="730"/>
      <c r="X59" s="730"/>
      <c r="Y59" s="730"/>
      <c r="Z59" s="730"/>
      <c r="AA59" s="730"/>
    </row>
    <row r="61" spans="20:29" ht="11.25">
      <c r="T61" s="622"/>
      <c r="U61" s="735"/>
      <c r="V61" s="737"/>
      <c r="W61" s="737"/>
      <c r="X61" s="737"/>
      <c r="Y61" s="737"/>
      <c r="Z61" s="737"/>
      <c r="AA61" s="737"/>
      <c r="AB61" s="622"/>
      <c r="AC61" s="622"/>
    </row>
    <row r="62" spans="20:29" ht="11.25">
      <c r="T62" s="622"/>
      <c r="AB62" s="622"/>
      <c r="AC62" s="622"/>
    </row>
    <row r="63" spans="20:29" ht="11.25">
      <c r="T63" s="680"/>
      <c r="AB63" s="680"/>
      <c r="AC63" s="680"/>
    </row>
    <row r="64" spans="20:29" ht="11.25">
      <c r="T64" s="612"/>
      <c r="AB64" s="612"/>
      <c r="AC64" s="612"/>
    </row>
    <row r="65" spans="23:27" ht="11.25">
      <c r="W65" s="737"/>
      <c r="X65" s="737"/>
      <c r="Y65" s="737"/>
      <c r="Z65" s="737"/>
      <c r="AA65" s="737"/>
    </row>
    <row r="71" spans="23:28" ht="11.25">
      <c r="W71" s="737"/>
      <c r="X71" s="737"/>
      <c r="Y71" s="737"/>
      <c r="Z71" s="737"/>
      <c r="AA71" s="737"/>
      <c r="AB71" s="737"/>
    </row>
    <row r="72" spans="23:28" ht="11.25">
      <c r="W72" s="737"/>
      <c r="X72" s="737"/>
      <c r="Y72" s="737"/>
      <c r="Z72" s="737"/>
      <c r="AA72" s="737"/>
      <c r="AB72" s="737"/>
    </row>
  </sheetData>
  <sheetProtection/>
  <mergeCells count="2">
    <mergeCell ref="B2:AF2"/>
    <mergeCell ref="B48:AE48"/>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70C0"/>
  </sheetPr>
  <dimension ref="A1:AH72"/>
  <sheetViews>
    <sheetView zoomScalePageLayoutView="0" workbookViewId="0" topLeftCell="A1">
      <selection activeCell="AH6" sqref="AH6:AH7"/>
    </sheetView>
  </sheetViews>
  <sheetFormatPr defaultColWidth="9.140625" defaultRowHeight="12.75"/>
  <cols>
    <col min="1" max="1" width="2.7109375" style="597" customWidth="1"/>
    <col min="2" max="2" width="4.00390625" style="573" customWidth="1"/>
    <col min="3" max="20" width="6.7109375" style="573" hidden="1" customWidth="1"/>
    <col min="21" max="30" width="7.28125" style="573" customWidth="1"/>
    <col min="31" max="31" width="8.00390625" style="573" customWidth="1"/>
    <col min="32" max="32" width="4.8515625" style="573" customWidth="1"/>
    <col min="33" max="16384" width="9.140625" style="573" customWidth="1"/>
  </cols>
  <sheetData>
    <row r="1" spans="2:32" ht="14.25" customHeight="1">
      <c r="B1" s="570"/>
      <c r="C1" s="571"/>
      <c r="D1" s="571"/>
      <c r="E1" s="571"/>
      <c r="F1" s="571"/>
      <c r="G1" s="571"/>
      <c r="H1" s="571"/>
      <c r="I1" s="571"/>
      <c r="J1" s="571"/>
      <c r="K1" s="571"/>
      <c r="L1" s="571"/>
      <c r="M1" s="571"/>
      <c r="N1" s="571"/>
      <c r="O1" s="571"/>
      <c r="P1" s="571"/>
      <c r="Q1" s="572"/>
      <c r="T1" s="574"/>
      <c r="U1" s="574"/>
      <c r="V1" s="574"/>
      <c r="W1" s="574"/>
      <c r="X1" s="574"/>
      <c r="Y1" s="574"/>
      <c r="Z1" s="574"/>
      <c r="AA1" s="574"/>
      <c r="AB1" s="574"/>
      <c r="AC1" s="574"/>
      <c r="AD1" s="574"/>
      <c r="AF1" s="574" t="s">
        <v>181</v>
      </c>
    </row>
    <row r="2" spans="1:32" s="577" customFormat="1" ht="30" customHeight="1">
      <c r="A2" s="738"/>
      <c r="B2" s="1271" t="s">
        <v>172</v>
      </c>
      <c r="C2" s="1271"/>
      <c r="D2" s="1271"/>
      <c r="E2" s="1271"/>
      <c r="F2" s="1271"/>
      <c r="G2" s="1271"/>
      <c r="H2" s="1271"/>
      <c r="I2" s="1271"/>
      <c r="J2" s="1271"/>
      <c r="K2" s="1271"/>
      <c r="L2" s="1271"/>
      <c r="M2" s="1271"/>
      <c r="N2" s="1271"/>
      <c r="O2" s="1271"/>
      <c r="P2" s="1271"/>
      <c r="Q2" s="1271"/>
      <c r="R2" s="1271"/>
      <c r="S2" s="1271"/>
      <c r="T2" s="1271"/>
      <c r="U2" s="1271"/>
      <c r="V2" s="1271"/>
      <c r="W2" s="1271"/>
      <c r="X2" s="1271"/>
      <c r="Y2" s="1271"/>
      <c r="Z2" s="1271"/>
      <c r="AA2" s="1271"/>
      <c r="AB2" s="1271"/>
      <c r="AC2" s="1271"/>
      <c r="AD2" s="1271"/>
      <c r="AE2" s="1271"/>
      <c r="AF2" s="1271"/>
    </row>
    <row r="3" spans="3:32" ht="15" customHeight="1">
      <c r="C3" s="578"/>
      <c r="D3" s="578"/>
      <c r="E3" s="578"/>
      <c r="F3" s="578"/>
      <c r="G3" s="578"/>
      <c r="H3" s="578"/>
      <c r="I3" s="578"/>
      <c r="J3" s="578"/>
      <c r="K3" s="578"/>
      <c r="L3" s="578"/>
      <c r="M3" s="578"/>
      <c r="N3" s="578"/>
      <c r="O3" s="578"/>
      <c r="P3" s="578"/>
      <c r="Q3" s="578"/>
      <c r="X3" s="578" t="s">
        <v>253</v>
      </c>
      <c r="Y3" s="578"/>
      <c r="Z3" s="578"/>
      <c r="AA3" s="578"/>
      <c r="AB3" s="578"/>
      <c r="AC3" s="578"/>
      <c r="AD3" s="578"/>
      <c r="AE3" s="580"/>
      <c r="AF3" s="578"/>
    </row>
    <row r="4" spans="2:34" ht="19.5" customHeight="1">
      <c r="B4" s="581"/>
      <c r="C4" s="582">
        <v>1970</v>
      </c>
      <c r="D4" s="582">
        <v>1980</v>
      </c>
      <c r="E4" s="583">
        <v>1990</v>
      </c>
      <c r="F4" s="583">
        <v>1991</v>
      </c>
      <c r="G4" s="583">
        <v>1992</v>
      </c>
      <c r="H4" s="583">
        <v>1993</v>
      </c>
      <c r="I4" s="583">
        <v>1994</v>
      </c>
      <c r="J4" s="583">
        <v>1995</v>
      </c>
      <c r="K4" s="583">
        <v>1996</v>
      </c>
      <c r="L4" s="583">
        <v>1997</v>
      </c>
      <c r="M4" s="583">
        <v>1998</v>
      </c>
      <c r="N4" s="583">
        <v>1999</v>
      </c>
      <c r="O4" s="583">
        <v>2000</v>
      </c>
      <c r="P4" s="583">
        <v>2001</v>
      </c>
      <c r="Q4" s="583">
        <v>2002</v>
      </c>
      <c r="R4" s="583">
        <v>2003</v>
      </c>
      <c r="S4" s="583">
        <v>2004</v>
      </c>
      <c r="T4" s="583">
        <v>2005</v>
      </c>
      <c r="U4" s="583">
        <v>2006</v>
      </c>
      <c r="V4" s="583">
        <v>2007</v>
      </c>
      <c r="W4" s="583">
        <v>2008</v>
      </c>
      <c r="X4" s="583">
        <v>2009</v>
      </c>
      <c r="Y4" s="583">
        <v>2010</v>
      </c>
      <c r="Z4" s="583">
        <v>2011</v>
      </c>
      <c r="AA4" s="583">
        <v>2012</v>
      </c>
      <c r="AB4" s="583">
        <v>2013</v>
      </c>
      <c r="AC4" s="583">
        <v>2014</v>
      </c>
      <c r="AD4" s="583">
        <v>2015</v>
      </c>
      <c r="AE4" s="584" t="s">
        <v>331</v>
      </c>
      <c r="AF4" s="681"/>
      <c r="AG4" s="313" t="s">
        <v>346</v>
      </c>
      <c r="AH4" s="297"/>
    </row>
    <row r="5" spans="2:34" ht="9.75" customHeight="1">
      <c r="B5" s="581"/>
      <c r="C5" s="682"/>
      <c r="D5" s="682"/>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683" t="s">
        <v>147</v>
      </c>
      <c r="AF5" s="681"/>
      <c r="AG5" s="241" t="s">
        <v>0</v>
      </c>
      <c r="AH5" s="297" t="s">
        <v>327</v>
      </c>
    </row>
    <row r="6" spans="2:34" ht="12.75" customHeight="1">
      <c r="B6" s="591" t="s">
        <v>250</v>
      </c>
      <c r="C6" s="739" t="s">
        <v>99</v>
      </c>
      <c r="D6" s="739" t="s">
        <v>99</v>
      </c>
      <c r="E6" s="685" t="s">
        <v>99</v>
      </c>
      <c r="F6" s="685" t="s">
        <v>99</v>
      </c>
      <c r="G6" s="685" t="s">
        <v>99</v>
      </c>
      <c r="H6" s="685" t="s">
        <v>99</v>
      </c>
      <c r="I6" s="685" t="s">
        <v>99</v>
      </c>
      <c r="J6" s="686">
        <v>73.71903011209119</v>
      </c>
      <c r="K6" s="686">
        <v>74.88954108527673</v>
      </c>
      <c r="L6" s="686">
        <v>75.67054402780744</v>
      </c>
      <c r="M6" s="686">
        <v>76.85262198072537</v>
      </c>
      <c r="N6" s="686">
        <v>78.51509682077854</v>
      </c>
      <c r="O6" s="686">
        <v>80.0924826697441</v>
      </c>
      <c r="P6" s="686">
        <v>80.89515498490023</v>
      </c>
      <c r="Q6" s="686">
        <v>81.67139268915017</v>
      </c>
      <c r="R6" s="686">
        <v>82.09006979555612</v>
      </c>
      <c r="S6" s="686">
        <v>85.34013743624409</v>
      </c>
      <c r="T6" s="686">
        <v>86.08519745887872</v>
      </c>
      <c r="U6" s="686">
        <v>87.85912816090782</v>
      </c>
      <c r="V6" s="686">
        <v>89.97241998789852</v>
      </c>
      <c r="W6" s="686">
        <v>93.54354812448204</v>
      </c>
      <c r="X6" s="686">
        <v>93.45798241195453</v>
      </c>
      <c r="Y6" s="686">
        <v>96.12143266802344</v>
      </c>
      <c r="Z6" s="686">
        <v>97.3460186098992</v>
      </c>
      <c r="AA6" s="686">
        <v>98.92246983318948</v>
      </c>
      <c r="AB6" s="686">
        <v>99.3516629482615</v>
      </c>
      <c r="AC6" s="686">
        <v>100.62664467596638</v>
      </c>
      <c r="AD6" s="686">
        <v>102.3634431270354</v>
      </c>
      <c r="AE6" s="740">
        <v>1.7259826725434237</v>
      </c>
      <c r="AF6" s="741" t="s">
        <v>250</v>
      </c>
      <c r="AG6" s="298">
        <v>508.19111599999997</v>
      </c>
      <c r="AH6" s="315">
        <f>AD6/AG6*1000</f>
        <v>201.42706140308718</v>
      </c>
    </row>
    <row r="7" spans="2:34" ht="12.75" customHeight="1">
      <c r="B7" s="598" t="s">
        <v>89</v>
      </c>
      <c r="C7" s="603">
        <v>38.910000000000004</v>
      </c>
      <c r="D7" s="603">
        <v>40.66999999999999</v>
      </c>
      <c r="E7" s="688">
        <v>50.76965626723036</v>
      </c>
      <c r="F7" s="688">
        <v>51.63650849921758</v>
      </c>
      <c r="G7" s="688">
        <v>51.12006622598522</v>
      </c>
      <c r="H7" s="688">
        <v>51.393721733549064</v>
      </c>
      <c r="I7" s="688">
        <v>51.312382198117284</v>
      </c>
      <c r="J7" s="688">
        <v>50.87474411209119</v>
      </c>
      <c r="K7" s="688">
        <v>52.15036208527671</v>
      </c>
      <c r="L7" s="688">
        <v>52.87555102780744</v>
      </c>
      <c r="M7" s="688">
        <v>53.950461980725386</v>
      </c>
      <c r="N7" s="688">
        <v>55.421388820778525</v>
      </c>
      <c r="O7" s="688">
        <v>57.10991166974409</v>
      </c>
      <c r="P7" s="688">
        <v>57.74074820490023</v>
      </c>
      <c r="Q7" s="688">
        <v>58.522443059150156</v>
      </c>
      <c r="R7" s="688">
        <v>58.98304119555614</v>
      </c>
      <c r="S7" s="688">
        <v>61.82417266624412</v>
      </c>
      <c r="T7" s="688">
        <v>63.09970591887871</v>
      </c>
      <c r="U7" s="688">
        <v>64.77922916090783</v>
      </c>
      <c r="V7" s="688">
        <v>66.58432198789852</v>
      </c>
      <c r="W7" s="688">
        <v>68.50774332448202</v>
      </c>
      <c r="X7" s="688">
        <v>68.62762501195454</v>
      </c>
      <c r="Y7" s="688">
        <v>71.0868232702474</v>
      </c>
      <c r="Z7" s="688">
        <v>72.64765774257242</v>
      </c>
      <c r="AA7" s="688">
        <v>72.77102687279948</v>
      </c>
      <c r="AB7" s="688">
        <v>73.25309744713405</v>
      </c>
      <c r="AC7" s="688">
        <v>74.13948066494262</v>
      </c>
      <c r="AD7" s="688">
        <v>75.85022346392773</v>
      </c>
      <c r="AE7" s="742">
        <v>2.3074653121950632</v>
      </c>
      <c r="AF7" s="743" t="s">
        <v>89</v>
      </c>
      <c r="AG7" s="298">
        <v>403.528101</v>
      </c>
      <c r="AH7" s="315">
        <f aca="true" t="shared" si="0" ref="AH7:AH36">AD7/AG7*1000</f>
        <v>187.96763664280158</v>
      </c>
    </row>
    <row r="8" spans="2:34" ht="12.75" customHeight="1">
      <c r="B8" s="604" t="s">
        <v>251</v>
      </c>
      <c r="C8" s="609"/>
      <c r="D8" s="609"/>
      <c r="E8" s="691"/>
      <c r="F8" s="691"/>
      <c r="G8" s="691"/>
      <c r="H8" s="691"/>
      <c r="I8" s="691"/>
      <c r="J8" s="691">
        <v>22.844285999999997</v>
      </c>
      <c r="K8" s="691">
        <v>22.73917900000002</v>
      </c>
      <c r="L8" s="691">
        <v>22.794992999999998</v>
      </c>
      <c r="M8" s="691">
        <v>22.902159999999988</v>
      </c>
      <c r="N8" s="691">
        <v>23.093708000000014</v>
      </c>
      <c r="O8" s="691">
        <v>22.982571000000007</v>
      </c>
      <c r="P8" s="691">
        <v>23.154406780000002</v>
      </c>
      <c r="Q8" s="691">
        <v>23.14894963000001</v>
      </c>
      <c r="R8" s="691">
        <v>23.10702859999998</v>
      </c>
      <c r="S8" s="691">
        <v>23.515964769999975</v>
      </c>
      <c r="T8" s="691">
        <v>22.985491540000012</v>
      </c>
      <c r="U8" s="691">
        <v>23.079898999999983</v>
      </c>
      <c r="V8" s="691">
        <v>23.388098</v>
      </c>
      <c r="W8" s="691">
        <v>25.035804800000022</v>
      </c>
      <c r="X8" s="691">
        <v>24.830357399999997</v>
      </c>
      <c r="Y8" s="691">
        <v>25.03460939777605</v>
      </c>
      <c r="Z8" s="691">
        <v>24.698360867326784</v>
      </c>
      <c r="AA8" s="691">
        <v>26.15144296039</v>
      </c>
      <c r="AB8" s="691">
        <v>26.098565501127453</v>
      </c>
      <c r="AC8" s="691">
        <v>26.48716401102375</v>
      </c>
      <c r="AD8" s="691">
        <v>26.513219663107662</v>
      </c>
      <c r="AE8" s="744">
        <v>0.0983708639893166</v>
      </c>
      <c r="AF8" s="604" t="s">
        <v>251</v>
      </c>
      <c r="AG8" s="298">
        <v>104.66301499999997</v>
      </c>
      <c r="AH8" s="315">
        <f t="shared" si="0"/>
        <v>253.31985384815897</v>
      </c>
    </row>
    <row r="9" spans="2:34" ht="12.75" customHeight="1">
      <c r="B9" s="598" t="s">
        <v>81</v>
      </c>
      <c r="C9" s="614">
        <v>1.5</v>
      </c>
      <c r="D9" s="614">
        <v>1.65</v>
      </c>
      <c r="E9" s="616">
        <v>4.244212898335107</v>
      </c>
      <c r="F9" s="616">
        <v>4.625125303965898</v>
      </c>
      <c r="G9" s="616">
        <v>4.720742575409969</v>
      </c>
      <c r="H9" s="616">
        <v>4.697141707164257</v>
      </c>
      <c r="I9" s="616">
        <v>4.89203012858048</v>
      </c>
      <c r="J9" s="616">
        <v>5.127203178238052</v>
      </c>
      <c r="K9" s="616">
        <v>5.5820940424240515</v>
      </c>
      <c r="L9" s="616">
        <v>5.6763765221457625</v>
      </c>
      <c r="M9" s="616">
        <v>5.770842162305629</v>
      </c>
      <c r="N9" s="616">
        <v>5.86549123511989</v>
      </c>
      <c r="O9" s="616">
        <v>5.9603240131662325</v>
      </c>
      <c r="P9" s="616">
        <v>6.055340769384238</v>
      </c>
      <c r="Q9" s="616">
        <v>6.150541777075853</v>
      </c>
      <c r="R9" s="616">
        <v>6.245927309905817</v>
      </c>
      <c r="S9" s="616">
        <v>6.34149764190213</v>
      </c>
      <c r="T9" s="616">
        <v>6.437253047456507</v>
      </c>
      <c r="U9" s="616">
        <v>6.533193801324818</v>
      </c>
      <c r="V9" s="616">
        <v>6.629320178627555</v>
      </c>
      <c r="W9" s="616">
        <v>6.725632454850284</v>
      </c>
      <c r="X9" s="616">
        <v>6.822130905844093</v>
      </c>
      <c r="Y9" s="616">
        <v>6.91881580782606</v>
      </c>
      <c r="Z9" s="616">
        <v>7.015687437379696</v>
      </c>
      <c r="AA9" s="616">
        <v>7.112746071455411</v>
      </c>
      <c r="AB9" s="616">
        <v>7.209991987370969</v>
      </c>
      <c r="AC9" s="616">
        <v>7.010058362987262</v>
      </c>
      <c r="AD9" s="616">
        <v>7.18204298832206</v>
      </c>
      <c r="AE9" s="617">
        <f>AD9/AC9*100-100</f>
        <v>2.453397909536207</v>
      </c>
      <c r="AF9" s="833" t="s">
        <v>81</v>
      </c>
      <c r="AG9" s="298">
        <v>8.584926</v>
      </c>
      <c r="AH9" s="315">
        <f t="shared" si="0"/>
        <v>836.587640746357</v>
      </c>
    </row>
    <row r="10" spans="2:34" ht="12.75" customHeight="1">
      <c r="B10" s="610" t="s">
        <v>60</v>
      </c>
      <c r="C10" s="611">
        <v>0.86</v>
      </c>
      <c r="D10" s="611">
        <v>0.77</v>
      </c>
      <c r="E10" s="638">
        <v>0.74</v>
      </c>
      <c r="F10" s="638">
        <v>0.75</v>
      </c>
      <c r="G10" s="638">
        <v>0.76</v>
      </c>
      <c r="H10" s="638">
        <v>0.77</v>
      </c>
      <c r="I10" s="638">
        <v>0.79</v>
      </c>
      <c r="J10" s="638">
        <v>0.8</v>
      </c>
      <c r="K10" s="638">
        <v>0.81</v>
      </c>
      <c r="L10" s="831">
        <v>0.82</v>
      </c>
      <c r="M10" s="638">
        <v>0.82</v>
      </c>
      <c r="N10" s="638">
        <v>0.82</v>
      </c>
      <c r="O10" s="638">
        <v>0.87</v>
      </c>
      <c r="P10" s="638">
        <v>0.876</v>
      </c>
      <c r="Q10" s="639">
        <v>0.89</v>
      </c>
      <c r="R10" s="639">
        <v>0.9</v>
      </c>
      <c r="S10" s="639">
        <v>0.91</v>
      </c>
      <c r="T10" s="639">
        <v>0.93</v>
      </c>
      <c r="U10" s="639">
        <v>0.95</v>
      </c>
      <c r="V10" s="639">
        <v>0.97</v>
      </c>
      <c r="W10" s="639">
        <v>1</v>
      </c>
      <c r="X10" s="639">
        <v>1</v>
      </c>
      <c r="Y10" s="639">
        <v>1.07</v>
      </c>
      <c r="Z10" s="639">
        <f>Y10*329.9/311.6</f>
        <v>1.1328401797175867</v>
      </c>
      <c r="AA10" s="639">
        <f>Z10*(132.4+123.5)/(125.8+112.1)</f>
        <v>1.2185531819660802</v>
      </c>
      <c r="AB10" s="639">
        <f>AA10*354.8/348.8</f>
        <v>1.2395145325732948</v>
      </c>
      <c r="AC10" s="639">
        <f>AB10*(133.4+131.3)/(138.3+128.9)</f>
        <v>1.227917278338889</v>
      </c>
      <c r="AD10" s="639">
        <f>AC10*((134.9+132.7)/(133.4+131.1))</f>
        <v>1.242308747385583</v>
      </c>
      <c r="AE10" s="745">
        <f>AD10/AC10*100-100</f>
        <v>1.172022684310022</v>
      </c>
      <c r="AF10" s="610" t="s">
        <v>60</v>
      </c>
      <c r="AG10" s="298">
        <v>11.258434</v>
      </c>
      <c r="AH10" s="315">
        <f t="shared" si="0"/>
        <v>110.34472000151912</v>
      </c>
    </row>
    <row r="11" spans="1:34" s="627" customFormat="1" ht="12.75" customHeight="1">
      <c r="A11" s="619"/>
      <c r="B11" s="598" t="s">
        <v>101</v>
      </c>
      <c r="C11" s="614"/>
      <c r="D11" s="614"/>
      <c r="E11" s="615">
        <v>0.586</v>
      </c>
      <c r="F11" s="615">
        <v>0.454</v>
      </c>
      <c r="G11" s="615">
        <v>0.524</v>
      </c>
      <c r="H11" s="615">
        <v>0.283</v>
      </c>
      <c r="I11" s="615">
        <v>0.25</v>
      </c>
      <c r="J11" s="615">
        <v>0.283</v>
      </c>
      <c r="K11" s="615">
        <v>0.296</v>
      </c>
      <c r="L11" s="615">
        <v>0.308</v>
      </c>
      <c r="M11" s="615">
        <v>0.444</v>
      </c>
      <c r="N11" s="615">
        <v>0.46</v>
      </c>
      <c r="O11" s="615">
        <v>0.419</v>
      </c>
      <c r="P11" s="615">
        <v>0.469</v>
      </c>
      <c r="Q11" s="615">
        <v>0.436</v>
      </c>
      <c r="R11" s="615">
        <v>0.486</v>
      </c>
      <c r="S11" s="615">
        <v>0.44</v>
      </c>
      <c r="T11" s="615">
        <v>0.434</v>
      </c>
      <c r="U11" s="615">
        <v>0.446</v>
      </c>
      <c r="V11" s="615">
        <v>0.443</v>
      </c>
      <c r="W11" s="615">
        <v>0.486</v>
      </c>
      <c r="X11" s="615">
        <v>0.688</v>
      </c>
      <c r="Y11" s="615">
        <f>0.909</f>
        <v>0.909</v>
      </c>
      <c r="Z11" s="615">
        <v>0.872</v>
      </c>
      <c r="AA11" s="615">
        <v>1.02</v>
      </c>
      <c r="AB11" s="615">
        <v>1.01</v>
      </c>
      <c r="AC11" s="615">
        <v>0.729</v>
      </c>
      <c r="AD11" s="615">
        <v>0.740478</v>
      </c>
      <c r="AE11" s="640">
        <f>AD11/AC11*100-100</f>
        <v>1.5744855967078024</v>
      </c>
      <c r="AF11" s="598" t="s">
        <v>101</v>
      </c>
      <c r="AG11" s="298">
        <v>7.202198</v>
      </c>
      <c r="AH11" s="315">
        <f t="shared" si="0"/>
        <v>102.81278020959712</v>
      </c>
    </row>
    <row r="12" spans="2:34" ht="12.75" customHeight="1">
      <c r="B12" s="610" t="s">
        <v>71</v>
      </c>
      <c r="C12" s="752" t="s">
        <v>146</v>
      </c>
      <c r="D12" s="752" t="s">
        <v>146</v>
      </c>
      <c r="E12" s="753" t="s">
        <v>146</v>
      </c>
      <c r="F12" s="753" t="s">
        <v>146</v>
      </c>
      <c r="G12" s="753" t="s">
        <v>146</v>
      </c>
      <c r="H12" s="753" t="s">
        <v>146</v>
      </c>
      <c r="I12" s="753" t="s">
        <v>146</v>
      </c>
      <c r="J12" s="753" t="s">
        <v>146</v>
      </c>
      <c r="K12" s="753" t="s">
        <v>146</v>
      </c>
      <c r="L12" s="753" t="s">
        <v>146</v>
      </c>
      <c r="M12" s="753" t="s">
        <v>146</v>
      </c>
      <c r="N12" s="753" t="s">
        <v>146</v>
      </c>
      <c r="O12" s="753" t="s">
        <v>146</v>
      </c>
      <c r="P12" s="753" t="s">
        <v>146</v>
      </c>
      <c r="Q12" s="753" t="s">
        <v>146</v>
      </c>
      <c r="R12" s="753" t="s">
        <v>146</v>
      </c>
      <c r="S12" s="753" t="s">
        <v>146</v>
      </c>
      <c r="T12" s="753" t="s">
        <v>146</v>
      </c>
      <c r="U12" s="753" t="s">
        <v>146</v>
      </c>
      <c r="V12" s="753" t="s">
        <v>146</v>
      </c>
      <c r="W12" s="753" t="s">
        <v>146</v>
      </c>
      <c r="X12" s="753" t="s">
        <v>146</v>
      </c>
      <c r="Y12" s="753" t="s">
        <v>146</v>
      </c>
      <c r="Z12" s="753" t="s">
        <v>146</v>
      </c>
      <c r="AA12" s="753" t="s">
        <v>146</v>
      </c>
      <c r="AB12" s="753" t="s">
        <v>146</v>
      </c>
      <c r="AC12" s="753" t="s">
        <v>146</v>
      </c>
      <c r="AD12" s="753" t="s">
        <v>146</v>
      </c>
      <c r="AE12" s="754" t="s">
        <v>146</v>
      </c>
      <c r="AF12" s="610" t="s">
        <v>71</v>
      </c>
      <c r="AG12" s="298">
        <v>0.847008</v>
      </c>
      <c r="AH12" s="315" t="e">
        <f t="shared" si="0"/>
        <v>#VALUE!</v>
      </c>
    </row>
    <row r="13" spans="1:34" s="627" customFormat="1" ht="12.75" customHeight="1">
      <c r="A13" s="619"/>
      <c r="B13" s="610" t="s">
        <v>61</v>
      </c>
      <c r="C13" s="701"/>
      <c r="D13" s="701"/>
      <c r="E13" s="624"/>
      <c r="F13" s="624"/>
      <c r="G13" s="624"/>
      <c r="H13" s="624" t="s">
        <v>99</v>
      </c>
      <c r="I13" s="624" t="s">
        <v>99</v>
      </c>
      <c r="J13" s="624">
        <v>7.688</v>
      </c>
      <c r="K13" s="624">
        <v>7.791</v>
      </c>
      <c r="L13" s="624">
        <v>7.863</v>
      </c>
      <c r="M13" s="624">
        <v>7.855</v>
      </c>
      <c r="N13" s="624">
        <v>8.154</v>
      </c>
      <c r="O13" s="624">
        <v>8.068</v>
      </c>
      <c r="P13" s="624">
        <v>8.227</v>
      </c>
      <c r="Q13" s="624">
        <v>8.307</v>
      </c>
      <c r="R13" s="624">
        <v>8.5634</v>
      </c>
      <c r="S13" s="624">
        <f>4.8847+3.8408</f>
        <v>8.7255</v>
      </c>
      <c r="T13" s="624">
        <f>4.769+3.1652</f>
        <v>7.934200000000001</v>
      </c>
      <c r="U13" s="624">
        <f>4.5344+3.2644</f>
        <v>7.7988</v>
      </c>
      <c r="V13" s="624">
        <f>4.4489+3.3015</f>
        <v>7.7504</v>
      </c>
      <c r="W13" s="624">
        <f>4.678+4.4648</f>
        <v>9.142800000000001</v>
      </c>
      <c r="X13" s="624">
        <v>8.9867</v>
      </c>
      <c r="Y13" s="624">
        <f>4.624+4.373</f>
        <v>8.997</v>
      </c>
      <c r="Z13" s="624">
        <f>4.461+4.255</f>
        <v>8.716000000000001</v>
      </c>
      <c r="AA13" s="624">
        <f>4.465+5.037</f>
        <v>9.501999999999999</v>
      </c>
      <c r="AB13" s="624">
        <v>9.580900000000002</v>
      </c>
      <c r="AC13" s="624">
        <f>4.721+4.8364</f>
        <v>9.557400000000001</v>
      </c>
      <c r="AD13" s="624">
        <f>4.619+5.214</f>
        <v>9.833</v>
      </c>
      <c r="AE13" s="632">
        <f aca="true" t="shared" si="1" ref="AE13:AE24">AD13/AC13*100-100</f>
        <v>2.8836294389687396</v>
      </c>
      <c r="AF13" s="610" t="s">
        <v>61</v>
      </c>
      <c r="AG13" s="298">
        <v>10.538275</v>
      </c>
      <c r="AH13" s="315">
        <f t="shared" si="0"/>
        <v>933.0749102675722</v>
      </c>
    </row>
    <row r="14" spans="2:34" ht="12.75" customHeight="1">
      <c r="B14" s="610" t="s">
        <v>63</v>
      </c>
      <c r="C14" s="748">
        <v>14.63</v>
      </c>
      <c r="D14" s="748">
        <v>13.84</v>
      </c>
      <c r="E14" s="749">
        <v>15.1</v>
      </c>
      <c r="F14" s="749">
        <v>15.14</v>
      </c>
      <c r="G14" s="749">
        <v>14.43</v>
      </c>
      <c r="H14" s="749">
        <v>14.62</v>
      </c>
      <c r="I14" s="749">
        <v>14.47</v>
      </c>
      <c r="J14" s="749">
        <v>14.43</v>
      </c>
      <c r="K14" s="749">
        <v>14.47</v>
      </c>
      <c r="L14" s="749">
        <v>14.5</v>
      </c>
      <c r="M14" s="749">
        <v>14.4</v>
      </c>
      <c r="N14" s="749">
        <v>14.5</v>
      </c>
      <c r="O14" s="749">
        <v>14.6</v>
      </c>
      <c r="P14" s="749">
        <v>14.7</v>
      </c>
      <c r="Q14" s="624">
        <v>14.74</v>
      </c>
      <c r="R14" s="624">
        <v>14.75</v>
      </c>
      <c r="S14" s="624">
        <v>14.986</v>
      </c>
      <c r="T14" s="624">
        <v>15.485</v>
      </c>
      <c r="U14" s="624">
        <v>15.568</v>
      </c>
      <c r="V14" s="624">
        <v>15.92</v>
      </c>
      <c r="W14" s="625">
        <v>15.991</v>
      </c>
      <c r="X14" s="624">
        <v>16.496</v>
      </c>
      <c r="Y14" s="624">
        <f>16.349</f>
        <v>16.349</v>
      </c>
      <c r="Z14" s="624">
        <v>16.6</v>
      </c>
      <c r="AA14" s="624">
        <v>16.6</v>
      </c>
      <c r="AB14" s="624">
        <v>16.7</v>
      </c>
      <c r="AC14" s="624">
        <v>16.6</v>
      </c>
      <c r="AD14" s="624">
        <v>16.9</v>
      </c>
      <c r="AE14" s="632">
        <f t="shared" si="1"/>
        <v>1.807228915662634</v>
      </c>
      <c r="AF14" s="610" t="s">
        <v>63</v>
      </c>
      <c r="AG14" s="314">
        <v>81.174</v>
      </c>
      <c r="AH14" s="315">
        <f t="shared" si="0"/>
        <v>208.19474215881928</v>
      </c>
    </row>
    <row r="15" spans="2:34" ht="12.75" customHeight="1">
      <c r="B15" s="598" t="s">
        <v>14</v>
      </c>
      <c r="C15" s="746" t="s">
        <v>146</v>
      </c>
      <c r="D15" s="746" t="s">
        <v>146</v>
      </c>
      <c r="E15" s="747" t="s">
        <v>146</v>
      </c>
      <c r="F15" s="747" t="s">
        <v>146</v>
      </c>
      <c r="G15" s="747" t="s">
        <v>146</v>
      </c>
      <c r="H15" s="747" t="s">
        <v>146</v>
      </c>
      <c r="I15" s="747" t="s">
        <v>146</v>
      </c>
      <c r="J15" s="747" t="s">
        <v>146</v>
      </c>
      <c r="K15" s="747" t="s">
        <v>146</v>
      </c>
      <c r="L15" s="747" t="s">
        <v>146</v>
      </c>
      <c r="M15" s="747" t="s">
        <v>146</v>
      </c>
      <c r="N15" s="747" t="s">
        <v>146</v>
      </c>
      <c r="O15" s="747" t="s">
        <v>146</v>
      </c>
      <c r="P15" s="747" t="s">
        <v>146</v>
      </c>
      <c r="Q15" s="615">
        <v>0.009</v>
      </c>
      <c r="R15" s="615">
        <v>0.067</v>
      </c>
      <c r="S15" s="615">
        <v>0.128</v>
      </c>
      <c r="T15" s="615">
        <v>0.162</v>
      </c>
      <c r="U15" s="615">
        <v>0.164</v>
      </c>
      <c r="V15" s="615">
        <v>0.177</v>
      </c>
      <c r="W15" s="615">
        <v>0.195</v>
      </c>
      <c r="X15" s="615">
        <v>0.215</v>
      </c>
      <c r="Y15" s="615">
        <f>0.239</f>
        <v>0.239</v>
      </c>
      <c r="Z15" s="615">
        <v>0.278</v>
      </c>
      <c r="AA15" s="615">
        <v>0.274</v>
      </c>
      <c r="AB15" s="615">
        <v>0.284</v>
      </c>
      <c r="AC15" s="615">
        <v>0.294</v>
      </c>
      <c r="AD15" s="615">
        <v>0.301</v>
      </c>
      <c r="AE15" s="640">
        <f t="shared" si="1"/>
        <v>2.3809523809523796</v>
      </c>
      <c r="AF15" s="598" t="s">
        <v>14</v>
      </c>
      <c r="AG15" s="298">
        <v>5.659715</v>
      </c>
      <c r="AH15" s="315">
        <f t="shared" si="0"/>
        <v>53.18288995117245</v>
      </c>
    </row>
    <row r="16" spans="2:34" ht="12.75" customHeight="1">
      <c r="B16" s="598" t="s">
        <v>64</v>
      </c>
      <c r="C16" s="614" t="s">
        <v>99</v>
      </c>
      <c r="D16" s="614" t="s">
        <v>99</v>
      </c>
      <c r="E16" s="615" t="s">
        <v>99</v>
      </c>
      <c r="F16" s="615" t="s">
        <v>99</v>
      </c>
      <c r="G16" s="615" t="s">
        <v>99</v>
      </c>
      <c r="H16" s="615" t="s">
        <v>99</v>
      </c>
      <c r="I16" s="615" t="s">
        <v>99</v>
      </c>
      <c r="J16" s="616">
        <f>0.0352*3</f>
        <v>0.1056</v>
      </c>
      <c r="K16" s="616">
        <f>0.0356*3</f>
        <v>0.1068</v>
      </c>
      <c r="L16" s="616">
        <f>0.0369*3</f>
        <v>0.1107</v>
      </c>
      <c r="M16" s="616">
        <f>0.0306*3</f>
        <v>0.09179999999999999</v>
      </c>
      <c r="N16" s="616">
        <f>0.0293*3</f>
        <v>0.0879</v>
      </c>
      <c r="O16" s="616">
        <f>0.0349*3</f>
        <v>0.1047</v>
      </c>
      <c r="P16" s="616">
        <f>0.0292*3</f>
        <v>0.0876</v>
      </c>
      <c r="Q16" s="616">
        <f>0.0308*3</f>
        <v>0.09240000000000001</v>
      </c>
      <c r="R16" s="616">
        <f>0.0311*3</f>
        <v>0.0933</v>
      </c>
      <c r="S16" s="616">
        <f>0.0278*3</f>
        <v>0.0834</v>
      </c>
      <c r="T16" s="616">
        <f>0.0251*3</f>
        <v>0.0753</v>
      </c>
      <c r="U16" s="616">
        <f>0.0262*3</f>
        <v>0.0786</v>
      </c>
      <c r="V16" s="616">
        <f>0.0264*3</f>
        <v>0.07919999999999999</v>
      </c>
      <c r="W16" s="616">
        <v>0.22281640000000003</v>
      </c>
      <c r="X16" s="616">
        <v>0.2223115</v>
      </c>
      <c r="Y16" s="616">
        <v>0.2050992</v>
      </c>
      <c r="Z16" s="616">
        <v>0.1896993</v>
      </c>
      <c r="AA16" s="616">
        <v>0.2561285</v>
      </c>
      <c r="AB16" s="616">
        <v>0.20434</v>
      </c>
      <c r="AC16" s="616">
        <v>0.1765499</v>
      </c>
      <c r="AD16" s="616">
        <v>0.168931</v>
      </c>
      <c r="AE16" s="617">
        <f t="shared" si="1"/>
        <v>-4.315437165356656</v>
      </c>
      <c r="AF16" s="598" t="s">
        <v>64</v>
      </c>
      <c r="AG16" s="314">
        <v>1.313271</v>
      </c>
      <c r="AH16" s="315">
        <f t="shared" si="0"/>
        <v>128.63377018147816</v>
      </c>
    </row>
    <row r="17" spans="2:34" ht="12.75" customHeight="1">
      <c r="B17" s="598" t="s">
        <v>15</v>
      </c>
      <c r="C17" s="637">
        <v>0.63</v>
      </c>
      <c r="D17" s="637">
        <v>0.68</v>
      </c>
      <c r="E17" s="616">
        <v>0.83</v>
      </c>
      <c r="F17" s="616">
        <v>0.81</v>
      </c>
      <c r="G17" s="616">
        <v>0.79</v>
      </c>
      <c r="H17" s="616">
        <v>0.77</v>
      </c>
      <c r="I17" s="616">
        <v>0.72</v>
      </c>
      <c r="J17" s="616">
        <v>0.74</v>
      </c>
      <c r="K17" s="616">
        <v>0.74</v>
      </c>
      <c r="L17" s="616">
        <v>0.75</v>
      </c>
      <c r="M17" s="616">
        <v>0.8</v>
      </c>
      <c r="N17" s="616">
        <v>0.81</v>
      </c>
      <c r="O17" s="616">
        <v>1.19</v>
      </c>
      <c r="P17" s="616">
        <v>1.33</v>
      </c>
      <c r="Q17" s="616">
        <v>1.35</v>
      </c>
      <c r="R17" s="616">
        <v>1.4</v>
      </c>
      <c r="S17" s="616">
        <v>1.5</v>
      </c>
      <c r="T17" s="616">
        <v>1.5</v>
      </c>
      <c r="U17" s="616">
        <v>1.55</v>
      </c>
      <c r="V17" s="616">
        <v>1.6</v>
      </c>
      <c r="W17" s="616">
        <v>1.66</v>
      </c>
      <c r="X17" s="616">
        <v>1.671</v>
      </c>
      <c r="Y17" s="711">
        <v>1.692746498280652</v>
      </c>
      <c r="Z17" s="616">
        <f>AVERAGE(W17:Y17)</f>
        <v>1.6745821660935505</v>
      </c>
      <c r="AA17" s="616">
        <v>1.6693892905336882</v>
      </c>
      <c r="AB17" s="616">
        <v>1.6640104964628029</v>
      </c>
      <c r="AC17" s="616">
        <v>1.662268977961797</v>
      </c>
      <c r="AD17" s="616">
        <f>AC17*(1.007)</f>
        <v>1.6739048608075293</v>
      </c>
      <c r="AE17" s="617">
        <f t="shared" si="1"/>
        <v>0.6999999999999886</v>
      </c>
      <c r="AF17" s="598" t="s">
        <v>15</v>
      </c>
      <c r="AG17" s="298">
        <v>10.812467</v>
      </c>
      <c r="AH17" s="315">
        <f t="shared" si="0"/>
        <v>154.812482739372</v>
      </c>
    </row>
    <row r="18" spans="2:34" ht="12.75" customHeight="1">
      <c r="B18" s="610" t="s">
        <v>66</v>
      </c>
      <c r="C18" s="611">
        <v>3.67</v>
      </c>
      <c r="D18" s="828">
        <v>3.88</v>
      </c>
      <c r="E18" s="705">
        <v>4.38</v>
      </c>
      <c r="F18" s="638">
        <v>4.3</v>
      </c>
      <c r="G18" s="638">
        <v>4.25</v>
      </c>
      <c r="H18" s="638">
        <v>4.2</v>
      </c>
      <c r="I18" s="638">
        <v>4.15</v>
      </c>
      <c r="J18" s="638">
        <v>4.25</v>
      </c>
      <c r="K18" s="638">
        <v>4.49</v>
      </c>
      <c r="L18" s="638">
        <v>4.57</v>
      </c>
      <c r="M18" s="638">
        <v>4.84</v>
      </c>
      <c r="N18" s="639">
        <v>5.06</v>
      </c>
      <c r="O18" s="702">
        <v>5.23</v>
      </c>
      <c r="P18" s="639">
        <v>5.34</v>
      </c>
      <c r="Q18" s="639">
        <v>5.5</v>
      </c>
      <c r="R18" s="639">
        <v>5.6</v>
      </c>
      <c r="S18" s="639">
        <v>5.8</v>
      </c>
      <c r="T18" s="639">
        <v>6</v>
      </c>
      <c r="U18" s="639">
        <v>6.2</v>
      </c>
      <c r="V18" s="639">
        <v>6.4</v>
      </c>
      <c r="W18" s="639">
        <v>6.5</v>
      </c>
      <c r="X18" s="639">
        <v>6.2725</v>
      </c>
      <c r="Y18" s="638">
        <v>7.588900000000001</v>
      </c>
      <c r="Z18" s="638">
        <v>7.6311</v>
      </c>
      <c r="AA18" s="638">
        <v>7.3169</v>
      </c>
      <c r="AB18" s="638">
        <v>6.969900000000002</v>
      </c>
      <c r="AC18" s="638">
        <v>7.152700000000001</v>
      </c>
      <c r="AD18" s="638">
        <v>7.277299999999999</v>
      </c>
      <c r="AE18" s="745">
        <f t="shared" si="1"/>
        <v>1.741999524654986</v>
      </c>
      <c r="AF18" s="610" t="s">
        <v>66</v>
      </c>
      <c r="AG18" s="298">
        <v>46.439864</v>
      </c>
      <c r="AH18" s="315">
        <f t="shared" si="0"/>
        <v>156.70373194891354</v>
      </c>
    </row>
    <row r="19" spans="2:34" ht="12.75" customHeight="1">
      <c r="B19" s="598" t="s">
        <v>87</v>
      </c>
      <c r="C19" s="614">
        <v>0.1</v>
      </c>
      <c r="D19" s="829">
        <v>0.13</v>
      </c>
      <c r="E19" s="641">
        <v>0.35</v>
      </c>
      <c r="F19" s="615">
        <v>0.34</v>
      </c>
      <c r="G19" s="615">
        <v>0.345</v>
      </c>
      <c r="H19" s="615">
        <f>0.0993+0.2581</f>
        <v>0.3574</v>
      </c>
      <c r="I19" s="615">
        <v>0.37</v>
      </c>
      <c r="J19" s="615">
        <f>0.1091+0.2785</f>
        <v>0.38760000000000006</v>
      </c>
      <c r="K19" s="615">
        <v>0.4</v>
      </c>
      <c r="L19" s="615">
        <f>0.1162+0.3006</f>
        <v>0.41679999999999995</v>
      </c>
      <c r="M19" s="615">
        <v>0.439</v>
      </c>
      <c r="N19" s="615">
        <f>0.1205+0.3598</f>
        <v>0.4803</v>
      </c>
      <c r="O19" s="615">
        <f>0.118+0.379</f>
        <v>0.497</v>
      </c>
      <c r="P19" s="615">
        <f>0.1193+0.3853</f>
        <v>0.5045999999999999</v>
      </c>
      <c r="Q19" s="615">
        <f>0.1167+0.4008</f>
        <v>0.5175</v>
      </c>
      <c r="R19" s="615">
        <f>0.1182+0.4041</f>
        <v>0.5223</v>
      </c>
      <c r="S19" s="615">
        <f>0.119+0.404</f>
        <v>0.523</v>
      </c>
      <c r="T19" s="615">
        <f>0.117+0.409</f>
        <v>0.526</v>
      </c>
      <c r="U19" s="615">
        <f>0.11+0.414</f>
        <v>0.524</v>
      </c>
      <c r="V19" s="615">
        <f>0.11+0.41</f>
        <v>0.52</v>
      </c>
      <c r="W19" s="615">
        <f>0.112+0.42</f>
        <v>0.532</v>
      </c>
      <c r="X19" s="615">
        <v>0.532</v>
      </c>
      <c r="Y19" s="615">
        <f>0.113+0.417</f>
        <v>0.53</v>
      </c>
      <c r="Z19" s="615">
        <f>0.397+0.118</f>
        <v>0.515</v>
      </c>
      <c r="AA19" s="615">
        <f>0.401+0.125</f>
        <v>0.526</v>
      </c>
      <c r="AB19" s="615">
        <f>0.124+0.401</f>
        <v>0.525</v>
      </c>
      <c r="AC19" s="616">
        <f>(62.1+55.5)/(63.5+56.7)*AB19</f>
        <v>0.5136439267886855</v>
      </c>
      <c r="AD19" s="616">
        <f>(62.9+55.2)/(62.1+55.5)*AC19</f>
        <v>0.5158277870216306</v>
      </c>
      <c r="AE19" s="640">
        <f t="shared" si="1"/>
        <v>0.4251700680271995</v>
      </c>
      <c r="AF19" s="598" t="s">
        <v>87</v>
      </c>
      <c r="AG19" s="298">
        <v>5.471753</v>
      </c>
      <c r="AH19" s="315">
        <f t="shared" si="0"/>
        <v>94.27102923352545</v>
      </c>
    </row>
    <row r="20" spans="1:34" s="627" customFormat="1" ht="12.75" customHeight="1">
      <c r="A20" s="619"/>
      <c r="B20" s="598" t="s">
        <v>67</v>
      </c>
      <c r="C20" s="614">
        <v>6.5</v>
      </c>
      <c r="D20" s="614">
        <v>7.7</v>
      </c>
      <c r="E20" s="615">
        <v>10.476443368895263</v>
      </c>
      <c r="F20" s="615">
        <v>10.233383195251669</v>
      </c>
      <c r="G20" s="615">
        <v>10.414323650575252</v>
      </c>
      <c r="H20" s="615">
        <v>10.37918002638481</v>
      </c>
      <c r="I20" s="615">
        <v>10.453352069536807</v>
      </c>
      <c r="J20" s="615">
        <v>9.327340933853145</v>
      </c>
      <c r="K20" s="615">
        <v>9.818268042852674</v>
      </c>
      <c r="L20" s="615">
        <v>10.054374505661677</v>
      </c>
      <c r="M20" s="615">
        <v>10.502619818419767</v>
      </c>
      <c r="N20" s="615">
        <v>10.935597585658641</v>
      </c>
      <c r="O20" s="615">
        <v>11.633685254006512</v>
      </c>
      <c r="P20" s="615">
        <v>11.779086423126303</v>
      </c>
      <c r="Q20" s="615">
        <v>11.945869204302205</v>
      </c>
      <c r="R20" s="615">
        <v>11.762165248289488</v>
      </c>
      <c r="S20" s="615">
        <v>13.303413046515091</v>
      </c>
      <c r="T20" s="615">
        <v>13.620330458217733</v>
      </c>
      <c r="U20" s="615">
        <v>13.86912542912846</v>
      </c>
      <c r="V20" s="615">
        <v>13.942725725198631</v>
      </c>
      <c r="W20" s="615">
        <v>14.823026604643687</v>
      </c>
      <c r="X20" s="615">
        <v>14.65691476777499</v>
      </c>
      <c r="Y20" s="615">
        <v>15.03220290291087</v>
      </c>
      <c r="Z20" s="615">
        <v>15.301799934284682</v>
      </c>
      <c r="AA20" s="615">
        <v>15.595579058566956</v>
      </c>
      <c r="AB20" s="615">
        <v>15.748900135343224</v>
      </c>
      <c r="AC20" s="615">
        <v>16.142915646960294</v>
      </c>
      <c r="AD20" s="615">
        <v>16.20729282632928</v>
      </c>
      <c r="AE20" s="640">
        <f t="shared" si="1"/>
        <v>0.39879524106358133</v>
      </c>
      <c r="AF20" s="598" t="s">
        <v>67</v>
      </c>
      <c r="AG20" s="298">
        <v>66.352469</v>
      </c>
      <c r="AH20" s="315">
        <f t="shared" si="0"/>
        <v>244.26058397810758</v>
      </c>
    </row>
    <row r="21" spans="2:34" ht="12.75" customHeight="1">
      <c r="B21" s="610" t="s">
        <v>148</v>
      </c>
      <c r="C21" s="630"/>
      <c r="D21" s="630"/>
      <c r="E21" s="622"/>
      <c r="F21" s="622"/>
      <c r="G21" s="622"/>
      <c r="H21" s="623">
        <v>0.546627</v>
      </c>
      <c r="I21" s="623">
        <v>0.542601</v>
      </c>
      <c r="J21" s="623">
        <v>0.525396</v>
      </c>
      <c r="K21" s="623">
        <v>0.48687899999999995</v>
      </c>
      <c r="L21" s="623">
        <v>0.498093</v>
      </c>
      <c r="M21" s="623">
        <v>0.487896</v>
      </c>
      <c r="N21" s="623">
        <v>0.48726600000000003</v>
      </c>
      <c r="O21" s="623">
        <v>0.504171</v>
      </c>
      <c r="P21" s="623">
        <v>0.531744</v>
      </c>
      <c r="Q21" s="623">
        <v>0.5347379999999999</v>
      </c>
      <c r="R21" s="623">
        <v>0.550308</v>
      </c>
      <c r="S21" s="623">
        <v>0.529083</v>
      </c>
      <c r="T21" s="623">
        <v>0.533166</v>
      </c>
      <c r="U21" s="623">
        <v>0.5597730000000001</v>
      </c>
      <c r="V21" s="623">
        <v>0.66096</v>
      </c>
      <c r="W21" s="623">
        <v>0.623604</v>
      </c>
      <c r="X21" s="623">
        <v>0.57882</v>
      </c>
      <c r="Y21" s="623">
        <v>0.549357</v>
      </c>
      <c r="Z21" s="623">
        <v>0.519531</v>
      </c>
      <c r="AA21" s="623">
        <f>0.174139*3</f>
        <v>0.5224169999999999</v>
      </c>
      <c r="AB21" s="623">
        <f>0.177596*3</f>
        <v>0.532788</v>
      </c>
      <c r="AC21" s="623">
        <f>0.191899*3</f>
        <v>0.5756969999999999</v>
      </c>
      <c r="AD21" s="623">
        <f>0.199322*3</f>
        <v>0.597966</v>
      </c>
      <c r="AE21" s="632">
        <f t="shared" si="1"/>
        <v>3.868180657533401</v>
      </c>
      <c r="AF21" s="610" t="s">
        <v>148</v>
      </c>
      <c r="AG21" s="298">
        <v>4.225316</v>
      </c>
      <c r="AH21" s="315">
        <f t="shared" si="0"/>
        <v>141.51982952280963</v>
      </c>
    </row>
    <row r="22" spans="1:34" s="627" customFormat="1" ht="12.75" customHeight="1">
      <c r="A22" s="619"/>
      <c r="B22" s="610" t="s">
        <v>77</v>
      </c>
      <c r="C22" s="630" t="s">
        <v>99</v>
      </c>
      <c r="D22" s="630" t="s">
        <v>99</v>
      </c>
      <c r="E22" s="622" t="s">
        <v>99</v>
      </c>
      <c r="F22" s="622" t="s">
        <v>99</v>
      </c>
      <c r="G22" s="622" t="s">
        <v>99</v>
      </c>
      <c r="H22" s="622" t="s">
        <v>99</v>
      </c>
      <c r="I22" s="622" t="s">
        <v>99</v>
      </c>
      <c r="J22" s="623">
        <v>2.5</v>
      </c>
      <c r="K22" s="623">
        <v>2.5</v>
      </c>
      <c r="L22" s="623">
        <v>2.5</v>
      </c>
      <c r="M22" s="623">
        <v>2.55</v>
      </c>
      <c r="N22" s="622">
        <f>1.193+1.327</f>
        <v>2.52</v>
      </c>
      <c r="O22" s="622">
        <f>1.212+1.358</f>
        <v>2.5700000000000003</v>
      </c>
      <c r="P22" s="622">
        <f>1.214+1.357</f>
        <v>2.5709999999999997</v>
      </c>
      <c r="Q22" s="622">
        <f>1.201+1.335</f>
        <v>2.536</v>
      </c>
      <c r="R22" s="622">
        <f>1.193+1.323</f>
        <v>2.516</v>
      </c>
      <c r="S22" s="622">
        <f>1.169+1.251</f>
        <v>2.42</v>
      </c>
      <c r="T22" s="622">
        <f>1.144+1.209</f>
        <v>2.3529999999999998</v>
      </c>
      <c r="U22" s="622">
        <f>1.113+1.17</f>
        <v>2.283</v>
      </c>
      <c r="V22" s="622">
        <f>1.104+1.176</f>
        <v>2.2800000000000002</v>
      </c>
      <c r="W22" s="622">
        <f>1.095+1.24</f>
        <v>2.335</v>
      </c>
      <c r="X22" s="631">
        <f>1.185+1.339</f>
        <v>2.524</v>
      </c>
      <c r="Y22" s="622">
        <f>1.15+1.339</f>
        <v>2.489</v>
      </c>
      <c r="Z22" s="622">
        <f>1.161535+1.342378</f>
        <v>2.503913</v>
      </c>
      <c r="AA22" s="622">
        <v>2.4990787</v>
      </c>
      <c r="AB22" s="622">
        <v>2.5104894</v>
      </c>
      <c r="AC22" s="622">
        <f>2819469.2/1000000</f>
        <v>2.8194692000000003</v>
      </c>
      <c r="AD22" s="622">
        <f>(1162367.9+1784301)/1000000</f>
        <v>2.9466688999999997</v>
      </c>
      <c r="AE22" s="632">
        <f t="shared" si="1"/>
        <v>4.511476841101853</v>
      </c>
      <c r="AF22" s="610" t="s">
        <v>77</v>
      </c>
      <c r="AG22" s="298">
        <v>9.849</v>
      </c>
      <c r="AH22" s="315">
        <f t="shared" si="0"/>
        <v>299.1845771144278</v>
      </c>
    </row>
    <row r="23" spans="2:34" ht="12.75" customHeight="1">
      <c r="B23" s="610" t="s">
        <v>68</v>
      </c>
      <c r="C23" s="750" t="s">
        <v>146</v>
      </c>
      <c r="D23" s="750" t="s">
        <v>146</v>
      </c>
      <c r="E23" s="751" t="s">
        <v>146</v>
      </c>
      <c r="F23" s="751" t="s">
        <v>146</v>
      </c>
      <c r="G23" s="751" t="s">
        <v>146</v>
      </c>
      <c r="H23" s="751" t="s">
        <v>146</v>
      </c>
      <c r="I23" s="751" t="s">
        <v>146</v>
      </c>
      <c r="J23" s="751" t="s">
        <v>146</v>
      </c>
      <c r="K23" s="751" t="s">
        <v>146</v>
      </c>
      <c r="L23" s="751" t="s">
        <v>146</v>
      </c>
      <c r="M23" s="751" t="s">
        <v>146</v>
      </c>
      <c r="N23" s="751" t="s">
        <v>146</v>
      </c>
      <c r="O23" s="751" t="s">
        <v>146</v>
      </c>
      <c r="P23" s="751" t="s">
        <v>146</v>
      </c>
      <c r="Q23" s="751" t="s">
        <v>146</v>
      </c>
      <c r="R23" s="751" t="s">
        <v>146</v>
      </c>
      <c r="S23" s="639">
        <v>0.05</v>
      </c>
      <c r="T23" s="639">
        <v>0.11</v>
      </c>
      <c r="U23" s="638">
        <f>0.06713+0.04598</f>
        <v>0.11310999999999999</v>
      </c>
      <c r="V23" s="638">
        <f>0.107+0.068</f>
        <v>0.175</v>
      </c>
      <c r="W23" s="638">
        <f>0.083+0.058</f>
        <v>0.14100000000000001</v>
      </c>
      <c r="X23" s="638">
        <f>0.079+0.053</f>
        <v>0.132</v>
      </c>
      <c r="Y23" s="638">
        <f>0.069+0.062</f>
        <v>0.131</v>
      </c>
      <c r="Z23" s="638">
        <f>0.073+0.065</f>
        <v>0.138</v>
      </c>
      <c r="AA23" s="638">
        <f>0.0711+0.0729</f>
        <v>0.14400000000000002</v>
      </c>
      <c r="AB23" s="638">
        <v>0.14982473</v>
      </c>
      <c r="AC23" s="638">
        <f>0.07929535+0.080777584</f>
        <v>0.160072934</v>
      </c>
      <c r="AD23" s="638">
        <f>0.085496552+0.09417113</f>
        <v>0.179667682</v>
      </c>
      <c r="AE23" s="613">
        <f t="shared" si="1"/>
        <v>12.24113753047095</v>
      </c>
      <c r="AF23" s="610" t="s">
        <v>68</v>
      </c>
      <c r="AG23" s="314">
        <v>4.625885</v>
      </c>
      <c r="AH23" s="315">
        <f t="shared" si="0"/>
        <v>38.83963436185724</v>
      </c>
    </row>
    <row r="24" spans="1:34" s="627" customFormat="1" ht="12.75" customHeight="1">
      <c r="A24" s="619"/>
      <c r="B24" s="598" t="s">
        <v>69</v>
      </c>
      <c r="C24" s="614">
        <v>2.21</v>
      </c>
      <c r="D24" s="614">
        <v>3.66</v>
      </c>
      <c r="E24" s="615">
        <f>2.58+1.629</f>
        <v>4.209</v>
      </c>
      <c r="F24" s="615">
        <v>5.328</v>
      </c>
      <c r="G24" s="615">
        <v>5.4</v>
      </c>
      <c r="H24" s="615">
        <v>5.5</v>
      </c>
      <c r="I24" s="615">
        <v>5.1</v>
      </c>
      <c r="J24" s="615">
        <f>4.038+1.1136</f>
        <v>5.1516</v>
      </c>
      <c r="K24" s="615">
        <v>5.282</v>
      </c>
      <c r="L24" s="615">
        <v>5.319</v>
      </c>
      <c r="M24" s="615">
        <v>5.251</v>
      </c>
      <c r="N24" s="615">
        <f>4.167+1.072</f>
        <v>5.239</v>
      </c>
      <c r="O24" s="615">
        <f>4.503+1.1057</f>
        <v>5.6087</v>
      </c>
      <c r="P24" s="615">
        <f>4.506+1.083</f>
        <v>5.589</v>
      </c>
      <c r="Q24" s="615">
        <f>4.843+1.042</f>
        <v>5.885</v>
      </c>
      <c r="R24" s="615">
        <f>4.935+1.05</f>
        <v>5.984999999999999</v>
      </c>
      <c r="S24" s="615">
        <f>4.954+1.051</f>
        <v>6.005</v>
      </c>
      <c r="T24" s="615">
        <f>4.982+1.053</f>
        <v>6.035</v>
      </c>
      <c r="U24" s="615">
        <f>5.204+1.075</f>
        <v>6.279</v>
      </c>
      <c r="V24" s="615">
        <f>5.637+1.088</f>
        <v>6.725</v>
      </c>
      <c r="W24" s="615">
        <f>5.777+1.107</f>
        <v>6.884</v>
      </c>
      <c r="X24" s="615">
        <f>1.108+5.84</f>
        <v>6.948</v>
      </c>
      <c r="Y24" s="615">
        <f>5.948+1.135</f>
        <v>7.083</v>
      </c>
      <c r="Z24" s="615">
        <f>5.849+1.246</f>
        <v>7.095000000000001</v>
      </c>
      <c r="AA24" s="615">
        <f>1.243+5.295</f>
        <v>6.538</v>
      </c>
      <c r="AB24" s="615">
        <f>1.228+5.343</f>
        <v>6.571</v>
      </c>
      <c r="AC24" s="615">
        <f>1.266+5.354</f>
        <v>6.62</v>
      </c>
      <c r="AD24" s="615">
        <f>1.264+5.461</f>
        <v>6.7250000000000005</v>
      </c>
      <c r="AE24" s="640">
        <f t="shared" si="1"/>
        <v>1.586102719033235</v>
      </c>
      <c r="AF24" s="598" t="s">
        <v>69</v>
      </c>
      <c r="AG24" s="298">
        <v>60.795612</v>
      </c>
      <c r="AH24" s="315">
        <f t="shared" si="0"/>
        <v>110.61653594341645</v>
      </c>
    </row>
    <row r="25" spans="2:34" ht="12.75" customHeight="1">
      <c r="B25" s="610" t="s">
        <v>73</v>
      </c>
      <c r="C25" s="752" t="s">
        <v>146</v>
      </c>
      <c r="D25" s="752" t="s">
        <v>146</v>
      </c>
      <c r="E25" s="753" t="s">
        <v>146</v>
      </c>
      <c r="F25" s="753" t="s">
        <v>146</v>
      </c>
      <c r="G25" s="753" t="s">
        <v>146</v>
      </c>
      <c r="H25" s="753" t="s">
        <v>146</v>
      </c>
      <c r="I25" s="753" t="s">
        <v>146</v>
      </c>
      <c r="J25" s="753" t="s">
        <v>146</v>
      </c>
      <c r="K25" s="753" t="s">
        <v>146</v>
      </c>
      <c r="L25" s="753" t="s">
        <v>146</v>
      </c>
      <c r="M25" s="753" t="s">
        <v>146</v>
      </c>
      <c r="N25" s="753" t="s">
        <v>146</v>
      </c>
      <c r="O25" s="753" t="s">
        <v>146</v>
      </c>
      <c r="P25" s="753" t="s">
        <v>146</v>
      </c>
      <c r="Q25" s="753" t="s">
        <v>146</v>
      </c>
      <c r="R25" s="753" t="s">
        <v>146</v>
      </c>
      <c r="S25" s="753" t="s">
        <v>146</v>
      </c>
      <c r="T25" s="753" t="s">
        <v>146</v>
      </c>
      <c r="U25" s="753" t="s">
        <v>146</v>
      </c>
      <c r="V25" s="753" t="s">
        <v>146</v>
      </c>
      <c r="W25" s="753" t="s">
        <v>146</v>
      </c>
      <c r="X25" s="753" t="s">
        <v>146</v>
      </c>
      <c r="Y25" s="753" t="s">
        <v>146</v>
      </c>
      <c r="Z25" s="753" t="s">
        <v>146</v>
      </c>
      <c r="AA25" s="753" t="s">
        <v>146</v>
      </c>
      <c r="AB25" s="753" t="s">
        <v>146</v>
      </c>
      <c r="AC25" s="753" t="s">
        <v>146</v>
      </c>
      <c r="AD25" s="753" t="s">
        <v>146</v>
      </c>
      <c r="AE25" s="754" t="s">
        <v>146</v>
      </c>
      <c r="AF25" s="610" t="s">
        <v>73</v>
      </c>
      <c r="AG25" s="314">
        <v>2.921262</v>
      </c>
      <c r="AH25" s="315" t="e">
        <f t="shared" si="0"/>
        <v>#VALUE!</v>
      </c>
    </row>
    <row r="26" spans="1:34" s="627" customFormat="1" ht="12.75" customHeight="1">
      <c r="A26" s="619"/>
      <c r="B26" s="598" t="s">
        <v>76</v>
      </c>
      <c r="C26" s="746" t="s">
        <v>146</v>
      </c>
      <c r="D26" s="746" t="s">
        <v>146</v>
      </c>
      <c r="E26" s="747" t="s">
        <v>146</v>
      </c>
      <c r="F26" s="747" t="s">
        <v>146</v>
      </c>
      <c r="G26" s="747" t="s">
        <v>146</v>
      </c>
      <c r="H26" s="747" t="s">
        <v>146</v>
      </c>
      <c r="I26" s="747" t="s">
        <v>146</v>
      </c>
      <c r="J26" s="747" t="s">
        <v>146</v>
      </c>
      <c r="K26" s="747" t="s">
        <v>146</v>
      </c>
      <c r="L26" s="747" t="s">
        <v>146</v>
      </c>
      <c r="M26" s="747" t="s">
        <v>146</v>
      </c>
      <c r="N26" s="747" t="s">
        <v>146</v>
      </c>
      <c r="O26" s="747" t="s">
        <v>146</v>
      </c>
      <c r="P26" s="747" t="s">
        <v>146</v>
      </c>
      <c r="Q26" s="747" t="s">
        <v>146</v>
      </c>
      <c r="R26" s="747" t="s">
        <v>146</v>
      </c>
      <c r="S26" s="747" t="s">
        <v>146</v>
      </c>
      <c r="T26" s="747" t="s">
        <v>146</v>
      </c>
      <c r="U26" s="747" t="s">
        <v>146</v>
      </c>
      <c r="V26" s="747" t="s">
        <v>146</v>
      </c>
      <c r="W26" s="747" t="s">
        <v>146</v>
      </c>
      <c r="X26" s="747" t="s">
        <v>146</v>
      </c>
      <c r="Y26" s="747" t="s">
        <v>146</v>
      </c>
      <c r="Z26" s="747" t="s">
        <v>146</v>
      </c>
      <c r="AA26" s="747" t="s">
        <v>146</v>
      </c>
      <c r="AB26" s="747" t="s">
        <v>146</v>
      </c>
      <c r="AC26" s="747" t="s">
        <v>146</v>
      </c>
      <c r="AD26" s="747" t="s">
        <v>146</v>
      </c>
      <c r="AE26" s="755" t="s">
        <v>146</v>
      </c>
      <c r="AF26" s="598" t="s">
        <v>76</v>
      </c>
      <c r="AG26" s="298">
        <v>0.562958</v>
      </c>
      <c r="AH26" s="315" t="e">
        <f t="shared" si="0"/>
        <v>#VALUE!</v>
      </c>
    </row>
    <row r="27" spans="2:34" ht="12.75" customHeight="1">
      <c r="B27" s="598" t="s">
        <v>72</v>
      </c>
      <c r="C27" s="614" t="s">
        <v>99</v>
      </c>
      <c r="D27" s="614" t="s">
        <v>99</v>
      </c>
      <c r="E27" s="616">
        <f>0.2431*3</f>
        <v>0.7293000000000001</v>
      </c>
      <c r="F27" s="616">
        <f>0.2516*3</f>
        <v>0.7547999999999999</v>
      </c>
      <c r="G27" s="616">
        <f>0.1937*3</f>
        <v>0.5811000000000001</v>
      </c>
      <c r="H27" s="616">
        <f>0.1149*3</f>
        <v>0.3447</v>
      </c>
      <c r="I27" s="616">
        <f>0.1128*3</f>
        <v>0.3384</v>
      </c>
      <c r="J27" s="616">
        <f>0.1012*3</f>
        <v>0.3036</v>
      </c>
      <c r="K27" s="616">
        <f>0.0795*3</f>
        <v>0.2385</v>
      </c>
      <c r="L27" s="616">
        <f>0.0884*3</f>
        <v>0.2652</v>
      </c>
      <c r="M27" s="616">
        <f>0.098*3</f>
        <v>0.29400000000000004</v>
      </c>
      <c r="N27" s="616">
        <f>0.0938*3</f>
        <v>0.2814</v>
      </c>
      <c r="O27" s="711">
        <f>0.0889*3</f>
        <v>0.26670000000000005</v>
      </c>
      <c r="P27" s="616">
        <f>0.0869*3</f>
        <v>0.26070000000000004</v>
      </c>
      <c r="Q27" s="616">
        <f>0.0882*3</f>
        <v>0.2646</v>
      </c>
      <c r="R27" s="616">
        <f>0.0846*3</f>
        <v>0.25379999999999997</v>
      </c>
      <c r="S27" s="616">
        <f>0.0879*3</f>
        <v>0.26370000000000005</v>
      </c>
      <c r="T27" s="616">
        <f>0.0909*3</f>
        <v>0.2727</v>
      </c>
      <c r="U27" s="616">
        <f>0.0931*3</f>
        <v>0.2793</v>
      </c>
      <c r="V27" s="616">
        <f>0.0932*3</f>
        <v>0.2796</v>
      </c>
      <c r="W27" s="616">
        <f>0.0861*3</f>
        <v>0.2583</v>
      </c>
      <c r="X27" s="616">
        <f>0.057*3</f>
        <v>0.171</v>
      </c>
      <c r="Y27" s="711">
        <f>0.041*3</f>
        <v>0.123</v>
      </c>
      <c r="Z27" s="616">
        <f>0.0416*3</f>
        <v>0.1248</v>
      </c>
      <c r="AA27" s="616">
        <f>(30695+2777+7112)*3/1000000</f>
        <v>0.121752</v>
      </c>
      <c r="AB27" s="616">
        <v>0.132762</v>
      </c>
      <c r="AC27" s="616">
        <f>(34.69+3.718+6.582)*3/1000</f>
        <v>0.13497</v>
      </c>
      <c r="AD27" s="704">
        <f>(33.938+2.98+6.741)*3/1000</f>
        <v>0.130977</v>
      </c>
      <c r="AE27" s="617">
        <f>AD27/AC27*100-100</f>
        <v>-2.9584352078239675</v>
      </c>
      <c r="AF27" s="598" t="s">
        <v>72</v>
      </c>
      <c r="AG27" s="314">
        <v>1.986096</v>
      </c>
      <c r="AH27" s="315">
        <f t="shared" si="0"/>
        <v>65.94696328878362</v>
      </c>
    </row>
    <row r="28" spans="1:34" s="627" customFormat="1" ht="12.75" customHeight="1">
      <c r="A28" s="619"/>
      <c r="B28" s="598" t="s">
        <v>78</v>
      </c>
      <c r="C28" s="746" t="s">
        <v>146</v>
      </c>
      <c r="D28" s="746" t="s">
        <v>146</v>
      </c>
      <c r="E28" s="747" t="s">
        <v>146</v>
      </c>
      <c r="F28" s="747" t="s">
        <v>146</v>
      </c>
      <c r="G28" s="747" t="s">
        <v>146</v>
      </c>
      <c r="H28" s="747" t="s">
        <v>146</v>
      </c>
      <c r="I28" s="747" t="s">
        <v>146</v>
      </c>
      <c r="J28" s="747" t="s">
        <v>146</v>
      </c>
      <c r="K28" s="747" t="s">
        <v>146</v>
      </c>
      <c r="L28" s="747" t="s">
        <v>146</v>
      </c>
      <c r="M28" s="747" t="s">
        <v>146</v>
      </c>
      <c r="N28" s="747" t="s">
        <v>146</v>
      </c>
      <c r="O28" s="747" t="s">
        <v>146</v>
      </c>
      <c r="P28" s="747" t="s">
        <v>146</v>
      </c>
      <c r="Q28" s="747" t="s">
        <v>146</v>
      </c>
      <c r="R28" s="747" t="s">
        <v>146</v>
      </c>
      <c r="S28" s="747" t="s">
        <v>146</v>
      </c>
      <c r="T28" s="747" t="s">
        <v>146</v>
      </c>
      <c r="U28" s="747" t="s">
        <v>146</v>
      </c>
      <c r="V28" s="747" t="s">
        <v>146</v>
      </c>
      <c r="W28" s="747" t="s">
        <v>146</v>
      </c>
      <c r="X28" s="747" t="s">
        <v>146</v>
      </c>
      <c r="Y28" s="747" t="s">
        <v>146</v>
      </c>
      <c r="Z28" s="747" t="s">
        <v>146</v>
      </c>
      <c r="AA28" s="747" t="s">
        <v>146</v>
      </c>
      <c r="AB28" s="747" t="s">
        <v>146</v>
      </c>
      <c r="AC28" s="747" t="s">
        <v>146</v>
      </c>
      <c r="AD28" s="747" t="s">
        <v>146</v>
      </c>
      <c r="AE28" s="756" t="s">
        <v>146</v>
      </c>
      <c r="AF28" s="598" t="s">
        <v>78</v>
      </c>
      <c r="AG28" s="298">
        <v>0.429344</v>
      </c>
      <c r="AH28" s="315" t="e">
        <f t="shared" si="0"/>
        <v>#VALUE!</v>
      </c>
    </row>
    <row r="29" spans="2:34" ht="12.75" customHeight="1">
      <c r="B29" s="610" t="s">
        <v>16</v>
      </c>
      <c r="C29" s="630">
        <v>1.24</v>
      </c>
      <c r="D29" s="630">
        <v>1.35</v>
      </c>
      <c r="E29" s="622">
        <v>1.26</v>
      </c>
      <c r="F29" s="622">
        <v>1.29</v>
      </c>
      <c r="G29" s="622">
        <v>1.32</v>
      </c>
      <c r="H29" s="622">
        <v>1.34</v>
      </c>
      <c r="I29" s="622">
        <v>1.39</v>
      </c>
      <c r="J29" s="622">
        <v>1.38</v>
      </c>
      <c r="K29" s="622">
        <v>1.39</v>
      </c>
      <c r="L29" s="623">
        <v>1.4</v>
      </c>
      <c r="M29" s="623">
        <v>1.4</v>
      </c>
      <c r="N29" s="623">
        <v>1.42</v>
      </c>
      <c r="O29" s="623">
        <v>0.6692024025713582</v>
      </c>
      <c r="P29" s="623">
        <v>0.6847210123896893</v>
      </c>
      <c r="Q29" s="623">
        <v>0.6635320777721085</v>
      </c>
      <c r="R29" s="623">
        <v>0.6866486373608297</v>
      </c>
      <c r="S29" s="623">
        <v>0.7272619778268847</v>
      </c>
      <c r="T29" s="623">
        <v>0.7464064132044701</v>
      </c>
      <c r="U29" s="623">
        <v>0.7779999304545517</v>
      </c>
      <c r="V29" s="623">
        <v>0.7949860840723357</v>
      </c>
      <c r="W29" s="623">
        <v>0.825323264988066</v>
      </c>
      <c r="X29" s="623">
        <v>0.8248953383354507</v>
      </c>
      <c r="Y29" s="623">
        <v>0.8539250612298133</v>
      </c>
      <c r="Z29" s="623">
        <v>0.8899034590968964</v>
      </c>
      <c r="AA29" s="623">
        <v>0.816130470277351</v>
      </c>
      <c r="AB29" s="623">
        <v>0.8535595653837628</v>
      </c>
      <c r="AC29" s="623">
        <v>0.8532425379056862</v>
      </c>
      <c r="AD29" s="623">
        <v>0.9164456888616629</v>
      </c>
      <c r="AE29" s="636">
        <f>AD29/AC29*100-100</f>
        <v>7.407407407407391</v>
      </c>
      <c r="AF29" s="610" t="s">
        <v>16</v>
      </c>
      <c r="AG29" s="314">
        <v>16.900726</v>
      </c>
      <c r="AH29" s="315">
        <f t="shared" si="0"/>
        <v>54.225226115236886</v>
      </c>
    </row>
    <row r="30" spans="1:34" s="627" customFormat="1" ht="12.75" customHeight="1">
      <c r="A30" s="619"/>
      <c r="B30" s="610" t="s">
        <v>80</v>
      </c>
      <c r="C30" s="630" t="s">
        <v>99</v>
      </c>
      <c r="D30" s="630" t="s">
        <v>99</v>
      </c>
      <c r="E30" s="622" t="s">
        <v>99</v>
      </c>
      <c r="F30" s="622" t="s">
        <v>99</v>
      </c>
      <c r="G30" s="622" t="s">
        <v>99</v>
      </c>
      <c r="H30" s="622" t="s">
        <v>99</v>
      </c>
      <c r="I30" s="622" t="s">
        <v>99</v>
      </c>
      <c r="J30" s="623">
        <v>5</v>
      </c>
      <c r="K30" s="623">
        <v>4.9</v>
      </c>
      <c r="L30" s="623">
        <v>4.85</v>
      </c>
      <c r="M30" s="623">
        <v>4.8</v>
      </c>
      <c r="N30" s="623">
        <v>4.75</v>
      </c>
      <c r="O30" s="623">
        <v>4.7</v>
      </c>
      <c r="P30" s="623">
        <v>4.65</v>
      </c>
      <c r="Q30" s="623">
        <v>4.62</v>
      </c>
      <c r="R30" s="623">
        <v>4.5</v>
      </c>
      <c r="S30" s="623">
        <v>4.5</v>
      </c>
      <c r="T30" s="623">
        <v>4.4</v>
      </c>
      <c r="U30" s="623">
        <v>4.45</v>
      </c>
      <c r="V30" s="623">
        <v>4.6</v>
      </c>
      <c r="W30" s="623">
        <v>4.6</v>
      </c>
      <c r="X30" s="623">
        <v>4.32</v>
      </c>
      <c r="Y30" s="623">
        <f>4.34</f>
        <v>4.34</v>
      </c>
      <c r="Z30" s="623">
        <v>4.403712781401456</v>
      </c>
      <c r="AA30" s="623">
        <v>4.392245206824666</v>
      </c>
      <c r="AB30" s="623">
        <f>AA30*(3620.9+113.1)/(3867.5+132.5)</f>
        <v>4.100160900570825</v>
      </c>
      <c r="AC30" s="623">
        <f>AB30*(3711.1+147.7)/(3620.9+113.1)</f>
        <v>4.237198951023754</v>
      </c>
      <c r="AD30" s="623">
        <f>AC30*((3672.2+171.3)/(3711.1+147.7))</f>
        <v>4.22039861310765</v>
      </c>
      <c r="AE30" s="636">
        <f>AD30/AC30*100-100</f>
        <v>-0.39649632009950153</v>
      </c>
      <c r="AF30" s="610" t="s">
        <v>80</v>
      </c>
      <c r="AG30" s="298">
        <v>38.005614</v>
      </c>
      <c r="AH30" s="315">
        <f t="shared" si="0"/>
        <v>111.04671570646511</v>
      </c>
    </row>
    <row r="31" spans="2:34" ht="12.75" customHeight="1">
      <c r="B31" s="598" t="s">
        <v>92</v>
      </c>
      <c r="C31" s="614">
        <v>0.93</v>
      </c>
      <c r="D31" s="614">
        <v>0.74</v>
      </c>
      <c r="E31" s="615">
        <v>0.67</v>
      </c>
      <c r="F31" s="615">
        <v>0.65</v>
      </c>
      <c r="G31" s="615">
        <v>0.63</v>
      </c>
      <c r="H31" s="615">
        <v>0.61</v>
      </c>
      <c r="I31" s="615">
        <v>0.58</v>
      </c>
      <c r="J31" s="615">
        <v>0.53</v>
      </c>
      <c r="K31" s="615">
        <v>0.54</v>
      </c>
      <c r="L31" s="615">
        <v>0.5</v>
      </c>
      <c r="M31" s="615">
        <v>0.5</v>
      </c>
      <c r="N31" s="615">
        <v>0.5</v>
      </c>
      <c r="O31" s="615">
        <v>0.53</v>
      </c>
      <c r="P31" s="615">
        <v>0.545</v>
      </c>
      <c r="Q31" s="615">
        <v>0.55</v>
      </c>
      <c r="R31" s="615">
        <v>0.77</v>
      </c>
      <c r="S31" s="615">
        <v>0.847</v>
      </c>
      <c r="T31" s="615">
        <f>0.80121+0.046506</f>
        <v>0.847716</v>
      </c>
      <c r="U31" s="615">
        <f>0.785327+0.202473</f>
        <v>0.9878</v>
      </c>
      <c r="V31" s="615">
        <f>0.803969+0.245921</f>
        <v>1.04989</v>
      </c>
      <c r="W31" s="615">
        <f>0.8354+0.259361</f>
        <v>1.094761</v>
      </c>
      <c r="X31" s="615">
        <f>0.829067+0.261117</f>
        <v>1.090184</v>
      </c>
      <c r="Y31" s="615">
        <f>0.866169+0.267064</f>
        <v>1.133233</v>
      </c>
      <c r="Z31" s="615">
        <v>1.148</v>
      </c>
      <c r="AA31" s="615">
        <f>0.745589+0.28248</f>
        <v>1.028069</v>
      </c>
      <c r="AB31" s="615">
        <f>0.655705+0.285591</f>
        <v>0.9412959999999999</v>
      </c>
      <c r="AC31" s="615">
        <f>0.650711+0.288136+0.027714</f>
        <v>0.966561</v>
      </c>
      <c r="AD31" s="615">
        <f>0.685636+0.29445+0.028566</f>
        <v>1.008652</v>
      </c>
      <c r="AE31" s="640">
        <f>AD31/AC31*100-100</f>
        <v>4.354717394970422</v>
      </c>
      <c r="AF31" s="598" t="s">
        <v>92</v>
      </c>
      <c r="AG31" s="314">
        <v>10.374822</v>
      </c>
      <c r="AH31" s="315">
        <f t="shared" si="0"/>
        <v>97.22113786626895</v>
      </c>
    </row>
    <row r="32" spans="2:34" ht="12.75" customHeight="1">
      <c r="B32" s="610" t="s">
        <v>102</v>
      </c>
      <c r="C32" s="630"/>
      <c r="D32" s="630"/>
      <c r="E32" s="622"/>
      <c r="F32" s="622"/>
      <c r="G32" s="622"/>
      <c r="H32" s="622"/>
      <c r="I32" s="622"/>
      <c r="J32" s="623">
        <v>6</v>
      </c>
      <c r="K32" s="623">
        <v>6</v>
      </c>
      <c r="L32" s="623">
        <v>6</v>
      </c>
      <c r="M32" s="623">
        <v>6</v>
      </c>
      <c r="N32" s="623">
        <v>6</v>
      </c>
      <c r="O32" s="623">
        <v>6</v>
      </c>
      <c r="P32" s="623">
        <v>6</v>
      </c>
      <c r="Q32" s="623">
        <v>6</v>
      </c>
      <c r="R32" s="622">
        <v>5.777215</v>
      </c>
      <c r="S32" s="622">
        <v>6.192045</v>
      </c>
      <c r="T32" s="622">
        <v>6.596908000000001</v>
      </c>
      <c r="U32" s="623">
        <v>6.8</v>
      </c>
      <c r="V32" s="623">
        <v>6.9</v>
      </c>
      <c r="W32" s="623">
        <v>7</v>
      </c>
      <c r="X32" s="623">
        <v>7.047</v>
      </c>
      <c r="Y32" s="623">
        <v>7.138710097776035</v>
      </c>
      <c r="Z32" s="623">
        <f>AVERAGE(W32:Y32)</f>
        <v>7.061903365925345</v>
      </c>
      <c r="AA32" s="623">
        <v>7.548372713565322</v>
      </c>
      <c r="AB32" s="623">
        <v>7.751718100556632</v>
      </c>
      <c r="AC32" s="623">
        <v>8</v>
      </c>
      <c r="AD32" s="623">
        <f>AC32*(1-0.047)</f>
        <v>7.624</v>
      </c>
      <c r="AE32" s="636">
        <f>AD32/AC32*100-100</f>
        <v>-4.700000000000003</v>
      </c>
      <c r="AF32" s="610" t="s">
        <v>102</v>
      </c>
      <c r="AG32" s="298">
        <v>19.861408</v>
      </c>
      <c r="AH32" s="315">
        <f t="shared" si="0"/>
        <v>383.85999622987447</v>
      </c>
    </row>
    <row r="33" spans="2:34" ht="12.75" customHeight="1">
      <c r="B33" s="610" t="s">
        <v>88</v>
      </c>
      <c r="C33" s="630">
        <v>1.44</v>
      </c>
      <c r="D33" s="630">
        <v>1.97</v>
      </c>
      <c r="E33" s="622">
        <v>2.01</v>
      </c>
      <c r="F33" s="622">
        <v>1.93</v>
      </c>
      <c r="G33" s="622">
        <v>1.91</v>
      </c>
      <c r="H33" s="622">
        <v>1.91</v>
      </c>
      <c r="I33" s="622">
        <v>1.89</v>
      </c>
      <c r="J33" s="622">
        <v>1.94</v>
      </c>
      <c r="K33" s="622">
        <v>1.98</v>
      </c>
      <c r="L33" s="622">
        <f>1.496+0.375</f>
        <v>1.871</v>
      </c>
      <c r="M33" s="622">
        <f>1.505+0.374</f>
        <v>1.879</v>
      </c>
      <c r="N33" s="622">
        <f>1.526+0.38</f>
        <v>1.9060000000000001</v>
      </c>
      <c r="O33" s="622">
        <f>1.588+0.394</f>
        <v>1.9820000000000002</v>
      </c>
      <c r="P33" s="622">
        <f>1.581+0.41</f>
        <v>1.9909999999999999</v>
      </c>
      <c r="Q33" s="622">
        <f>1.578+0.415</f>
        <v>1.993</v>
      </c>
      <c r="R33" s="622">
        <f>1.558+0.436</f>
        <v>1.994</v>
      </c>
      <c r="S33" s="622">
        <f>1.556+0.462</f>
        <v>2.0180000000000002</v>
      </c>
      <c r="T33" s="622">
        <f>1.541+0.473</f>
        <v>2.014</v>
      </c>
      <c r="U33" s="622">
        <f>1.657+0.482</f>
        <v>2.1390000000000002</v>
      </c>
      <c r="V33" s="622">
        <f>1.69+0.514</f>
        <v>2.2039999999999997</v>
      </c>
      <c r="W33" s="622">
        <f>1.715+0.524</f>
        <v>2.239</v>
      </c>
      <c r="X33" s="622">
        <f>1.715+0.524</f>
        <v>2.239</v>
      </c>
      <c r="Y33" s="622">
        <f>1.731+0.549</f>
        <v>2.2800000000000002</v>
      </c>
      <c r="Z33" s="622">
        <f>1.725+0.615</f>
        <v>2.34</v>
      </c>
      <c r="AA33" s="622">
        <f>1.796+0.577</f>
        <v>2.373</v>
      </c>
      <c r="AB33" s="622">
        <v>2.449</v>
      </c>
      <c r="AC33" s="622">
        <v>2.443</v>
      </c>
      <c r="AD33" s="622">
        <f>1.892+0.6078</f>
        <v>2.4998</v>
      </c>
      <c r="AE33" s="632">
        <f>AD33/AC33*100-100</f>
        <v>2.3250102333196736</v>
      </c>
      <c r="AF33" s="610" t="s">
        <v>88</v>
      </c>
      <c r="AG33" s="314">
        <v>9.747355</v>
      </c>
      <c r="AH33" s="315">
        <f t="shared" si="0"/>
        <v>256.45931639916677</v>
      </c>
    </row>
    <row r="34" spans="2:34" ht="12.75" customHeight="1">
      <c r="B34" s="598" t="s">
        <v>83</v>
      </c>
      <c r="C34" s="746" t="s">
        <v>146</v>
      </c>
      <c r="D34" s="746" t="s">
        <v>146</v>
      </c>
      <c r="E34" s="747" t="s">
        <v>146</v>
      </c>
      <c r="F34" s="747" t="s">
        <v>146</v>
      </c>
      <c r="G34" s="747" t="s">
        <v>146</v>
      </c>
      <c r="H34" s="747" t="s">
        <v>146</v>
      </c>
      <c r="I34" s="747" t="s">
        <v>146</v>
      </c>
      <c r="J34" s="747" t="s">
        <v>146</v>
      </c>
      <c r="K34" s="747" t="s">
        <v>146</v>
      </c>
      <c r="L34" s="747" t="s">
        <v>146</v>
      </c>
      <c r="M34" s="747" t="s">
        <v>146</v>
      </c>
      <c r="N34" s="747" t="s">
        <v>146</v>
      </c>
      <c r="O34" s="747" t="s">
        <v>146</v>
      </c>
      <c r="P34" s="747" t="s">
        <v>146</v>
      </c>
      <c r="Q34" s="747" t="s">
        <v>146</v>
      </c>
      <c r="R34" s="747" t="s">
        <v>146</v>
      </c>
      <c r="S34" s="747" t="s">
        <v>146</v>
      </c>
      <c r="T34" s="747" t="s">
        <v>146</v>
      </c>
      <c r="U34" s="747" t="s">
        <v>146</v>
      </c>
      <c r="V34" s="747" t="s">
        <v>146</v>
      </c>
      <c r="W34" s="747" t="s">
        <v>146</v>
      </c>
      <c r="X34" s="747" t="s">
        <v>146</v>
      </c>
      <c r="Y34" s="747" t="s">
        <v>146</v>
      </c>
      <c r="Z34" s="747" t="s">
        <v>146</v>
      </c>
      <c r="AA34" s="747" t="s">
        <v>146</v>
      </c>
      <c r="AB34" s="747" t="s">
        <v>146</v>
      </c>
      <c r="AC34" s="747" t="s">
        <v>146</v>
      </c>
      <c r="AD34" s="832" t="s">
        <v>146</v>
      </c>
      <c r="AE34" s="755" t="s">
        <v>146</v>
      </c>
      <c r="AF34" s="598" t="s">
        <v>83</v>
      </c>
      <c r="AG34" s="298">
        <v>2.062874</v>
      </c>
      <c r="AH34" s="315" t="e">
        <f t="shared" si="0"/>
        <v>#VALUE!</v>
      </c>
    </row>
    <row r="35" spans="2:34" ht="12.75" customHeight="1">
      <c r="B35" s="610" t="s">
        <v>85</v>
      </c>
      <c r="C35" s="630"/>
      <c r="D35" s="630"/>
      <c r="E35" s="622"/>
      <c r="F35" s="622"/>
      <c r="G35" s="622"/>
      <c r="H35" s="622" t="s">
        <v>99</v>
      </c>
      <c r="I35" s="622" t="s">
        <v>99</v>
      </c>
      <c r="J35" s="623">
        <f>0.14623*3</f>
        <v>0.43869</v>
      </c>
      <c r="K35" s="830">
        <v>0.42</v>
      </c>
      <c r="L35" s="623">
        <v>0.4</v>
      </c>
      <c r="M35" s="623">
        <f>0.126488*3</f>
        <v>0.37946399999999997</v>
      </c>
      <c r="N35" s="623">
        <f>0.117714*3</f>
        <v>0.353142</v>
      </c>
      <c r="O35" s="623">
        <v>0.35</v>
      </c>
      <c r="P35" s="623">
        <v>0.35736278</v>
      </c>
      <c r="Q35" s="623">
        <v>0.35821163</v>
      </c>
      <c r="R35" s="623">
        <v>0.36700559999999993</v>
      </c>
      <c r="S35" s="623">
        <v>0.36223677000000004</v>
      </c>
      <c r="T35" s="623">
        <v>0.38621753999999997</v>
      </c>
      <c r="U35" s="623">
        <v>0.384426</v>
      </c>
      <c r="V35" s="623">
        <f>0.109705*3.6</f>
        <v>0.394938</v>
      </c>
      <c r="W35" s="623">
        <f>0.10708*3.43</f>
        <v>0.3672844</v>
      </c>
      <c r="X35" s="623">
        <v>0.2925259</v>
      </c>
      <c r="Y35" s="623">
        <v>0.2834431</v>
      </c>
      <c r="Z35" s="623">
        <f>2.81*0.109182</f>
        <v>0.30680142</v>
      </c>
      <c r="AA35" s="623">
        <f>0.098788*2.93</f>
        <v>0.28944884000000004</v>
      </c>
      <c r="AB35" s="623">
        <f>3.1*88.841/1000</f>
        <v>0.2754071</v>
      </c>
      <c r="AC35" s="623">
        <f>87.672*2.93/1000</f>
        <v>0.25687896</v>
      </c>
      <c r="AD35" s="623">
        <f>85.017*2.95/1000</f>
        <v>0.25080015</v>
      </c>
      <c r="AE35" s="636">
        <f>AD35/AC35*100-100</f>
        <v>-2.3664102346101004</v>
      </c>
      <c r="AF35" s="610" t="s">
        <v>85</v>
      </c>
      <c r="AG35" s="298">
        <v>5.421349</v>
      </c>
      <c r="AH35" s="315">
        <f t="shared" si="0"/>
        <v>46.261576223925076</v>
      </c>
    </row>
    <row r="36" spans="2:34" ht="12.75" customHeight="1">
      <c r="B36" s="598" t="s">
        <v>13</v>
      </c>
      <c r="C36" s="614">
        <v>5.2</v>
      </c>
      <c r="D36" s="614">
        <v>4.3</v>
      </c>
      <c r="E36" s="615">
        <v>6.5</v>
      </c>
      <c r="F36" s="615">
        <v>6.24</v>
      </c>
      <c r="G36" s="615">
        <v>6.15</v>
      </c>
      <c r="H36" s="615">
        <v>6.24</v>
      </c>
      <c r="I36" s="615">
        <v>6.507</v>
      </c>
      <c r="J36" s="615">
        <v>6.811</v>
      </c>
      <c r="K36" s="615">
        <v>6.648</v>
      </c>
      <c r="L36" s="615">
        <v>6.998</v>
      </c>
      <c r="M36" s="615">
        <f>6.716+0.632</f>
        <v>7.348</v>
      </c>
      <c r="N36" s="615">
        <f>7.171+0.714</f>
        <v>7.885</v>
      </c>
      <c r="O36" s="615">
        <f>7.47+0.869</f>
        <v>8.339</v>
      </c>
      <c r="P36" s="615">
        <f>7.451+0.895</f>
        <v>8.346</v>
      </c>
      <c r="Q36" s="615">
        <f>7.367+0.961</f>
        <v>8.328</v>
      </c>
      <c r="R36" s="615">
        <f>7.34+0.96</f>
        <v>8.3</v>
      </c>
      <c r="S36" s="615">
        <f>7.606+1.079</f>
        <v>8.685</v>
      </c>
      <c r="T36" s="615">
        <f>7.586+1.1</f>
        <v>8.686</v>
      </c>
      <c r="U36" s="615">
        <f>7.947+1.177</f>
        <v>9.124</v>
      </c>
      <c r="V36" s="615">
        <f>8.352+1.1244</f>
        <v>9.4764</v>
      </c>
      <c r="W36" s="615">
        <f>8.646+1.251</f>
        <v>9.897</v>
      </c>
      <c r="X36" s="615">
        <f>8.457+1.271</f>
        <v>9.728000000000002</v>
      </c>
      <c r="Y36" s="615">
        <f>8.875+1.31</f>
        <v>10.185</v>
      </c>
      <c r="Z36" s="615">
        <f>9.519+0.8249*1.60934+0.0412</f>
        <v>10.887744566</v>
      </c>
      <c r="AA36" s="615">
        <f>10.099+0.0402+0.8822*1.609</f>
        <v>11.558659800000001</v>
      </c>
      <c r="AB36" s="757">
        <f>10.422+0.0406+1.4845</f>
        <v>11.9471</v>
      </c>
      <c r="AC36" s="757">
        <f>10.847+0.0414+1.6047</f>
        <v>12.493099999999998</v>
      </c>
      <c r="AD36" s="757">
        <f>11.457+0.0415+1.0703*1.609344</f>
        <v>13.2209808832</v>
      </c>
      <c r="AE36" s="640">
        <f>AD36/AC36*100-100</f>
        <v>5.826263162865914</v>
      </c>
      <c r="AF36" s="598" t="s">
        <v>13</v>
      </c>
      <c r="AG36" s="298">
        <v>64.767115</v>
      </c>
      <c r="AH36" s="315">
        <f t="shared" si="0"/>
        <v>204.13107613640037</v>
      </c>
    </row>
    <row r="37" spans="2:32" ht="12.75" customHeight="1">
      <c r="B37" s="652" t="s">
        <v>289</v>
      </c>
      <c r="C37" s="758" t="s">
        <v>146</v>
      </c>
      <c r="D37" s="758" t="s">
        <v>146</v>
      </c>
      <c r="E37" s="759" t="s">
        <v>146</v>
      </c>
      <c r="F37" s="759" t="s">
        <v>146</v>
      </c>
      <c r="G37" s="759" t="s">
        <v>146</v>
      </c>
      <c r="H37" s="759" t="s">
        <v>146</v>
      </c>
      <c r="I37" s="759" t="s">
        <v>146</v>
      </c>
      <c r="J37" s="759" t="s">
        <v>146</v>
      </c>
      <c r="K37" s="759" t="s">
        <v>146</v>
      </c>
      <c r="L37" s="759" t="s">
        <v>146</v>
      </c>
      <c r="M37" s="759" t="s">
        <v>146</v>
      </c>
      <c r="N37" s="759" t="s">
        <v>146</v>
      </c>
      <c r="O37" s="759" t="s">
        <v>146</v>
      </c>
      <c r="P37" s="759" t="s">
        <v>146</v>
      </c>
      <c r="Q37" s="759" t="s">
        <v>146</v>
      </c>
      <c r="R37" s="759" t="s">
        <v>146</v>
      </c>
      <c r="S37" s="759" t="s">
        <v>146</v>
      </c>
      <c r="T37" s="759" t="s">
        <v>146</v>
      </c>
      <c r="U37" s="759" t="s">
        <v>146</v>
      </c>
      <c r="V37" s="759" t="s">
        <v>146</v>
      </c>
      <c r="W37" s="759" t="s">
        <v>146</v>
      </c>
      <c r="X37" s="759" t="s">
        <v>146</v>
      </c>
      <c r="Y37" s="759" t="s">
        <v>146</v>
      </c>
      <c r="Z37" s="759" t="s">
        <v>146</v>
      </c>
      <c r="AA37" s="759" t="s">
        <v>146</v>
      </c>
      <c r="AB37" s="759" t="s">
        <v>146</v>
      </c>
      <c r="AC37" s="759" t="s">
        <v>146</v>
      </c>
      <c r="AD37" s="759" t="s">
        <v>146</v>
      </c>
      <c r="AE37" s="760" t="s">
        <v>146</v>
      </c>
      <c r="AF37" s="652" t="s">
        <v>289</v>
      </c>
    </row>
    <row r="38" spans="2:32" ht="12.75" customHeight="1">
      <c r="B38" s="598" t="s">
        <v>235</v>
      </c>
      <c r="C38" s="746" t="s">
        <v>146</v>
      </c>
      <c r="D38" s="746" t="s">
        <v>146</v>
      </c>
      <c r="E38" s="747" t="s">
        <v>146</v>
      </c>
      <c r="F38" s="747" t="s">
        <v>146</v>
      </c>
      <c r="G38" s="747" t="s">
        <v>146</v>
      </c>
      <c r="H38" s="761" t="s">
        <v>146</v>
      </c>
      <c r="I38" s="761" t="s">
        <v>146</v>
      </c>
      <c r="J38" s="761" t="s">
        <v>146</v>
      </c>
      <c r="K38" s="761" t="s">
        <v>146</v>
      </c>
      <c r="L38" s="761" t="s">
        <v>146</v>
      </c>
      <c r="M38" s="761" t="s">
        <v>146</v>
      </c>
      <c r="N38" s="761" t="s">
        <v>146</v>
      </c>
      <c r="O38" s="761" t="s">
        <v>146</v>
      </c>
      <c r="P38" s="761" t="s">
        <v>146</v>
      </c>
      <c r="Q38" s="761" t="s">
        <v>146</v>
      </c>
      <c r="R38" s="761" t="s">
        <v>146</v>
      </c>
      <c r="S38" s="761" t="s">
        <v>146</v>
      </c>
      <c r="T38" s="761" t="s">
        <v>146</v>
      </c>
      <c r="U38" s="761" t="s">
        <v>146</v>
      </c>
      <c r="V38" s="761" t="s">
        <v>146</v>
      </c>
      <c r="W38" s="761" t="s">
        <v>146</v>
      </c>
      <c r="X38" s="761" t="s">
        <v>146</v>
      </c>
      <c r="Y38" s="761" t="s">
        <v>146</v>
      </c>
      <c r="Z38" s="761" t="s">
        <v>146</v>
      </c>
      <c r="AA38" s="761" t="s">
        <v>146</v>
      </c>
      <c r="AB38" s="761" t="s">
        <v>146</v>
      </c>
      <c r="AC38" s="761" t="s">
        <v>146</v>
      </c>
      <c r="AD38" s="761" t="s">
        <v>146</v>
      </c>
      <c r="AE38" s="756" t="s">
        <v>146</v>
      </c>
      <c r="AF38" s="598" t="s">
        <v>235</v>
      </c>
    </row>
    <row r="39" spans="1:32" s="627" customFormat="1" ht="12.75" customHeight="1">
      <c r="A39" s="619"/>
      <c r="B39" s="610" t="s">
        <v>149</v>
      </c>
      <c r="C39" s="752" t="s">
        <v>146</v>
      </c>
      <c r="D39" s="752" t="s">
        <v>146</v>
      </c>
      <c r="E39" s="753" t="s">
        <v>146</v>
      </c>
      <c r="F39" s="753" t="s">
        <v>146</v>
      </c>
      <c r="G39" s="753" t="s">
        <v>146</v>
      </c>
      <c r="H39" s="753" t="s">
        <v>146</v>
      </c>
      <c r="I39" s="753" t="s">
        <v>146</v>
      </c>
      <c r="J39" s="753" t="s">
        <v>146</v>
      </c>
      <c r="K39" s="753" t="s">
        <v>146</v>
      </c>
      <c r="L39" s="753" t="s">
        <v>146</v>
      </c>
      <c r="M39" s="753" t="s">
        <v>146</v>
      </c>
      <c r="N39" s="753" t="s">
        <v>146</v>
      </c>
      <c r="O39" s="753" t="s">
        <v>146</v>
      </c>
      <c r="P39" s="753" t="s">
        <v>146</v>
      </c>
      <c r="Q39" s="753" t="s">
        <v>146</v>
      </c>
      <c r="R39" s="753" t="s">
        <v>146</v>
      </c>
      <c r="S39" s="753" t="s">
        <v>146</v>
      </c>
      <c r="T39" s="753" t="s">
        <v>146</v>
      </c>
      <c r="U39" s="753" t="s">
        <v>146</v>
      </c>
      <c r="V39" s="753" t="s">
        <v>146</v>
      </c>
      <c r="W39" s="753" t="s">
        <v>146</v>
      </c>
      <c r="X39" s="753" t="s">
        <v>146</v>
      </c>
      <c r="Y39" s="753" t="s">
        <v>146</v>
      </c>
      <c r="Z39" s="753" t="s">
        <v>146</v>
      </c>
      <c r="AA39" s="753" t="s">
        <v>146</v>
      </c>
      <c r="AB39" s="753" t="s">
        <v>146</v>
      </c>
      <c r="AC39" s="753" t="s">
        <v>146</v>
      </c>
      <c r="AD39" s="753" t="s">
        <v>146</v>
      </c>
      <c r="AE39" s="754" t="s">
        <v>146</v>
      </c>
      <c r="AF39" s="610" t="s">
        <v>149</v>
      </c>
    </row>
    <row r="40" spans="1:32" s="627" customFormat="1" ht="12.75" customHeight="1">
      <c r="A40" s="619"/>
      <c r="B40" s="598" t="s">
        <v>236</v>
      </c>
      <c r="C40" s="746"/>
      <c r="D40" s="746"/>
      <c r="E40" s="747"/>
      <c r="F40" s="747"/>
      <c r="G40" s="747"/>
      <c r="H40" s="747"/>
      <c r="I40" s="747"/>
      <c r="J40" s="747"/>
      <c r="K40" s="747"/>
      <c r="L40" s="747"/>
      <c r="M40" s="747"/>
      <c r="N40" s="747"/>
      <c r="O40" s="747"/>
      <c r="P40" s="747"/>
      <c r="Q40" s="747"/>
      <c r="R40" s="747"/>
      <c r="S40" s="747"/>
      <c r="T40" s="747"/>
      <c r="U40" s="747"/>
      <c r="V40" s="747"/>
      <c r="W40" s="761"/>
      <c r="X40" s="761"/>
      <c r="Y40" s="616">
        <v>0.43019567558770144</v>
      </c>
      <c r="Z40" s="616">
        <v>0.4353952054618243</v>
      </c>
      <c r="AA40" s="616">
        <v>0.45043191350042133</v>
      </c>
      <c r="AB40" s="616">
        <v>0.46382932349263195</v>
      </c>
      <c r="AC40" s="616">
        <v>0.4649097849213302</v>
      </c>
      <c r="AD40" s="616">
        <v>0.425869412746633</v>
      </c>
      <c r="AE40" s="617">
        <f>AD40/AC40*100-100</f>
        <v>-8.397408151197212</v>
      </c>
      <c r="AF40" s="598" t="s">
        <v>236</v>
      </c>
    </row>
    <row r="41" spans="2:32" ht="12.75" customHeight="1">
      <c r="B41" s="657" t="s">
        <v>150</v>
      </c>
      <c r="C41" s="630"/>
      <c r="D41" s="630"/>
      <c r="E41" s="622"/>
      <c r="F41" s="622"/>
      <c r="G41" s="622"/>
      <c r="H41" s="622"/>
      <c r="I41" s="622"/>
      <c r="J41" s="622"/>
      <c r="K41" s="622"/>
      <c r="L41" s="622"/>
      <c r="M41" s="622"/>
      <c r="N41" s="622"/>
      <c r="O41" s="622"/>
      <c r="P41" s="622"/>
      <c r="Q41" s="622"/>
      <c r="R41" s="622"/>
      <c r="S41" s="622"/>
      <c r="T41" s="622"/>
      <c r="U41" s="622"/>
      <c r="V41" s="622"/>
      <c r="W41" s="622"/>
      <c r="X41" s="622"/>
      <c r="Y41" s="622"/>
      <c r="Z41" s="622"/>
      <c r="AA41" s="622"/>
      <c r="AB41" s="622"/>
      <c r="AC41" s="622"/>
      <c r="AD41" s="622"/>
      <c r="AE41" s="762"/>
      <c r="AF41" s="657" t="s">
        <v>150</v>
      </c>
    </row>
    <row r="42" spans="1:32" s="627" customFormat="1" ht="12.75" customHeight="1">
      <c r="A42" s="619"/>
      <c r="B42" s="598" t="s">
        <v>151</v>
      </c>
      <c r="C42" s="763" t="s">
        <v>146</v>
      </c>
      <c r="D42" s="763" t="s">
        <v>146</v>
      </c>
      <c r="E42" s="764" t="s">
        <v>146</v>
      </c>
      <c r="F42" s="764" t="s">
        <v>146</v>
      </c>
      <c r="G42" s="764" t="s">
        <v>146</v>
      </c>
      <c r="H42" s="764" t="s">
        <v>146</v>
      </c>
      <c r="I42" s="764" t="s">
        <v>146</v>
      </c>
      <c r="J42" s="764" t="s">
        <v>146</v>
      </c>
      <c r="K42" s="764" t="s">
        <v>146</v>
      </c>
      <c r="L42" s="764" t="s">
        <v>146</v>
      </c>
      <c r="M42" s="764" t="s">
        <v>146</v>
      </c>
      <c r="N42" s="764" t="s">
        <v>146</v>
      </c>
      <c r="O42" s="764" t="s">
        <v>146</v>
      </c>
      <c r="P42" s="764" t="s">
        <v>146</v>
      </c>
      <c r="Q42" s="764" t="s">
        <v>146</v>
      </c>
      <c r="R42" s="764" t="s">
        <v>146</v>
      </c>
      <c r="S42" s="764" t="s">
        <v>146</v>
      </c>
      <c r="T42" s="764" t="s">
        <v>146</v>
      </c>
      <c r="U42" s="764" t="s">
        <v>146</v>
      </c>
      <c r="V42" s="764" t="s">
        <v>146</v>
      </c>
      <c r="W42" s="764" t="s">
        <v>146</v>
      </c>
      <c r="X42" s="764" t="s">
        <v>146</v>
      </c>
      <c r="Y42" s="764" t="s">
        <v>146</v>
      </c>
      <c r="Z42" s="764" t="s">
        <v>146</v>
      </c>
      <c r="AA42" s="764" t="s">
        <v>146</v>
      </c>
      <c r="AB42" s="764" t="s">
        <v>146</v>
      </c>
      <c r="AC42" s="764" t="s">
        <v>146</v>
      </c>
      <c r="AD42" s="764" t="s">
        <v>146</v>
      </c>
      <c r="AE42" s="765" t="s">
        <v>146</v>
      </c>
      <c r="AF42" s="598" t="s">
        <v>151</v>
      </c>
    </row>
    <row r="43" spans="2:32" ht="12.75" customHeight="1">
      <c r="B43" s="610" t="s">
        <v>152</v>
      </c>
      <c r="C43" s="630">
        <v>0.428</v>
      </c>
      <c r="D43" s="630">
        <v>0.501</v>
      </c>
      <c r="E43" s="622">
        <v>0.419</v>
      </c>
      <c r="F43" s="631">
        <v>0.42</v>
      </c>
      <c r="G43" s="622">
        <v>0.349</v>
      </c>
      <c r="H43" s="622">
        <v>0.37</v>
      </c>
      <c r="I43" s="622">
        <v>0.375</v>
      </c>
      <c r="J43" s="622">
        <v>0.381</v>
      </c>
      <c r="K43" s="622">
        <v>0.419</v>
      </c>
      <c r="L43" s="622">
        <v>0.427</v>
      </c>
      <c r="M43" s="622">
        <v>0.469</v>
      </c>
      <c r="N43" s="622">
        <v>0.507</v>
      </c>
      <c r="O43" s="622">
        <v>0.496</v>
      </c>
      <c r="P43" s="622">
        <v>0.508</v>
      </c>
      <c r="Q43" s="622">
        <v>0.498</v>
      </c>
      <c r="R43" s="622">
        <v>0.476</v>
      </c>
      <c r="S43" s="622">
        <v>0.458</v>
      </c>
      <c r="T43" s="622">
        <v>0.518</v>
      </c>
      <c r="U43" s="622">
        <v>0.508</v>
      </c>
      <c r="V43" s="622">
        <v>0.535</v>
      </c>
      <c r="W43" s="622">
        <v>0.572</v>
      </c>
      <c r="X43" s="622">
        <v>0.588</v>
      </c>
      <c r="Y43" s="622">
        <v>0.62</v>
      </c>
      <c r="Z43" s="622">
        <v>0.631</v>
      </c>
      <c r="AA43" s="622">
        <v>0.660384</v>
      </c>
      <c r="AB43" s="622">
        <v>0.728919</v>
      </c>
      <c r="AC43" s="622">
        <v>0.752</v>
      </c>
      <c r="AD43" s="648">
        <v>0.809</v>
      </c>
      <c r="AE43" s="612">
        <f>AD43/AC43*100-100</f>
        <v>7.579787234042556</v>
      </c>
      <c r="AF43" s="610" t="s">
        <v>152</v>
      </c>
    </row>
    <row r="44" spans="1:32" s="627" customFormat="1" ht="12.75" customHeight="1">
      <c r="A44" s="619"/>
      <c r="B44" s="604" t="s">
        <v>153</v>
      </c>
      <c r="C44" s="666"/>
      <c r="D44" s="666"/>
      <c r="E44" s="650"/>
      <c r="F44" s="650"/>
      <c r="G44" s="650"/>
      <c r="H44" s="650"/>
      <c r="I44" s="650"/>
      <c r="J44" s="650">
        <v>1.5002</v>
      </c>
      <c r="K44" s="650">
        <v>1.5463</v>
      </c>
      <c r="L44" s="650">
        <v>1.5072</v>
      </c>
      <c r="M44" s="650">
        <v>1.3951</v>
      </c>
      <c r="N44" s="650">
        <v>1.403</v>
      </c>
      <c r="O44" s="650">
        <v>1.403</v>
      </c>
      <c r="P44" s="650">
        <v>1.4358</v>
      </c>
      <c r="Q44" s="650">
        <v>1.4478</v>
      </c>
      <c r="R44" s="650">
        <v>1.4394</v>
      </c>
      <c r="S44" s="651">
        <v>1.4695</v>
      </c>
      <c r="T44" s="650">
        <v>0.7815</v>
      </c>
      <c r="U44" s="650">
        <v>0.7864</v>
      </c>
      <c r="V44" s="650">
        <v>0.8226</v>
      </c>
      <c r="W44" s="650">
        <v>0.9031</v>
      </c>
      <c r="X44" s="650">
        <v>0.9346</v>
      </c>
      <c r="Y44" s="650">
        <v>0.9782</v>
      </c>
      <c r="Z44" s="650">
        <v>1.0706</v>
      </c>
      <c r="AA44" s="650">
        <v>1.1303</v>
      </c>
      <c r="AB44" s="650">
        <v>1.12</v>
      </c>
      <c r="AC44" s="650">
        <v>1.1303</v>
      </c>
      <c r="AD44" s="650">
        <v>1.1533</v>
      </c>
      <c r="AE44" s="667">
        <f>AD44/AC44*100-100</f>
        <v>2.0348580023002825</v>
      </c>
      <c r="AF44" s="604" t="s">
        <v>153</v>
      </c>
    </row>
    <row r="45" spans="2:32" ht="31.5" customHeight="1">
      <c r="B45" s="1273" t="s">
        <v>182</v>
      </c>
      <c r="C45" s="1273"/>
      <c r="D45" s="1273"/>
      <c r="E45" s="1273"/>
      <c r="F45" s="1273"/>
      <c r="G45" s="1273"/>
      <c r="H45" s="1273"/>
      <c r="I45" s="1273"/>
      <c r="J45" s="1273"/>
      <c r="K45" s="1273"/>
      <c r="L45" s="1273"/>
      <c r="M45" s="1273"/>
      <c r="N45" s="1273"/>
      <c r="O45" s="1273"/>
      <c r="P45" s="1273"/>
      <c r="Q45" s="1273"/>
      <c r="R45" s="1273"/>
      <c r="S45" s="1273"/>
      <c r="T45" s="1273"/>
      <c r="U45" s="1273"/>
      <c r="V45" s="1273"/>
      <c r="W45" s="1273"/>
      <c r="X45" s="1273"/>
      <c r="Y45" s="1273"/>
      <c r="Z45" s="1273"/>
      <c r="AA45" s="1273"/>
      <c r="AB45" s="1273"/>
      <c r="AC45" s="1273"/>
      <c r="AD45" s="1273"/>
      <c r="AE45" s="1273"/>
      <c r="AF45" s="1273"/>
    </row>
    <row r="46" spans="2:32" ht="12.75" customHeight="1">
      <c r="B46" s="726" t="s">
        <v>183</v>
      </c>
      <c r="C46" s="766"/>
      <c r="D46" s="766"/>
      <c r="E46" s="766"/>
      <c r="F46" s="766"/>
      <c r="G46" s="766"/>
      <c r="H46" s="729"/>
      <c r="I46" s="766"/>
      <c r="J46" s="766"/>
      <c r="K46" s="766"/>
      <c r="L46" s="766"/>
      <c r="M46" s="766"/>
      <c r="N46" s="766"/>
      <c r="O46" s="766"/>
      <c r="P46" s="767"/>
      <c r="Q46" s="729"/>
      <c r="R46" s="768"/>
      <c r="S46" s="766"/>
      <c r="T46" s="766"/>
      <c r="U46" s="766"/>
      <c r="V46" s="766"/>
      <c r="W46" s="766"/>
      <c r="X46" s="766"/>
      <c r="Y46" s="766"/>
      <c r="Z46" s="766"/>
      <c r="AA46" s="766"/>
      <c r="AB46" s="766"/>
      <c r="AC46" s="766"/>
      <c r="AD46" s="766"/>
      <c r="AE46" s="729"/>
      <c r="AF46" s="766"/>
    </row>
    <row r="47" spans="2:31" ht="12.75" customHeight="1">
      <c r="B47" s="577" t="s">
        <v>342</v>
      </c>
      <c r="C47" s="577"/>
      <c r="D47" s="577"/>
      <c r="E47" s="577"/>
      <c r="F47" s="577"/>
      <c r="G47" s="577"/>
      <c r="H47" s="577"/>
      <c r="I47" s="577"/>
      <c r="J47" s="577"/>
      <c r="K47" s="577"/>
      <c r="L47" s="577"/>
      <c r="M47" s="577"/>
      <c r="N47" s="577"/>
      <c r="O47" s="577"/>
      <c r="P47" s="577"/>
      <c r="Q47" s="577"/>
      <c r="R47" s="577"/>
      <c r="S47" s="769"/>
      <c r="T47" s="769"/>
      <c r="U47" s="769"/>
      <c r="V47" s="769"/>
      <c r="W47" s="769"/>
      <c r="X47" s="769"/>
      <c r="Y47" s="769"/>
      <c r="Z47" s="769"/>
      <c r="AA47" s="769"/>
      <c r="AB47" s="769"/>
      <c r="AC47" s="769"/>
      <c r="AD47" s="769"/>
      <c r="AE47" s="769"/>
    </row>
    <row r="48" spans="2:32" ht="12.75" customHeight="1">
      <c r="B48" s="770" t="s">
        <v>315</v>
      </c>
      <c r="N48" s="771"/>
      <c r="O48" s="771"/>
      <c r="P48" s="771"/>
      <c r="Q48" s="771"/>
      <c r="R48" s="771"/>
      <c r="S48" s="771"/>
      <c r="T48" s="772"/>
      <c r="U48" s="772"/>
      <c r="V48" s="772"/>
      <c r="W48" s="772"/>
      <c r="X48" s="772"/>
      <c r="Y48" s="772"/>
      <c r="Z48" s="772"/>
      <c r="AA48" s="772"/>
      <c r="AB48" s="772"/>
      <c r="AC48" s="772"/>
      <c r="AD48" s="772"/>
      <c r="AE48" s="772"/>
      <c r="AF48" s="772"/>
    </row>
    <row r="49" spans="2:31" s="573" customFormat="1" ht="12.75" customHeight="1">
      <c r="B49" s="770" t="s">
        <v>316</v>
      </c>
      <c r="C49" s="577"/>
      <c r="D49" s="577"/>
      <c r="E49" s="577"/>
      <c r="F49" s="577"/>
      <c r="G49" s="577"/>
      <c r="H49" s="577"/>
      <c r="I49" s="577"/>
      <c r="J49" s="773"/>
      <c r="K49" s="773"/>
      <c r="L49" s="773"/>
      <c r="M49" s="773"/>
      <c r="N49" s="773"/>
      <c r="O49" s="773"/>
      <c r="P49" s="577"/>
      <c r="Q49" s="577"/>
      <c r="R49" s="577"/>
      <c r="S49" s="774"/>
      <c r="T49" s="774"/>
      <c r="U49" s="774"/>
      <c r="V49" s="774"/>
      <c r="W49" s="774"/>
      <c r="X49" s="774"/>
      <c r="Y49" s="774"/>
      <c r="Z49" s="774"/>
      <c r="AA49" s="775"/>
      <c r="AB49" s="774"/>
      <c r="AC49" s="774"/>
      <c r="AD49" s="774"/>
      <c r="AE49" s="774"/>
    </row>
    <row r="50" spans="2:31" s="573" customFormat="1" ht="12.75" customHeight="1">
      <c r="B50" s="577" t="s">
        <v>317</v>
      </c>
      <c r="V50" s="774"/>
      <c r="W50" s="774"/>
      <c r="X50" s="774"/>
      <c r="Y50" s="774"/>
      <c r="Z50" s="774"/>
      <c r="AA50" s="775"/>
      <c r="AB50" s="774"/>
      <c r="AC50" s="774"/>
      <c r="AD50" s="774"/>
      <c r="AE50" s="774"/>
    </row>
    <row r="51" spans="2:31" s="573" customFormat="1" ht="11.25">
      <c r="B51" s="679" t="s">
        <v>318</v>
      </c>
      <c r="V51" s="774"/>
      <c r="W51" s="774"/>
      <c r="X51" s="774"/>
      <c r="Y51" s="774"/>
      <c r="Z51" s="774"/>
      <c r="AA51" s="775"/>
      <c r="AB51" s="774"/>
      <c r="AC51" s="774"/>
      <c r="AD51" s="774"/>
      <c r="AE51" s="774"/>
    </row>
    <row r="52" spans="2:26" s="573" customFormat="1" ht="11.25">
      <c r="B52" s="679" t="s">
        <v>343</v>
      </c>
      <c r="V52" s="774"/>
      <c r="W52" s="774"/>
      <c r="X52" s="774"/>
      <c r="Y52" s="774"/>
      <c r="Z52" s="774"/>
    </row>
    <row r="53" spans="22:26" s="573" customFormat="1" ht="11.25">
      <c r="V53" s="774"/>
      <c r="W53" s="774"/>
      <c r="X53" s="774"/>
      <c r="Y53" s="774"/>
      <c r="Z53" s="774"/>
    </row>
    <row r="54" spans="22:26" s="573" customFormat="1" ht="12.75" customHeight="1">
      <c r="V54" s="774"/>
      <c r="W54" s="774"/>
      <c r="X54" s="774"/>
      <c r="Y54" s="774"/>
      <c r="Z54" s="774"/>
    </row>
    <row r="55" spans="22:26" s="573" customFormat="1" ht="11.25">
      <c r="V55" s="774"/>
      <c r="W55" s="774"/>
      <c r="X55" s="774"/>
      <c r="Y55" s="774"/>
      <c r="Z55" s="774"/>
    </row>
    <row r="56" spans="22:26" s="573" customFormat="1" ht="11.25">
      <c r="V56" s="774"/>
      <c r="W56" s="774"/>
      <c r="X56" s="774"/>
      <c r="Y56" s="774"/>
      <c r="Z56" s="774"/>
    </row>
    <row r="57" s="573" customFormat="1" ht="11.25"/>
    <row r="58" spans="19:26" s="573" customFormat="1" ht="11.25">
      <c r="S58" s="776"/>
      <c r="T58" s="776"/>
      <c r="U58" s="776"/>
      <c r="V58" s="776"/>
      <c r="W58" s="776"/>
      <c r="X58" s="776"/>
      <c r="Y58" s="776"/>
      <c r="Z58" s="776"/>
    </row>
    <row r="59" spans="19:26" s="573" customFormat="1" ht="11.25">
      <c r="S59" s="776"/>
      <c r="T59" s="776"/>
      <c r="U59" s="776"/>
      <c r="V59" s="776"/>
      <c r="W59" s="776"/>
      <c r="X59" s="776"/>
      <c r="Y59" s="776"/>
      <c r="Z59" s="776"/>
    </row>
    <row r="60" spans="19:26" s="573" customFormat="1" ht="11.25">
      <c r="S60" s="776"/>
      <c r="T60" s="776"/>
      <c r="U60" s="776"/>
      <c r="V60" s="776"/>
      <c r="W60" s="776"/>
      <c r="X60" s="776"/>
      <c r="Y60" s="776"/>
      <c r="Z60" s="776"/>
    </row>
    <row r="61" spans="19:26" s="573" customFormat="1" ht="11.25">
      <c r="S61" s="776"/>
      <c r="T61" s="776"/>
      <c r="U61" s="776"/>
      <c r="V61" s="776"/>
      <c r="W61" s="776"/>
      <c r="X61" s="776"/>
      <c r="Y61" s="776"/>
      <c r="Z61" s="776"/>
    </row>
    <row r="62" spans="19:26" s="573" customFormat="1" ht="11.25">
      <c r="S62" s="776"/>
      <c r="T62" s="776"/>
      <c r="U62" s="776"/>
      <c r="V62" s="776"/>
      <c r="W62" s="776"/>
      <c r="X62" s="776"/>
      <c r="Y62" s="776"/>
      <c r="Z62" s="776"/>
    </row>
    <row r="63" spans="19:26" s="573" customFormat="1" ht="11.25">
      <c r="S63" s="776"/>
      <c r="T63" s="776"/>
      <c r="U63" s="776"/>
      <c r="V63" s="776"/>
      <c r="W63" s="776"/>
      <c r="X63" s="776"/>
      <c r="Y63" s="776"/>
      <c r="Z63" s="776"/>
    </row>
    <row r="64" spans="19:26" s="573" customFormat="1" ht="11.25">
      <c r="S64" s="776"/>
      <c r="T64" s="776"/>
      <c r="U64" s="776"/>
      <c r="V64" s="776"/>
      <c r="W64" s="776"/>
      <c r="X64" s="776"/>
      <c r="Y64" s="776"/>
      <c r="Z64" s="776"/>
    </row>
    <row r="65" spans="19:26" s="573" customFormat="1" ht="11.25">
      <c r="S65" s="776"/>
      <c r="T65" s="776"/>
      <c r="U65" s="776"/>
      <c r="V65" s="776"/>
      <c r="W65" s="776"/>
      <c r="X65" s="776"/>
      <c r="Y65" s="776"/>
      <c r="Z65" s="776"/>
    </row>
    <row r="66" spans="19:26" ht="11.25">
      <c r="S66" s="776"/>
      <c r="T66" s="776"/>
      <c r="U66" s="776"/>
      <c r="V66" s="776"/>
      <c r="W66" s="776"/>
      <c r="X66" s="776"/>
      <c r="Y66" s="776"/>
      <c r="Z66" s="776"/>
    </row>
    <row r="67" spans="19:25" ht="11.25">
      <c r="S67" s="776"/>
      <c r="T67" s="776"/>
      <c r="U67" s="776"/>
      <c r="V67" s="776"/>
      <c r="W67" s="776"/>
      <c r="X67" s="776"/>
      <c r="Y67" s="776"/>
    </row>
    <row r="68" spans="19:25" ht="11.25">
      <c r="S68" s="776"/>
      <c r="T68" s="776"/>
      <c r="U68" s="776"/>
      <c r="V68" s="776"/>
      <c r="W68" s="776"/>
      <c r="X68" s="776"/>
      <c r="Y68" s="776"/>
    </row>
    <row r="69" spans="19:25" ht="11.25">
      <c r="S69" s="776"/>
      <c r="T69" s="776"/>
      <c r="U69" s="776"/>
      <c r="V69" s="776"/>
      <c r="W69" s="776"/>
      <c r="X69" s="776"/>
      <c r="Y69" s="776"/>
    </row>
    <row r="70" spans="19:25" ht="11.25">
      <c r="S70" s="776"/>
      <c r="T70" s="776"/>
      <c r="U70" s="776"/>
      <c r="V70" s="776"/>
      <c r="W70" s="776"/>
      <c r="X70" s="776"/>
      <c r="Y70" s="776"/>
    </row>
    <row r="71" spans="19:25" ht="11.25">
      <c r="S71" s="776"/>
      <c r="T71" s="776"/>
      <c r="U71" s="776"/>
      <c r="V71" s="776"/>
      <c r="W71" s="776"/>
      <c r="X71" s="776"/>
      <c r="Y71" s="776"/>
    </row>
    <row r="72" spans="19:25" ht="11.25">
      <c r="S72" s="776"/>
      <c r="T72" s="776"/>
      <c r="U72" s="776"/>
      <c r="V72" s="776"/>
      <c r="W72" s="776"/>
      <c r="X72" s="776"/>
      <c r="Y72" s="776"/>
    </row>
  </sheetData>
  <sheetProtection/>
  <mergeCells count="2">
    <mergeCell ref="B2:AF2"/>
    <mergeCell ref="B45:AF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70C0"/>
  </sheetPr>
  <dimension ref="A1:AL92"/>
  <sheetViews>
    <sheetView zoomScalePageLayoutView="0" workbookViewId="0" topLeftCell="A1">
      <selection activeCell="AL6" sqref="AL6:AL7"/>
    </sheetView>
  </sheetViews>
  <sheetFormatPr defaultColWidth="9.140625" defaultRowHeight="12.75"/>
  <cols>
    <col min="1" max="1" width="2.7109375" style="573" customWidth="1"/>
    <col min="2" max="2" width="4.00390625" style="573" customWidth="1"/>
    <col min="3" max="20" width="6.7109375" style="573" hidden="1" customWidth="1"/>
    <col min="21" max="30" width="7.28125" style="573" customWidth="1"/>
    <col min="31" max="34" width="9.00390625" style="573" hidden="1" customWidth="1"/>
    <col min="35" max="35" width="6.00390625" style="573" customWidth="1"/>
    <col min="36" max="36" width="5.421875" style="573" customWidth="1"/>
    <col min="37" max="16384" width="9.140625" style="573" customWidth="1"/>
  </cols>
  <sheetData>
    <row r="1" spans="2:36" ht="14.25" customHeight="1">
      <c r="B1" s="570"/>
      <c r="C1" s="571"/>
      <c r="D1" s="571"/>
      <c r="E1" s="571"/>
      <c r="F1" s="571"/>
      <c r="G1" s="571"/>
      <c r="H1" s="571"/>
      <c r="I1" s="571"/>
      <c r="J1" s="571"/>
      <c r="K1" s="571"/>
      <c r="L1" s="571"/>
      <c r="M1" s="571"/>
      <c r="N1" s="571"/>
      <c r="O1" s="571"/>
      <c r="P1" s="571"/>
      <c r="Q1" s="777"/>
      <c r="U1" s="574"/>
      <c r="V1" s="574"/>
      <c r="W1" s="574"/>
      <c r="X1" s="574"/>
      <c r="Y1" s="574"/>
      <c r="Z1" s="574"/>
      <c r="AA1" s="574"/>
      <c r="AB1" s="574"/>
      <c r="AC1" s="574"/>
      <c r="AD1" s="574"/>
      <c r="AE1" s="574"/>
      <c r="AF1" s="574"/>
      <c r="AG1" s="574"/>
      <c r="AH1" s="574"/>
      <c r="AJ1" s="574" t="s">
        <v>184</v>
      </c>
    </row>
    <row r="2" spans="2:36" s="577" customFormat="1" ht="30" customHeight="1">
      <c r="B2" s="1274" t="s">
        <v>22</v>
      </c>
      <c r="C2" s="1274"/>
      <c r="D2" s="1274"/>
      <c r="E2" s="1274"/>
      <c r="F2" s="1274"/>
      <c r="G2" s="1274"/>
      <c r="H2" s="1274"/>
      <c r="I2" s="1274"/>
      <c r="J2" s="1274"/>
      <c r="K2" s="1274"/>
      <c r="L2" s="1274"/>
      <c r="M2" s="1274"/>
      <c r="N2" s="1274"/>
      <c r="O2" s="1274"/>
      <c r="P2" s="1274"/>
      <c r="Q2" s="1274"/>
      <c r="R2" s="1274"/>
      <c r="S2" s="1274"/>
      <c r="T2" s="1274"/>
      <c r="U2" s="1274"/>
      <c r="V2" s="1274"/>
      <c r="W2" s="1274"/>
      <c r="X2" s="1274"/>
      <c r="Y2" s="1274"/>
      <c r="Z2" s="1274"/>
      <c r="AA2" s="1274"/>
      <c r="AB2" s="1274"/>
      <c r="AC2" s="1274"/>
      <c r="AD2" s="1274"/>
      <c r="AE2" s="1274"/>
      <c r="AF2" s="1274"/>
      <c r="AG2" s="1274"/>
      <c r="AH2" s="1274"/>
      <c r="AI2" s="1274"/>
      <c r="AJ2" s="1274"/>
    </row>
    <row r="3" spans="3:36" ht="8.25" customHeight="1">
      <c r="C3" s="578"/>
      <c r="D3" s="578"/>
      <c r="E3" s="578"/>
      <c r="F3" s="578"/>
      <c r="G3" s="578"/>
      <c r="H3" s="578"/>
      <c r="I3" s="578"/>
      <c r="J3" s="578"/>
      <c r="K3" s="578"/>
      <c r="L3" s="578"/>
      <c r="M3" s="578"/>
      <c r="N3" s="578"/>
      <c r="O3" s="578"/>
      <c r="P3" s="578"/>
      <c r="Q3" s="578"/>
      <c r="R3" s="578"/>
      <c r="Y3" s="578"/>
      <c r="Z3" s="578"/>
      <c r="AA3" s="578"/>
      <c r="AB3" s="578"/>
      <c r="AD3" s="578" t="s">
        <v>253</v>
      </c>
      <c r="AE3" s="578"/>
      <c r="AF3" s="578"/>
      <c r="AG3" s="578"/>
      <c r="AH3" s="578"/>
      <c r="AI3" s="580"/>
      <c r="AJ3" s="578"/>
    </row>
    <row r="4" spans="2:38" ht="24.75" customHeight="1">
      <c r="B4" s="581"/>
      <c r="C4" s="582">
        <v>1970</v>
      </c>
      <c r="D4" s="582">
        <v>1980</v>
      </c>
      <c r="E4" s="583">
        <v>1990</v>
      </c>
      <c r="F4" s="583">
        <v>1991</v>
      </c>
      <c r="G4" s="583">
        <v>1992</v>
      </c>
      <c r="H4" s="583">
        <v>1993</v>
      </c>
      <c r="I4" s="583">
        <v>1994</v>
      </c>
      <c r="J4" s="583">
        <v>1995</v>
      </c>
      <c r="K4" s="583">
        <v>1996</v>
      </c>
      <c r="L4" s="583">
        <v>1997</v>
      </c>
      <c r="M4" s="583">
        <v>1998</v>
      </c>
      <c r="N4" s="583">
        <v>1999</v>
      </c>
      <c r="O4" s="583">
        <v>2000</v>
      </c>
      <c r="P4" s="583">
        <v>2001</v>
      </c>
      <c r="Q4" s="583">
        <v>2002</v>
      </c>
      <c r="R4" s="583">
        <v>2003</v>
      </c>
      <c r="S4" s="583">
        <v>2004</v>
      </c>
      <c r="T4" s="583">
        <v>2005</v>
      </c>
      <c r="U4" s="583">
        <v>2006</v>
      </c>
      <c r="V4" s="583">
        <v>2007</v>
      </c>
      <c r="W4" s="583">
        <v>2008</v>
      </c>
      <c r="X4" s="583">
        <v>2009</v>
      </c>
      <c r="Y4" s="583">
        <v>2010</v>
      </c>
      <c r="Z4" s="583">
        <v>2011</v>
      </c>
      <c r="AA4" s="583">
        <v>2012</v>
      </c>
      <c r="AB4" s="583">
        <v>2013</v>
      </c>
      <c r="AC4" s="583">
        <v>2014</v>
      </c>
      <c r="AD4" s="583">
        <v>2015</v>
      </c>
      <c r="AE4" s="778"/>
      <c r="AF4" s="778"/>
      <c r="AG4" s="778"/>
      <c r="AH4" s="778" t="s">
        <v>254</v>
      </c>
      <c r="AI4" s="584" t="s">
        <v>331</v>
      </c>
      <c r="AJ4" s="681"/>
      <c r="AK4" s="313" t="s">
        <v>346</v>
      </c>
      <c r="AL4" s="297"/>
    </row>
    <row r="5" spans="2:38" ht="9.75" customHeight="1">
      <c r="B5" s="586"/>
      <c r="C5" s="587"/>
      <c r="D5" s="587"/>
      <c r="E5" s="588"/>
      <c r="F5" s="588"/>
      <c r="G5" s="588"/>
      <c r="H5" s="588"/>
      <c r="I5" s="588"/>
      <c r="J5" s="588"/>
      <c r="K5" s="588"/>
      <c r="L5" s="588"/>
      <c r="M5" s="588"/>
      <c r="N5" s="588"/>
      <c r="O5" s="588"/>
      <c r="P5" s="588"/>
      <c r="Q5" s="588"/>
      <c r="R5" s="588"/>
      <c r="S5" s="588"/>
      <c r="T5" s="588"/>
      <c r="U5" s="588"/>
      <c r="V5" s="588"/>
      <c r="W5" s="588"/>
      <c r="X5" s="588"/>
      <c r="Y5" s="588"/>
      <c r="Z5" s="588"/>
      <c r="AA5" s="589"/>
      <c r="AB5" s="589"/>
      <c r="AC5" s="589"/>
      <c r="AD5" s="589"/>
      <c r="AE5" s="779">
        <v>2012</v>
      </c>
      <c r="AF5" s="779">
        <v>2013</v>
      </c>
      <c r="AG5" s="780">
        <v>2014</v>
      </c>
      <c r="AH5" s="780">
        <v>2015</v>
      </c>
      <c r="AI5" s="683" t="s">
        <v>147</v>
      </c>
      <c r="AJ5" s="681"/>
      <c r="AK5" s="241" t="s">
        <v>0</v>
      </c>
      <c r="AL5" s="297" t="s">
        <v>327</v>
      </c>
    </row>
    <row r="6" spans="2:38" ht="12.75" customHeight="1">
      <c r="B6" s="591" t="s">
        <v>250</v>
      </c>
      <c r="C6" s="781">
        <v>330.167</v>
      </c>
      <c r="D6" s="781">
        <v>369.59900000000005</v>
      </c>
      <c r="E6" s="782">
        <v>404.13599999999997</v>
      </c>
      <c r="F6" s="783">
        <v>386.78900000000004</v>
      </c>
      <c r="G6" s="784">
        <v>375.5250000000001</v>
      </c>
      <c r="H6" s="784">
        <v>350.168</v>
      </c>
      <c r="I6" s="784">
        <v>343.344</v>
      </c>
      <c r="J6" s="784">
        <v>350.32250628200006</v>
      </c>
      <c r="K6" s="784">
        <v>348.7789985870001</v>
      </c>
      <c r="L6" s="784">
        <v>349.80795994899984</v>
      </c>
      <c r="M6" s="784">
        <v>350.73916329400004</v>
      </c>
      <c r="N6" s="784">
        <v>358.488527788</v>
      </c>
      <c r="O6" s="784">
        <v>371.5097931639082</v>
      </c>
      <c r="P6" s="784">
        <v>373.59488607944144</v>
      </c>
      <c r="Q6" s="784">
        <v>366.1284853288046</v>
      </c>
      <c r="R6" s="784">
        <v>362.43931435149534</v>
      </c>
      <c r="S6" s="784">
        <v>368.817539779</v>
      </c>
      <c r="T6" s="784">
        <v>377.3995049220001</v>
      </c>
      <c r="U6" s="784">
        <v>389.354898616</v>
      </c>
      <c r="V6" s="784">
        <v>396.393456999</v>
      </c>
      <c r="W6" s="784">
        <v>411.777940444</v>
      </c>
      <c r="X6" s="784">
        <v>404.736418338917</v>
      </c>
      <c r="Y6" s="784">
        <v>406.77556774583996</v>
      </c>
      <c r="Z6" s="784">
        <v>415.13198409338</v>
      </c>
      <c r="AA6" s="784">
        <v>420.87095878564827</v>
      </c>
      <c r="AB6" s="784">
        <v>426.5842343535969</v>
      </c>
      <c r="AC6" s="784">
        <v>433.75344617924003</v>
      </c>
      <c r="AD6" s="784">
        <v>441.8980457377532</v>
      </c>
      <c r="AE6" s="785">
        <v>63.99008623127671</v>
      </c>
      <c r="AF6" s="785">
        <v>67.01169230449909</v>
      </c>
      <c r="AG6" s="785">
        <v>68.0708332962707</v>
      </c>
      <c r="AH6" s="786">
        <v>66.3340459</v>
      </c>
      <c r="AI6" s="787">
        <v>1.877702558966547</v>
      </c>
      <c r="AJ6" s="591" t="s">
        <v>250</v>
      </c>
      <c r="AK6" s="298">
        <v>508.19111599999997</v>
      </c>
      <c r="AL6" s="315">
        <f>AD6/AK6*1000</f>
        <v>869.5509067847483</v>
      </c>
    </row>
    <row r="7" spans="1:38" ht="12.75" customHeight="1">
      <c r="A7" s="597"/>
      <c r="B7" s="598" t="s">
        <v>89</v>
      </c>
      <c r="C7" s="788">
        <v>220.18699999999993</v>
      </c>
      <c r="D7" s="788">
        <v>246.90300000000002</v>
      </c>
      <c r="E7" s="789">
        <v>268.91700000000003</v>
      </c>
      <c r="F7" s="790">
        <v>277.34700000000004</v>
      </c>
      <c r="G7" s="790">
        <v>278.471</v>
      </c>
      <c r="H7" s="790">
        <v>265.075</v>
      </c>
      <c r="I7" s="790">
        <v>265.148</v>
      </c>
      <c r="J7" s="790">
        <v>274.79150628199994</v>
      </c>
      <c r="K7" s="790">
        <v>280.858998587</v>
      </c>
      <c r="L7" s="790">
        <v>284.693959949</v>
      </c>
      <c r="M7" s="790">
        <v>289.215163294</v>
      </c>
      <c r="N7" s="790">
        <v>297.70952778799995</v>
      </c>
      <c r="O7" s="790">
        <v>308.90579316390824</v>
      </c>
      <c r="P7" s="790">
        <v>313.6842370794416</v>
      </c>
      <c r="Q7" s="790">
        <v>311.1065353288045</v>
      </c>
      <c r="R7" s="790">
        <v>309.3515003514955</v>
      </c>
      <c r="S7" s="790">
        <v>317.065539779</v>
      </c>
      <c r="T7" s="790">
        <v>327.083504922</v>
      </c>
      <c r="U7" s="790">
        <v>338.261898616</v>
      </c>
      <c r="V7" s="790">
        <v>345.366456999</v>
      </c>
      <c r="W7" s="790">
        <v>361.372940444</v>
      </c>
      <c r="X7" s="790">
        <v>357.73141833891697</v>
      </c>
      <c r="Y7" s="790">
        <v>361.54256774583996</v>
      </c>
      <c r="Z7" s="790">
        <v>370.12298409337996</v>
      </c>
      <c r="AA7" s="790">
        <v>376.3469587856483</v>
      </c>
      <c r="AB7" s="790">
        <v>383.04723435359693</v>
      </c>
      <c r="AC7" s="790">
        <v>390.50344617924003</v>
      </c>
      <c r="AD7" s="790">
        <v>396.10904573775315</v>
      </c>
      <c r="AE7" s="791"/>
      <c r="AF7" s="791"/>
      <c r="AG7" s="791"/>
      <c r="AH7" s="792"/>
      <c r="AI7" s="793">
        <v>1.4354801765155543</v>
      </c>
      <c r="AJ7" s="598" t="s">
        <v>89</v>
      </c>
      <c r="AK7" s="298">
        <v>403.528101</v>
      </c>
      <c r="AL7" s="315">
        <f aca="true" t="shared" si="0" ref="AL7:AL36">AD7/AK7*1000</f>
        <v>981.6145263641829</v>
      </c>
    </row>
    <row r="8" spans="1:38" ht="12.75" customHeight="1" thickBot="1">
      <c r="A8" s="597"/>
      <c r="B8" s="604" t="s">
        <v>251</v>
      </c>
      <c r="C8" s="794">
        <v>109.97999999999999</v>
      </c>
      <c r="D8" s="794">
        <v>122.696</v>
      </c>
      <c r="E8" s="795">
        <v>135.21899999999994</v>
      </c>
      <c r="F8" s="796">
        <v>109.44200000000001</v>
      </c>
      <c r="G8" s="797">
        <v>97.05400000000009</v>
      </c>
      <c r="H8" s="797">
        <v>85.09300000000002</v>
      </c>
      <c r="I8" s="797">
        <v>78.19599999999997</v>
      </c>
      <c r="J8" s="797">
        <v>75.53100000000012</v>
      </c>
      <c r="K8" s="797">
        <v>67.92000000000013</v>
      </c>
      <c r="L8" s="797">
        <v>65.11399999999986</v>
      </c>
      <c r="M8" s="797">
        <v>61.52400000000006</v>
      </c>
      <c r="N8" s="797">
        <v>60.77900000000005</v>
      </c>
      <c r="O8" s="797">
        <v>62.603999999999985</v>
      </c>
      <c r="P8" s="797">
        <v>59.910648999999864</v>
      </c>
      <c r="Q8" s="797">
        <v>55.02195000000006</v>
      </c>
      <c r="R8" s="797">
        <v>53.08781399999987</v>
      </c>
      <c r="S8" s="797">
        <v>51.75200000000001</v>
      </c>
      <c r="T8" s="797">
        <v>50.316000000000145</v>
      </c>
      <c r="U8" s="797">
        <v>51.09300000000002</v>
      </c>
      <c r="V8" s="797">
        <v>51.027000000000044</v>
      </c>
      <c r="W8" s="797">
        <v>50.40500000000003</v>
      </c>
      <c r="X8" s="797">
        <v>47.00500000000005</v>
      </c>
      <c r="Y8" s="797">
        <v>45.233000000000004</v>
      </c>
      <c r="Z8" s="797">
        <v>45.00900000000007</v>
      </c>
      <c r="AA8" s="797">
        <v>44.523999999999944</v>
      </c>
      <c r="AB8" s="797">
        <v>43.53699999999998</v>
      </c>
      <c r="AC8" s="797">
        <v>43.25</v>
      </c>
      <c r="AD8" s="797">
        <v>45.789000000000044</v>
      </c>
      <c r="AE8" s="798"/>
      <c r="AF8" s="798"/>
      <c r="AG8" s="798"/>
      <c r="AH8" s="799"/>
      <c r="AI8" s="800">
        <v>5.870520231213973</v>
      </c>
      <c r="AJ8" s="604" t="s">
        <v>251</v>
      </c>
      <c r="AK8" s="298">
        <v>104.66301499999997</v>
      </c>
      <c r="AL8" s="315">
        <f t="shared" si="0"/>
        <v>437.48978567070765</v>
      </c>
    </row>
    <row r="9" spans="1:38" ht="12.75" customHeight="1">
      <c r="A9" s="597"/>
      <c r="B9" s="598" t="s">
        <v>81</v>
      </c>
      <c r="C9" s="834">
        <v>6.438</v>
      </c>
      <c r="D9" s="834">
        <v>7.586</v>
      </c>
      <c r="E9" s="615">
        <v>8.912</v>
      </c>
      <c r="F9" s="615">
        <v>9.59</v>
      </c>
      <c r="G9" s="615">
        <v>9.957</v>
      </c>
      <c r="H9" s="615">
        <v>9.764</v>
      </c>
      <c r="I9" s="615">
        <v>9.949</v>
      </c>
      <c r="J9" s="615">
        <v>10.124</v>
      </c>
      <c r="K9" s="615">
        <v>10.222</v>
      </c>
      <c r="L9" s="615">
        <v>8.709</v>
      </c>
      <c r="M9" s="615">
        <v>8.537</v>
      </c>
      <c r="N9" s="615">
        <v>8.554</v>
      </c>
      <c r="O9" s="615">
        <v>8.73978502490829</v>
      </c>
      <c r="P9" s="615">
        <v>8.76093130944158</v>
      </c>
      <c r="Q9" s="615">
        <v>8.80985261380452</v>
      </c>
      <c r="R9" s="615">
        <v>8.6731335633535</v>
      </c>
      <c r="S9" s="615">
        <v>8.274</v>
      </c>
      <c r="T9" s="615">
        <v>8.685</v>
      </c>
      <c r="U9" s="615">
        <v>8.907</v>
      </c>
      <c r="V9" s="615">
        <v>9.167</v>
      </c>
      <c r="W9" s="615">
        <v>10.365</v>
      </c>
      <c r="X9" s="615">
        <v>10.184</v>
      </c>
      <c r="Y9" s="615">
        <v>10.263</v>
      </c>
      <c r="Z9" s="615">
        <v>10.778</v>
      </c>
      <c r="AA9" s="615">
        <v>11.211</v>
      </c>
      <c r="AB9" s="615">
        <v>11.804</v>
      </c>
      <c r="AC9" s="615">
        <v>11.981</v>
      </c>
      <c r="AD9" s="615">
        <v>12.104</v>
      </c>
      <c r="AE9" s="835"/>
      <c r="AF9" s="805"/>
      <c r="AG9" s="802">
        <v>71.1</v>
      </c>
      <c r="AH9" s="803">
        <v>69.1072891072891</v>
      </c>
      <c r="AI9" s="640">
        <f>AD9/AC9*100-100</f>
        <v>1.02662549035972</v>
      </c>
      <c r="AJ9" s="598" t="s">
        <v>81</v>
      </c>
      <c r="AK9" s="298">
        <v>8.584926</v>
      </c>
      <c r="AL9" s="315">
        <f t="shared" si="0"/>
        <v>1409.913143106883</v>
      </c>
    </row>
    <row r="10" spans="1:38" ht="12.75" customHeight="1">
      <c r="A10" s="597"/>
      <c r="B10" s="610" t="s">
        <v>60</v>
      </c>
      <c r="C10" s="611">
        <v>8.26</v>
      </c>
      <c r="D10" s="611">
        <v>6.963</v>
      </c>
      <c r="E10" s="638">
        <v>6.539</v>
      </c>
      <c r="F10" s="638">
        <v>6.77</v>
      </c>
      <c r="G10" s="638">
        <v>6.798</v>
      </c>
      <c r="H10" s="638">
        <v>6.694</v>
      </c>
      <c r="I10" s="638">
        <v>6.638</v>
      </c>
      <c r="J10" s="638">
        <v>6.757</v>
      </c>
      <c r="K10" s="638">
        <v>6.788</v>
      </c>
      <c r="L10" s="638">
        <v>6.98</v>
      </c>
      <c r="M10" s="638">
        <v>7.097</v>
      </c>
      <c r="N10" s="638">
        <v>7.354</v>
      </c>
      <c r="O10" s="638">
        <v>7.734</v>
      </c>
      <c r="P10" s="638">
        <v>8.038</v>
      </c>
      <c r="Q10" s="638">
        <v>8.26</v>
      </c>
      <c r="R10" s="638">
        <v>8.265</v>
      </c>
      <c r="S10" s="638">
        <v>9.225</v>
      </c>
      <c r="T10" s="638">
        <v>8.51</v>
      </c>
      <c r="U10" s="638">
        <v>8.964</v>
      </c>
      <c r="V10" s="638">
        <v>9.403</v>
      </c>
      <c r="W10" s="638">
        <v>10.139</v>
      </c>
      <c r="X10" s="638">
        <v>10.237</v>
      </c>
      <c r="Y10" s="638">
        <v>10.564</v>
      </c>
      <c r="Z10" s="638">
        <v>10.669</v>
      </c>
      <c r="AA10" s="638">
        <v>10.857</v>
      </c>
      <c r="AB10" s="638">
        <v>10.886</v>
      </c>
      <c r="AC10" s="638">
        <v>10.974</v>
      </c>
      <c r="AD10" s="638">
        <v>10.333</v>
      </c>
      <c r="AE10" s="802"/>
      <c r="AF10" s="802">
        <v>89.33492559250413</v>
      </c>
      <c r="AG10" s="802">
        <v>90.4</v>
      </c>
      <c r="AH10" s="803"/>
      <c r="AI10" s="613">
        <f>AD10/AC10*100-100</f>
        <v>-5.841078913796252</v>
      </c>
      <c r="AJ10" s="610" t="s">
        <v>60</v>
      </c>
      <c r="AK10" s="298">
        <v>11.258434</v>
      </c>
      <c r="AL10" s="315">
        <f t="shared" si="0"/>
        <v>917.8008238090663</v>
      </c>
    </row>
    <row r="11" spans="1:38" s="627" customFormat="1" ht="12.75" customHeight="1">
      <c r="A11" s="619"/>
      <c r="B11" s="598" t="s">
        <v>101</v>
      </c>
      <c r="C11" s="614">
        <v>6.224</v>
      </c>
      <c r="D11" s="614">
        <v>7.055</v>
      </c>
      <c r="E11" s="615">
        <v>7.793</v>
      </c>
      <c r="F11" s="615">
        <v>4.866</v>
      </c>
      <c r="G11" s="615">
        <v>5.393</v>
      </c>
      <c r="H11" s="615">
        <v>5.837</v>
      </c>
      <c r="I11" s="615">
        <v>5.059</v>
      </c>
      <c r="J11" s="615">
        <v>4.693</v>
      </c>
      <c r="K11" s="615">
        <v>5.065</v>
      </c>
      <c r="L11" s="615">
        <v>5.886</v>
      </c>
      <c r="M11" s="615">
        <v>4.74</v>
      </c>
      <c r="N11" s="615">
        <v>3.819</v>
      </c>
      <c r="O11" s="615">
        <v>3.472</v>
      </c>
      <c r="P11" s="615">
        <v>2.99</v>
      </c>
      <c r="Q11" s="615">
        <v>2.598</v>
      </c>
      <c r="R11" s="615">
        <v>2.517</v>
      </c>
      <c r="S11" s="615">
        <v>2.404</v>
      </c>
      <c r="T11" s="615">
        <v>2.389</v>
      </c>
      <c r="U11" s="615">
        <v>2.411</v>
      </c>
      <c r="V11" s="615">
        <v>2.404</v>
      </c>
      <c r="W11" s="615">
        <v>2.317</v>
      </c>
      <c r="X11" s="615">
        <v>2.138</v>
      </c>
      <c r="Y11" s="615">
        <v>2.09</v>
      </c>
      <c r="Z11" s="615">
        <v>2.059</v>
      </c>
      <c r="AA11" s="615">
        <v>1.87</v>
      </c>
      <c r="AB11" s="615">
        <v>1.821</v>
      </c>
      <c r="AC11" s="615">
        <v>1.698</v>
      </c>
      <c r="AD11" s="615">
        <v>1.549</v>
      </c>
      <c r="AE11" s="802">
        <v>85.2734163508392</v>
      </c>
      <c r="AF11" s="802">
        <v>88.08347062053817</v>
      </c>
      <c r="AG11" s="802">
        <v>91.2</v>
      </c>
      <c r="AH11" s="803">
        <v>94.1502383713439</v>
      </c>
      <c r="AI11" s="640">
        <f>AD11/AC11*100-100</f>
        <v>-8.775029446407544</v>
      </c>
      <c r="AJ11" s="598" t="s">
        <v>101</v>
      </c>
      <c r="AK11" s="298">
        <v>7.202198</v>
      </c>
      <c r="AL11" s="315">
        <f t="shared" si="0"/>
        <v>215.07323181062225</v>
      </c>
    </row>
    <row r="12" spans="1:38" ht="12.75" customHeight="1">
      <c r="A12" s="597"/>
      <c r="B12" s="610" t="s">
        <v>71</v>
      </c>
      <c r="C12" s="752" t="s">
        <v>146</v>
      </c>
      <c r="D12" s="752" t="s">
        <v>146</v>
      </c>
      <c r="E12" s="753" t="s">
        <v>146</v>
      </c>
      <c r="F12" s="753" t="s">
        <v>146</v>
      </c>
      <c r="G12" s="753" t="s">
        <v>146</v>
      </c>
      <c r="H12" s="753" t="s">
        <v>146</v>
      </c>
      <c r="I12" s="753" t="s">
        <v>146</v>
      </c>
      <c r="J12" s="753" t="s">
        <v>146</v>
      </c>
      <c r="K12" s="753" t="s">
        <v>146</v>
      </c>
      <c r="L12" s="753" t="s">
        <v>146</v>
      </c>
      <c r="M12" s="753" t="s">
        <v>146</v>
      </c>
      <c r="N12" s="753" t="s">
        <v>146</v>
      </c>
      <c r="O12" s="753" t="s">
        <v>146</v>
      </c>
      <c r="P12" s="753" t="s">
        <v>146</v>
      </c>
      <c r="Q12" s="753" t="s">
        <v>146</v>
      </c>
      <c r="R12" s="753" t="s">
        <v>146</v>
      </c>
      <c r="S12" s="753" t="s">
        <v>146</v>
      </c>
      <c r="T12" s="753" t="s">
        <v>146</v>
      </c>
      <c r="U12" s="753" t="s">
        <v>146</v>
      </c>
      <c r="V12" s="753" t="s">
        <v>146</v>
      </c>
      <c r="W12" s="753" t="s">
        <v>146</v>
      </c>
      <c r="X12" s="753" t="s">
        <v>146</v>
      </c>
      <c r="Y12" s="753" t="s">
        <v>146</v>
      </c>
      <c r="Z12" s="753" t="s">
        <v>146</v>
      </c>
      <c r="AA12" s="753" t="s">
        <v>146</v>
      </c>
      <c r="AB12" s="753" t="s">
        <v>146</v>
      </c>
      <c r="AC12" s="753" t="s">
        <v>146</v>
      </c>
      <c r="AD12" s="753" t="s">
        <v>146</v>
      </c>
      <c r="AE12" s="802" t="s">
        <v>146</v>
      </c>
      <c r="AF12" s="802" t="s">
        <v>146</v>
      </c>
      <c r="AG12" s="802" t="s">
        <v>146</v>
      </c>
      <c r="AH12" s="803" t="s">
        <v>146</v>
      </c>
      <c r="AI12" s="754" t="s">
        <v>146</v>
      </c>
      <c r="AJ12" s="610" t="s">
        <v>71</v>
      </c>
      <c r="AK12" s="298">
        <v>0.847008</v>
      </c>
      <c r="AL12" s="315" t="e">
        <f t="shared" si="0"/>
        <v>#VALUE!</v>
      </c>
    </row>
    <row r="13" spans="1:38" s="627" customFormat="1" ht="12.75" customHeight="1">
      <c r="A13" s="619"/>
      <c r="B13" s="610" t="s">
        <v>61</v>
      </c>
      <c r="C13" s="701"/>
      <c r="D13" s="701"/>
      <c r="E13" s="624">
        <v>13.313</v>
      </c>
      <c r="F13" s="749">
        <v>12.5</v>
      </c>
      <c r="G13" s="698">
        <v>11.147</v>
      </c>
      <c r="H13" s="624">
        <v>8.548</v>
      </c>
      <c r="I13" s="624">
        <v>8.481</v>
      </c>
      <c r="J13" s="624">
        <v>8.023</v>
      </c>
      <c r="K13" s="624">
        <v>8.111</v>
      </c>
      <c r="L13" s="624">
        <v>7.71</v>
      </c>
      <c r="M13" s="624">
        <v>7.001</v>
      </c>
      <c r="N13" s="624">
        <v>6.929</v>
      </c>
      <c r="O13" s="624">
        <v>7.3</v>
      </c>
      <c r="P13" s="624">
        <v>7.299</v>
      </c>
      <c r="Q13" s="624">
        <v>6.597</v>
      </c>
      <c r="R13" s="624">
        <v>6.518</v>
      </c>
      <c r="S13" s="624">
        <v>6.58</v>
      </c>
      <c r="T13" s="624">
        <v>6.667</v>
      </c>
      <c r="U13" s="624">
        <v>6.922</v>
      </c>
      <c r="V13" s="624">
        <v>6.898</v>
      </c>
      <c r="W13" s="624">
        <v>6.773</v>
      </c>
      <c r="X13" s="624">
        <v>6.472</v>
      </c>
      <c r="Y13" s="624">
        <v>6.559</v>
      </c>
      <c r="Z13" s="624">
        <v>6.669</v>
      </c>
      <c r="AA13" s="624">
        <v>7.196</v>
      </c>
      <c r="AB13" s="624">
        <v>7.512</v>
      </c>
      <c r="AC13" s="624">
        <v>7.644</v>
      </c>
      <c r="AD13" s="624">
        <v>8.125</v>
      </c>
      <c r="AE13" s="802">
        <v>92.3076923076923</v>
      </c>
      <c r="AF13" s="802"/>
      <c r="AG13" s="802">
        <v>93.2</v>
      </c>
      <c r="AH13" s="803">
        <v>99.9987949193801</v>
      </c>
      <c r="AI13" s="632">
        <f aca="true" t="shared" si="1" ref="AI13:AI27">AD13/AC13*100-100</f>
        <v>6.292517006802711</v>
      </c>
      <c r="AJ13" s="610" t="s">
        <v>61</v>
      </c>
      <c r="AK13" s="298">
        <v>10.538275</v>
      </c>
      <c r="AL13" s="315">
        <f t="shared" si="0"/>
        <v>770.999048705789</v>
      </c>
    </row>
    <row r="14" spans="1:38" ht="12.75" customHeight="1">
      <c r="A14" s="597"/>
      <c r="B14" s="610" t="s">
        <v>63</v>
      </c>
      <c r="C14" s="701">
        <v>62.4</v>
      </c>
      <c r="D14" s="701">
        <v>62.499</v>
      </c>
      <c r="E14" s="624">
        <v>61.024</v>
      </c>
      <c r="F14" s="624">
        <v>67.31</v>
      </c>
      <c r="G14" s="624">
        <v>67.55</v>
      </c>
      <c r="H14" s="624">
        <v>63.361</v>
      </c>
      <c r="I14" s="624">
        <v>65.2</v>
      </c>
      <c r="J14" s="624">
        <v>70.977</v>
      </c>
      <c r="K14" s="624">
        <v>71.73</v>
      </c>
      <c r="L14" s="624">
        <v>72.40299999999999</v>
      </c>
      <c r="M14" s="624">
        <v>72.666</v>
      </c>
      <c r="N14" s="624">
        <v>73.79599999999999</v>
      </c>
      <c r="O14" s="624">
        <v>75.404</v>
      </c>
      <c r="P14" s="624">
        <v>75.75399999999999</v>
      </c>
      <c r="Q14" s="624">
        <v>70.819</v>
      </c>
      <c r="R14" s="624">
        <v>71.293</v>
      </c>
      <c r="S14" s="624">
        <v>72.9</v>
      </c>
      <c r="T14" s="624">
        <v>76.8</v>
      </c>
      <c r="U14" s="624">
        <v>79</v>
      </c>
      <c r="V14" s="624">
        <v>79.107</v>
      </c>
      <c r="W14" s="624">
        <v>82.538825</v>
      </c>
      <c r="X14" s="624">
        <v>82.254</v>
      </c>
      <c r="Y14" s="624">
        <v>83.892</v>
      </c>
      <c r="Z14" s="624">
        <v>85.413</v>
      </c>
      <c r="AA14" s="624">
        <v>88.795</v>
      </c>
      <c r="AB14" s="624">
        <v>89.615</v>
      </c>
      <c r="AC14" s="624">
        <v>90.976</v>
      </c>
      <c r="AD14" s="624">
        <v>91.25783236505316</v>
      </c>
      <c r="AE14" s="802"/>
      <c r="AF14" s="802">
        <v>60.31104234196587</v>
      </c>
      <c r="AG14" s="802">
        <v>60.1</v>
      </c>
      <c r="AH14" s="803">
        <v>59.391965255157444</v>
      </c>
      <c r="AI14" s="632">
        <f t="shared" si="1"/>
        <v>0.3097875978864266</v>
      </c>
      <c r="AJ14" s="610" t="s">
        <v>63</v>
      </c>
      <c r="AK14" s="314">
        <v>81.174</v>
      </c>
      <c r="AL14" s="315">
        <f t="shared" si="0"/>
        <v>1124.2249040955621</v>
      </c>
    </row>
    <row r="15" spans="1:38" ht="12.75" customHeight="1">
      <c r="A15" s="597"/>
      <c r="B15" s="598" t="s">
        <v>14</v>
      </c>
      <c r="C15" s="614">
        <v>3.898</v>
      </c>
      <c r="D15" s="614">
        <v>3.803</v>
      </c>
      <c r="E15" s="615">
        <v>5.051</v>
      </c>
      <c r="F15" s="615">
        <v>4.913</v>
      </c>
      <c r="G15" s="615">
        <v>4.974</v>
      </c>
      <c r="H15" s="615">
        <v>4.939</v>
      </c>
      <c r="I15" s="615">
        <v>5.052</v>
      </c>
      <c r="J15" s="615">
        <v>4.888</v>
      </c>
      <c r="K15" s="615">
        <v>4.821</v>
      </c>
      <c r="L15" s="615">
        <v>5.173</v>
      </c>
      <c r="M15" s="615">
        <v>5.365</v>
      </c>
      <c r="N15" s="615">
        <v>5.31</v>
      </c>
      <c r="O15" s="615">
        <v>5.537</v>
      </c>
      <c r="P15" s="615">
        <v>5.721</v>
      </c>
      <c r="Q15" s="615">
        <v>5.745</v>
      </c>
      <c r="R15" s="615">
        <v>5.826</v>
      </c>
      <c r="S15" s="615">
        <v>5.946</v>
      </c>
      <c r="T15" s="615">
        <v>5.974</v>
      </c>
      <c r="U15" s="615">
        <v>6.11</v>
      </c>
      <c r="V15" s="615">
        <v>6.176</v>
      </c>
      <c r="W15" s="615">
        <v>6.28</v>
      </c>
      <c r="X15" s="615">
        <v>6.152</v>
      </c>
      <c r="Y15" s="615">
        <v>6.338</v>
      </c>
      <c r="Z15" s="615">
        <v>6.365</v>
      </c>
      <c r="AA15" s="615">
        <v>6.517</v>
      </c>
      <c r="AB15" s="615">
        <v>6.551</v>
      </c>
      <c r="AC15" s="615">
        <v>6.513</v>
      </c>
      <c r="AD15" s="615">
        <v>6.506</v>
      </c>
      <c r="AE15" s="802">
        <v>90.59208653572445</v>
      </c>
      <c r="AF15" s="802">
        <v>95.97230073487846</v>
      </c>
      <c r="AG15" s="802">
        <v>100</v>
      </c>
      <c r="AH15" s="803">
        <v>100</v>
      </c>
      <c r="AI15" s="640">
        <f t="shared" si="1"/>
        <v>-0.10747735298633643</v>
      </c>
      <c r="AJ15" s="598" t="s">
        <v>14</v>
      </c>
      <c r="AK15" s="298">
        <v>5.659715</v>
      </c>
      <c r="AL15" s="315">
        <f t="shared" si="0"/>
        <v>1149.5278472502591</v>
      </c>
    </row>
    <row r="16" spans="1:38" ht="12.75" customHeight="1">
      <c r="A16" s="597"/>
      <c r="B16" s="598" t="s">
        <v>64</v>
      </c>
      <c r="C16" s="614">
        <v>1.231</v>
      </c>
      <c r="D16" s="614">
        <v>1.553</v>
      </c>
      <c r="E16" s="615">
        <v>1.51</v>
      </c>
      <c r="F16" s="615">
        <v>1.273</v>
      </c>
      <c r="G16" s="615">
        <v>0.95</v>
      </c>
      <c r="H16" s="615">
        <v>0.722</v>
      </c>
      <c r="I16" s="615">
        <v>0.537</v>
      </c>
      <c r="J16" s="615">
        <v>0.421</v>
      </c>
      <c r="K16" s="615">
        <v>0.309</v>
      </c>
      <c r="L16" s="615">
        <v>0.262</v>
      </c>
      <c r="M16" s="615">
        <v>0.236</v>
      </c>
      <c r="N16" s="615">
        <v>0.238</v>
      </c>
      <c r="O16" s="615">
        <v>0.261</v>
      </c>
      <c r="P16" s="615">
        <v>0.182649</v>
      </c>
      <c r="Q16" s="615">
        <v>0.17695</v>
      </c>
      <c r="R16" s="615">
        <v>0.181814</v>
      </c>
      <c r="S16" s="615">
        <v>0.193</v>
      </c>
      <c r="T16" s="615">
        <v>0.248</v>
      </c>
      <c r="U16" s="615">
        <v>0.257</v>
      </c>
      <c r="V16" s="615">
        <v>0.274</v>
      </c>
      <c r="W16" s="615">
        <v>0.274</v>
      </c>
      <c r="X16" s="615">
        <v>0.249</v>
      </c>
      <c r="Y16" s="615">
        <v>0.247</v>
      </c>
      <c r="Z16" s="615">
        <v>0.243</v>
      </c>
      <c r="AA16" s="615">
        <v>0.235</v>
      </c>
      <c r="AB16" s="615">
        <v>0.223</v>
      </c>
      <c r="AC16" s="615">
        <v>0.28</v>
      </c>
      <c r="AD16" s="615">
        <v>0.286</v>
      </c>
      <c r="AE16" s="802">
        <v>92.76595744680851</v>
      </c>
      <c r="AF16" s="802">
        <v>90.01614349775784</v>
      </c>
      <c r="AG16" s="802">
        <v>93.4</v>
      </c>
      <c r="AH16" s="803">
        <v>100</v>
      </c>
      <c r="AI16" s="640">
        <f t="shared" si="1"/>
        <v>2.142857142857139</v>
      </c>
      <c r="AJ16" s="598" t="s">
        <v>64</v>
      </c>
      <c r="AK16" s="314">
        <v>1.313271</v>
      </c>
      <c r="AL16" s="315">
        <f t="shared" si="0"/>
        <v>217.7768335705273</v>
      </c>
    </row>
    <row r="17" spans="1:38" ht="12.75" customHeight="1">
      <c r="A17" s="597"/>
      <c r="B17" s="598" t="s">
        <v>15</v>
      </c>
      <c r="C17" s="614">
        <v>1.951</v>
      </c>
      <c r="D17" s="614">
        <v>1.464</v>
      </c>
      <c r="E17" s="615">
        <v>1.977</v>
      </c>
      <c r="F17" s="615">
        <v>1.995</v>
      </c>
      <c r="G17" s="615">
        <v>2.046</v>
      </c>
      <c r="H17" s="615">
        <v>1.726</v>
      </c>
      <c r="I17" s="615">
        <v>1.599</v>
      </c>
      <c r="J17" s="615">
        <v>1.568</v>
      </c>
      <c r="K17" s="615">
        <v>1.751</v>
      </c>
      <c r="L17" s="615">
        <v>1.884</v>
      </c>
      <c r="M17" s="615">
        <v>1.552</v>
      </c>
      <c r="N17" s="615">
        <v>1.583</v>
      </c>
      <c r="O17" s="615">
        <v>1.886</v>
      </c>
      <c r="P17" s="615">
        <v>1.747</v>
      </c>
      <c r="Q17" s="615">
        <v>1.836</v>
      </c>
      <c r="R17" s="615">
        <v>1.574</v>
      </c>
      <c r="S17" s="615">
        <v>1.668</v>
      </c>
      <c r="T17" s="615">
        <v>1.854</v>
      </c>
      <c r="U17" s="615">
        <v>1.811</v>
      </c>
      <c r="V17" s="615">
        <v>1.93</v>
      </c>
      <c r="W17" s="615">
        <v>1.657</v>
      </c>
      <c r="X17" s="615">
        <v>1.467</v>
      </c>
      <c r="Y17" s="615">
        <v>1.383</v>
      </c>
      <c r="Z17" s="615">
        <v>0.958</v>
      </c>
      <c r="AA17" s="615">
        <v>0.832</v>
      </c>
      <c r="AB17" s="615">
        <v>1.056</v>
      </c>
      <c r="AC17" s="615">
        <v>1.072</v>
      </c>
      <c r="AD17" s="615">
        <v>1.263</v>
      </c>
      <c r="AE17" s="802">
        <v>100</v>
      </c>
      <c r="AF17" s="802"/>
      <c r="AG17" s="802"/>
      <c r="AH17" s="803">
        <v>93.01386138613861</v>
      </c>
      <c r="AI17" s="640">
        <f t="shared" si="1"/>
        <v>17.817164179104466</v>
      </c>
      <c r="AJ17" s="598" t="s">
        <v>15</v>
      </c>
      <c r="AK17" s="298">
        <v>10.812467</v>
      </c>
      <c r="AL17" s="315">
        <f t="shared" si="0"/>
        <v>116.80960506052872</v>
      </c>
    </row>
    <row r="18" spans="1:38" ht="12.75" customHeight="1">
      <c r="A18" s="597"/>
      <c r="B18" s="610" t="s">
        <v>66</v>
      </c>
      <c r="C18" s="611">
        <v>14.013</v>
      </c>
      <c r="D18" s="611">
        <v>13.527</v>
      </c>
      <c r="E18" s="638">
        <v>15.476</v>
      </c>
      <c r="F18" s="638">
        <v>15.022</v>
      </c>
      <c r="G18" s="638">
        <v>16.302</v>
      </c>
      <c r="H18" s="638">
        <v>15.234</v>
      </c>
      <c r="I18" s="638">
        <v>14.853</v>
      </c>
      <c r="J18" s="638">
        <v>16.577</v>
      </c>
      <c r="K18" s="639">
        <v>16.85</v>
      </c>
      <c r="L18" s="639">
        <v>17.83</v>
      </c>
      <c r="M18" s="639">
        <v>18.73</v>
      </c>
      <c r="N18" s="638">
        <v>19.655</v>
      </c>
      <c r="O18" s="638">
        <v>20.144</v>
      </c>
      <c r="P18" s="638">
        <v>20.829</v>
      </c>
      <c r="Q18" s="638">
        <v>21.211</v>
      </c>
      <c r="R18" s="638">
        <v>21.127</v>
      </c>
      <c r="S18" s="638">
        <v>20.328</v>
      </c>
      <c r="T18" s="638">
        <v>21.151</v>
      </c>
      <c r="U18" s="638">
        <v>21.62</v>
      </c>
      <c r="V18" s="638">
        <v>21.362</v>
      </c>
      <c r="W18" s="638">
        <v>23.453</v>
      </c>
      <c r="X18" s="638">
        <v>23.055</v>
      </c>
      <c r="Y18" s="638">
        <v>22.348</v>
      </c>
      <c r="Z18" s="638">
        <v>22.937</v>
      </c>
      <c r="AA18" s="638">
        <v>22.452</v>
      </c>
      <c r="AB18" s="638">
        <v>23.766</v>
      </c>
      <c r="AC18" s="638">
        <v>25.146</v>
      </c>
      <c r="AD18" s="638">
        <v>26.247</v>
      </c>
      <c r="AE18" s="802">
        <v>50.858063904427794</v>
      </c>
      <c r="AF18" s="802"/>
      <c r="AG18" s="802"/>
      <c r="AH18" s="803"/>
      <c r="AI18" s="613">
        <f t="shared" si="1"/>
        <v>4.378429968981152</v>
      </c>
      <c r="AJ18" s="610" t="s">
        <v>66</v>
      </c>
      <c r="AK18" s="298">
        <v>46.439864</v>
      </c>
      <c r="AL18" s="315">
        <f t="shared" si="0"/>
        <v>565.1825336956198</v>
      </c>
    </row>
    <row r="19" spans="1:38" ht="12.75" customHeight="1">
      <c r="A19" s="597"/>
      <c r="B19" s="598" t="s">
        <v>87</v>
      </c>
      <c r="C19" s="614">
        <v>2.156</v>
      </c>
      <c r="D19" s="614">
        <v>3.216</v>
      </c>
      <c r="E19" s="615">
        <v>3.331</v>
      </c>
      <c r="F19" s="615">
        <v>3.23</v>
      </c>
      <c r="G19" s="615">
        <v>3.057</v>
      </c>
      <c r="H19" s="615">
        <v>3.007</v>
      </c>
      <c r="I19" s="615">
        <v>3.037</v>
      </c>
      <c r="J19" s="615">
        <v>3.184</v>
      </c>
      <c r="K19" s="615">
        <v>3.254</v>
      </c>
      <c r="L19" s="615">
        <v>3.376</v>
      </c>
      <c r="M19" s="615">
        <v>3.377</v>
      </c>
      <c r="N19" s="615">
        <v>3.415</v>
      </c>
      <c r="O19" s="615">
        <v>3.405</v>
      </c>
      <c r="P19" s="615">
        <v>3.282</v>
      </c>
      <c r="Q19" s="615">
        <v>3.318</v>
      </c>
      <c r="R19" s="615">
        <v>3.338</v>
      </c>
      <c r="S19" s="615">
        <v>3.352</v>
      </c>
      <c r="T19" s="615">
        <v>3.478</v>
      </c>
      <c r="U19" s="615">
        <v>3.54</v>
      </c>
      <c r="V19" s="615">
        <v>3.778</v>
      </c>
      <c r="W19" s="615">
        <v>4.052</v>
      </c>
      <c r="X19" s="615">
        <v>3.876</v>
      </c>
      <c r="Y19" s="615">
        <v>3.959</v>
      </c>
      <c r="Z19" s="615">
        <v>3.882</v>
      </c>
      <c r="AA19" s="615">
        <v>4.035</v>
      </c>
      <c r="AB19" s="615">
        <v>4.053</v>
      </c>
      <c r="AC19" s="615">
        <v>3.874</v>
      </c>
      <c r="AD19" s="615">
        <v>4.114</v>
      </c>
      <c r="AE19" s="802">
        <f>0.968277571251549*100</f>
        <v>96.8277571251549</v>
      </c>
      <c r="AF19" s="802">
        <f>0.961756723414754*100</f>
        <v>96.1756723414754</v>
      </c>
      <c r="AG19" s="802">
        <v>96.5</v>
      </c>
      <c r="AH19" s="803">
        <v>97.30123997082421</v>
      </c>
      <c r="AI19" s="640">
        <f t="shared" si="1"/>
        <v>6.195147134744445</v>
      </c>
      <c r="AJ19" s="598" t="s">
        <v>87</v>
      </c>
      <c r="AK19" s="298">
        <v>5.471753</v>
      </c>
      <c r="AL19" s="315">
        <f t="shared" si="0"/>
        <v>751.8614235693753</v>
      </c>
    </row>
    <row r="20" spans="1:38" s="627" customFormat="1" ht="12.75" customHeight="1">
      <c r="A20" s="619"/>
      <c r="B20" s="598" t="s">
        <v>67</v>
      </c>
      <c r="C20" s="614">
        <v>40.979</v>
      </c>
      <c r="D20" s="614">
        <v>54.496</v>
      </c>
      <c r="E20" s="615">
        <v>63.74</v>
      </c>
      <c r="F20" s="615">
        <v>62.37</v>
      </c>
      <c r="G20" s="615">
        <v>62.99</v>
      </c>
      <c r="H20" s="615">
        <v>58.43</v>
      </c>
      <c r="I20" s="642">
        <v>58.94</v>
      </c>
      <c r="J20" s="615">
        <v>54.21880628199998</v>
      </c>
      <c r="K20" s="615">
        <v>58.37219858699997</v>
      </c>
      <c r="L20" s="615">
        <v>59.89835994899995</v>
      </c>
      <c r="M20" s="615">
        <v>63.54396329399996</v>
      </c>
      <c r="N20" s="615">
        <v>64.96782778799995</v>
      </c>
      <c r="O20" s="615">
        <v>69.41590813899998</v>
      </c>
      <c r="P20" s="615">
        <v>71.11860576999997</v>
      </c>
      <c r="Q20" s="615">
        <v>72.89738271499998</v>
      </c>
      <c r="R20" s="615">
        <v>71.09636678814194</v>
      </c>
      <c r="S20" s="615">
        <v>73.914539779</v>
      </c>
      <c r="T20" s="615">
        <v>75.98150492199997</v>
      </c>
      <c r="U20" s="615">
        <v>79.27589861599998</v>
      </c>
      <c r="V20" s="615">
        <v>81.29345699899999</v>
      </c>
      <c r="W20" s="615">
        <v>86.33911544399999</v>
      </c>
      <c r="X20" s="615">
        <v>85.61241833891697</v>
      </c>
      <c r="Y20" s="615">
        <v>85.60156774584</v>
      </c>
      <c r="Z20" s="615">
        <v>88.73198409338002</v>
      </c>
      <c r="AA20" s="615">
        <v>88.78895878564826</v>
      </c>
      <c r="AB20" s="615">
        <v>88.12923435359698</v>
      </c>
      <c r="AC20" s="615">
        <v>87.22744617924002</v>
      </c>
      <c r="AD20" s="615">
        <v>89.12121337270003</v>
      </c>
      <c r="AE20" s="802">
        <v>37.609649122807014</v>
      </c>
      <c r="AF20" s="802">
        <v>37.086092715231786</v>
      </c>
      <c r="AG20" s="802">
        <v>38.2</v>
      </c>
      <c r="AH20" s="803">
        <v>37.6550685738601</v>
      </c>
      <c r="AI20" s="640">
        <f t="shared" si="1"/>
        <v>2.171068025502649</v>
      </c>
      <c r="AJ20" s="598" t="s">
        <v>67</v>
      </c>
      <c r="AK20" s="298">
        <v>66.352469</v>
      </c>
      <c r="AL20" s="315">
        <f t="shared" si="0"/>
        <v>1343.1484120462803</v>
      </c>
    </row>
    <row r="21" spans="1:38" ht="12.75" customHeight="1">
      <c r="A21" s="597"/>
      <c r="B21" s="610" t="s">
        <v>148</v>
      </c>
      <c r="C21" s="630">
        <v>3.732</v>
      </c>
      <c r="D21" s="630">
        <v>3.619</v>
      </c>
      <c r="E21" s="622">
        <v>3.429</v>
      </c>
      <c r="F21" s="622">
        <v>1.427</v>
      </c>
      <c r="G21" s="622">
        <v>1.145</v>
      </c>
      <c r="H21" s="622">
        <v>1.094</v>
      </c>
      <c r="I21" s="622">
        <v>1.182</v>
      </c>
      <c r="J21" s="622">
        <v>1.139</v>
      </c>
      <c r="K21" s="622">
        <v>1.205</v>
      </c>
      <c r="L21" s="622">
        <v>1.158</v>
      </c>
      <c r="M21" s="622">
        <v>1.092</v>
      </c>
      <c r="N21" s="622">
        <v>1.137</v>
      </c>
      <c r="O21" s="622">
        <v>1.252</v>
      </c>
      <c r="P21" s="622">
        <v>1.241</v>
      </c>
      <c r="Q21" s="622">
        <v>1.195</v>
      </c>
      <c r="R21" s="622">
        <v>1.163</v>
      </c>
      <c r="S21" s="622">
        <v>1.169</v>
      </c>
      <c r="T21" s="622">
        <v>1.227</v>
      </c>
      <c r="U21" s="622">
        <v>1.322</v>
      </c>
      <c r="V21" s="622">
        <v>1.573</v>
      </c>
      <c r="W21" s="622">
        <v>1.769</v>
      </c>
      <c r="X21" s="622">
        <v>1.802</v>
      </c>
      <c r="Y21" s="622">
        <v>1.711</v>
      </c>
      <c r="Z21" s="622">
        <v>1.457</v>
      </c>
      <c r="AA21" s="622">
        <v>1.08</v>
      </c>
      <c r="AB21" s="622">
        <v>0.935</v>
      </c>
      <c r="AC21" s="622">
        <v>0.917</v>
      </c>
      <c r="AD21" s="622">
        <v>0.941</v>
      </c>
      <c r="AE21" s="802"/>
      <c r="AF21" s="802">
        <v>100</v>
      </c>
      <c r="AG21" s="802">
        <v>100</v>
      </c>
      <c r="AH21" s="803">
        <v>100</v>
      </c>
      <c r="AI21" s="632">
        <f t="shared" si="1"/>
        <v>2.6172300981461234</v>
      </c>
      <c r="AJ21" s="610" t="s">
        <v>148</v>
      </c>
      <c r="AK21" s="298">
        <v>4.225316</v>
      </c>
      <c r="AL21" s="315">
        <f t="shared" si="0"/>
        <v>222.7052367207565</v>
      </c>
    </row>
    <row r="22" spans="1:38" s="627" customFormat="1" ht="12.75" customHeight="1">
      <c r="A22" s="619"/>
      <c r="B22" s="610" t="s">
        <v>77</v>
      </c>
      <c r="C22" s="630">
        <v>16.35</v>
      </c>
      <c r="D22" s="630">
        <v>13.544</v>
      </c>
      <c r="E22" s="622">
        <v>11.403</v>
      </c>
      <c r="F22" s="622">
        <v>9.861</v>
      </c>
      <c r="G22" s="622">
        <v>9.183</v>
      </c>
      <c r="H22" s="622">
        <v>8.432</v>
      </c>
      <c r="I22" s="622">
        <v>8.508</v>
      </c>
      <c r="J22" s="622">
        <v>8.441</v>
      </c>
      <c r="K22" s="622">
        <v>8.582</v>
      </c>
      <c r="L22" s="622">
        <v>8.669</v>
      </c>
      <c r="M22" s="622">
        <v>8.884</v>
      </c>
      <c r="N22" s="622">
        <v>9.514</v>
      </c>
      <c r="O22" s="622">
        <v>9.693</v>
      </c>
      <c r="P22" s="622">
        <v>10.005</v>
      </c>
      <c r="Q22" s="622">
        <v>10.531</v>
      </c>
      <c r="R22" s="622">
        <v>10.286</v>
      </c>
      <c r="S22" s="622">
        <v>10.165</v>
      </c>
      <c r="T22" s="622">
        <v>9.851</v>
      </c>
      <c r="U22" s="622">
        <v>9.658</v>
      </c>
      <c r="V22" s="622">
        <v>8.752</v>
      </c>
      <c r="W22" s="622">
        <v>8.292</v>
      </c>
      <c r="X22" s="622">
        <v>8.072</v>
      </c>
      <c r="Y22" s="622">
        <v>7.681</v>
      </c>
      <c r="Z22" s="622">
        <v>7.763</v>
      </c>
      <c r="AA22" s="622">
        <v>7.806</v>
      </c>
      <c r="AB22" s="622">
        <v>7.842</v>
      </c>
      <c r="AC22" s="622">
        <v>7.738</v>
      </c>
      <c r="AD22" s="622">
        <v>7.609</v>
      </c>
      <c r="AE22" s="802">
        <v>94.26008968609865</v>
      </c>
      <c r="AF22" s="802">
        <v>95.34913516976297</v>
      </c>
      <c r="AG22" s="802">
        <v>95.5</v>
      </c>
      <c r="AH22" s="803">
        <v>95.0882719695478</v>
      </c>
      <c r="AI22" s="632">
        <f t="shared" si="1"/>
        <v>-1.6670974411992887</v>
      </c>
      <c r="AJ22" s="610" t="s">
        <v>77</v>
      </c>
      <c r="AK22" s="298">
        <v>9.849</v>
      </c>
      <c r="AL22" s="315">
        <f t="shared" si="0"/>
        <v>772.5657427149964</v>
      </c>
    </row>
    <row r="23" spans="1:38" ht="12.75" customHeight="1">
      <c r="A23" s="597"/>
      <c r="B23" s="610" t="s">
        <v>68</v>
      </c>
      <c r="C23" s="611">
        <v>0.582</v>
      </c>
      <c r="D23" s="611">
        <v>1.032</v>
      </c>
      <c r="E23" s="638">
        <v>1.226</v>
      </c>
      <c r="F23" s="638">
        <v>1.29</v>
      </c>
      <c r="G23" s="638">
        <v>1.226</v>
      </c>
      <c r="H23" s="638">
        <v>1.274</v>
      </c>
      <c r="I23" s="638">
        <v>1.26</v>
      </c>
      <c r="J23" s="638">
        <v>1.291</v>
      </c>
      <c r="K23" s="638">
        <v>1.295</v>
      </c>
      <c r="L23" s="638">
        <v>1.387</v>
      </c>
      <c r="M23" s="638">
        <v>1.421</v>
      </c>
      <c r="N23" s="638">
        <v>1.458</v>
      </c>
      <c r="O23" s="638">
        <v>1.389</v>
      </c>
      <c r="P23" s="638">
        <v>1.515</v>
      </c>
      <c r="Q23" s="638">
        <v>1.628</v>
      </c>
      <c r="R23" s="638">
        <v>1.601</v>
      </c>
      <c r="S23" s="638">
        <v>1.582</v>
      </c>
      <c r="T23" s="638">
        <v>1.781</v>
      </c>
      <c r="U23" s="638">
        <v>1.872</v>
      </c>
      <c r="V23" s="638">
        <v>2.007</v>
      </c>
      <c r="W23" s="638">
        <v>1.976</v>
      </c>
      <c r="X23" s="638">
        <v>1.683</v>
      </c>
      <c r="Y23" s="638">
        <v>1.678</v>
      </c>
      <c r="Z23" s="638">
        <v>1.638</v>
      </c>
      <c r="AA23" s="638">
        <v>1.578</v>
      </c>
      <c r="AB23" s="638">
        <v>1.569</v>
      </c>
      <c r="AC23" s="638">
        <v>1.728</v>
      </c>
      <c r="AD23" s="638">
        <v>1.918</v>
      </c>
      <c r="AE23" s="802">
        <v>93.93173198482933</v>
      </c>
      <c r="AF23" s="804">
        <v>100</v>
      </c>
      <c r="AG23" s="802"/>
      <c r="AH23" s="803"/>
      <c r="AI23" s="613">
        <f t="shared" si="1"/>
        <v>10.995370370370367</v>
      </c>
      <c r="AJ23" s="610" t="s">
        <v>68</v>
      </c>
      <c r="AK23" s="314">
        <v>4.625885</v>
      </c>
      <c r="AL23" s="315">
        <f t="shared" si="0"/>
        <v>414.62336396170673</v>
      </c>
    </row>
    <row r="24" spans="1:38" s="627" customFormat="1" ht="12.75" customHeight="1">
      <c r="A24" s="619"/>
      <c r="B24" s="598" t="s">
        <v>69</v>
      </c>
      <c r="C24" s="614">
        <v>32.457</v>
      </c>
      <c r="D24" s="614">
        <v>39.587</v>
      </c>
      <c r="E24" s="615">
        <v>44.709</v>
      </c>
      <c r="F24" s="615">
        <v>45.065</v>
      </c>
      <c r="G24" s="615">
        <v>44.409</v>
      </c>
      <c r="H24" s="615">
        <v>42.72</v>
      </c>
      <c r="I24" s="615">
        <v>43.375</v>
      </c>
      <c r="J24" s="615">
        <f>43.859+2.792</f>
        <v>46.651</v>
      </c>
      <c r="K24" s="615">
        <f>44.78+2.8</f>
        <v>47.58</v>
      </c>
      <c r="L24" s="615">
        <f>43.591+2.8</f>
        <v>46.391</v>
      </c>
      <c r="M24" s="615">
        <f>41.391+2.8</f>
        <v>44.190999999999995</v>
      </c>
      <c r="N24" s="615">
        <f>43.424+2.878</f>
        <v>46.302</v>
      </c>
      <c r="O24" s="615">
        <f>47.133+2.439</f>
        <v>49.572</v>
      </c>
      <c r="P24" s="615">
        <f>46.752+3.324</f>
        <v>50.076</v>
      </c>
      <c r="Q24" s="615">
        <f>45.956+3.348</f>
        <v>49.304</v>
      </c>
      <c r="R24" s="615">
        <f>45.222+3.475</f>
        <v>48.697</v>
      </c>
      <c r="S24" s="615">
        <v>49.254</v>
      </c>
      <c r="T24" s="615">
        <v>50.088</v>
      </c>
      <c r="U24" s="615">
        <v>50.185</v>
      </c>
      <c r="V24" s="615">
        <v>49.78</v>
      </c>
      <c r="W24" s="615">
        <v>49.524</v>
      </c>
      <c r="X24" s="615">
        <v>48.124</v>
      </c>
      <c r="Y24" s="615">
        <v>47.172</v>
      </c>
      <c r="Z24" s="615">
        <v>46.845</v>
      </c>
      <c r="AA24" s="615">
        <v>46.759</v>
      </c>
      <c r="AB24" s="615">
        <v>48.739</v>
      </c>
      <c r="AC24" s="615">
        <v>49.957</v>
      </c>
      <c r="AD24" s="615">
        <v>52.207</v>
      </c>
      <c r="AE24" s="802">
        <v>51.36712346731361</v>
      </c>
      <c r="AF24" s="802">
        <v>61.08951868736738</v>
      </c>
      <c r="AG24" s="802">
        <v>66.7</v>
      </c>
      <c r="AH24" s="803">
        <v>60.16183382631869</v>
      </c>
      <c r="AI24" s="640">
        <f t="shared" si="1"/>
        <v>4.5038733310647245</v>
      </c>
      <c r="AJ24" s="598" t="s">
        <v>69</v>
      </c>
      <c r="AK24" s="298">
        <v>60.795612</v>
      </c>
      <c r="AL24" s="315">
        <f t="shared" si="0"/>
        <v>858.7297385870546</v>
      </c>
    </row>
    <row r="25" spans="1:38" ht="12.75" customHeight="1">
      <c r="A25" s="597"/>
      <c r="B25" s="610" t="s">
        <v>73</v>
      </c>
      <c r="C25" s="630">
        <v>2.132</v>
      </c>
      <c r="D25" s="630">
        <v>3.258</v>
      </c>
      <c r="E25" s="622">
        <v>3.64</v>
      </c>
      <c r="F25" s="622">
        <v>3.225</v>
      </c>
      <c r="G25" s="622">
        <v>2.74</v>
      </c>
      <c r="H25" s="622">
        <v>2.7</v>
      </c>
      <c r="I25" s="622">
        <v>1.574</v>
      </c>
      <c r="J25" s="622">
        <v>1.13</v>
      </c>
      <c r="K25" s="622">
        <v>0.954</v>
      </c>
      <c r="L25" s="622">
        <v>0.842</v>
      </c>
      <c r="M25" s="622">
        <v>0.8</v>
      </c>
      <c r="N25" s="622">
        <v>0.745</v>
      </c>
      <c r="O25" s="622">
        <v>0.611</v>
      </c>
      <c r="P25" s="622">
        <v>0.533</v>
      </c>
      <c r="Q25" s="622">
        <v>0.498</v>
      </c>
      <c r="R25" s="622">
        <v>0.432</v>
      </c>
      <c r="S25" s="622">
        <v>0.444</v>
      </c>
      <c r="T25" s="622">
        <v>0.28</v>
      </c>
      <c r="U25" s="622">
        <v>0.268</v>
      </c>
      <c r="V25" s="622">
        <v>0.246</v>
      </c>
      <c r="W25" s="622">
        <v>0.258</v>
      </c>
      <c r="X25" s="622">
        <v>0.231</v>
      </c>
      <c r="Y25" s="622">
        <v>0.244</v>
      </c>
      <c r="Z25" s="622">
        <v>0.269</v>
      </c>
      <c r="AA25" s="622">
        <v>0.278</v>
      </c>
      <c r="AB25" s="622">
        <v>0.278</v>
      </c>
      <c r="AC25" s="622">
        <v>0.27</v>
      </c>
      <c r="AD25" s="622">
        <v>0.262</v>
      </c>
      <c r="AE25" s="802">
        <v>100</v>
      </c>
      <c r="AF25" s="802">
        <v>64.51406649616368</v>
      </c>
      <c r="AG25" s="802">
        <v>67.2</v>
      </c>
      <c r="AH25" s="803">
        <v>68.69806094182826</v>
      </c>
      <c r="AI25" s="632">
        <f t="shared" si="1"/>
        <v>-2.962962962962962</v>
      </c>
      <c r="AJ25" s="610" t="s">
        <v>73</v>
      </c>
      <c r="AK25" s="314">
        <v>2.921262</v>
      </c>
      <c r="AL25" s="315">
        <f t="shared" si="0"/>
        <v>89.68726529835392</v>
      </c>
    </row>
    <row r="26" spans="1:38" s="627" customFormat="1" ht="12.75" customHeight="1">
      <c r="A26" s="619"/>
      <c r="B26" s="598" t="s">
        <v>76</v>
      </c>
      <c r="C26" s="614">
        <v>0.256</v>
      </c>
      <c r="D26" s="614">
        <v>0.246</v>
      </c>
      <c r="E26" s="615">
        <v>0.208</v>
      </c>
      <c r="F26" s="615">
        <v>0.22</v>
      </c>
      <c r="G26" s="615">
        <v>0.255</v>
      </c>
      <c r="H26" s="615">
        <v>0.262</v>
      </c>
      <c r="I26" s="615">
        <v>0.289</v>
      </c>
      <c r="J26" s="615">
        <v>0.287</v>
      </c>
      <c r="K26" s="615">
        <v>0.284</v>
      </c>
      <c r="L26" s="615">
        <v>0.295</v>
      </c>
      <c r="M26" s="615">
        <v>0.3</v>
      </c>
      <c r="N26" s="615">
        <v>0.31</v>
      </c>
      <c r="O26" s="615">
        <v>0.332</v>
      </c>
      <c r="P26" s="615">
        <v>0.346</v>
      </c>
      <c r="Q26" s="615">
        <v>0.268</v>
      </c>
      <c r="R26" s="615">
        <v>0.262</v>
      </c>
      <c r="S26" s="615">
        <v>0.253</v>
      </c>
      <c r="T26" s="615">
        <v>0.267</v>
      </c>
      <c r="U26" s="615">
        <v>0.298</v>
      </c>
      <c r="V26" s="615">
        <v>0.316</v>
      </c>
      <c r="W26" s="615">
        <v>0.345</v>
      </c>
      <c r="X26" s="615">
        <v>0.333</v>
      </c>
      <c r="Y26" s="615">
        <v>0.347</v>
      </c>
      <c r="Z26" s="615">
        <f>0.349</f>
        <v>0.349</v>
      </c>
      <c r="AA26" s="615">
        <v>0.373</v>
      </c>
      <c r="AB26" s="615">
        <v>0.394</v>
      </c>
      <c r="AC26" s="615">
        <v>0.366</v>
      </c>
      <c r="AD26" s="615">
        <v>0.418</v>
      </c>
      <c r="AE26" s="805"/>
      <c r="AF26" s="802">
        <v>100</v>
      </c>
      <c r="AG26" s="802">
        <v>100</v>
      </c>
      <c r="AH26" s="803"/>
      <c r="AI26" s="640">
        <f t="shared" si="1"/>
        <v>14.207650273224033</v>
      </c>
      <c r="AJ26" s="598" t="s">
        <v>76</v>
      </c>
      <c r="AK26" s="298">
        <v>0.562958</v>
      </c>
      <c r="AL26" s="315">
        <f t="shared" si="0"/>
        <v>742.5065457813904</v>
      </c>
    </row>
    <row r="27" spans="1:38" ht="12.75" customHeight="1">
      <c r="A27" s="597"/>
      <c r="B27" s="598" t="s">
        <v>72</v>
      </c>
      <c r="C27" s="614">
        <v>3.747</v>
      </c>
      <c r="D27" s="614">
        <v>4.687</v>
      </c>
      <c r="E27" s="615">
        <v>5.366</v>
      </c>
      <c r="F27" s="615">
        <v>3.93</v>
      </c>
      <c r="G27" s="615">
        <v>3.656</v>
      </c>
      <c r="H27" s="615">
        <v>2.359</v>
      </c>
      <c r="I27" s="615">
        <v>1.794</v>
      </c>
      <c r="J27" s="615">
        <v>1.373</v>
      </c>
      <c r="K27" s="615">
        <v>1.149</v>
      </c>
      <c r="L27" s="615">
        <v>1.154</v>
      </c>
      <c r="M27" s="615">
        <v>1.059</v>
      </c>
      <c r="N27" s="615">
        <v>0.984</v>
      </c>
      <c r="O27" s="615">
        <v>0.715</v>
      </c>
      <c r="P27" s="615">
        <v>0.706</v>
      </c>
      <c r="Q27" s="615">
        <v>0.744</v>
      </c>
      <c r="R27" s="615">
        <v>0.762</v>
      </c>
      <c r="S27" s="615">
        <v>0.806</v>
      </c>
      <c r="T27" s="615">
        <v>0.889</v>
      </c>
      <c r="U27" s="615">
        <v>0.986</v>
      </c>
      <c r="V27" s="615">
        <v>0.975</v>
      </c>
      <c r="W27" s="615">
        <v>0.941</v>
      </c>
      <c r="X27" s="615">
        <v>0.748</v>
      </c>
      <c r="Y27" s="615">
        <v>0.741</v>
      </c>
      <c r="Z27" s="615">
        <v>0.733</v>
      </c>
      <c r="AA27" s="615">
        <v>0.717</v>
      </c>
      <c r="AB27" s="615">
        <v>0.721</v>
      </c>
      <c r="AC27" s="615">
        <v>0.644</v>
      </c>
      <c r="AD27" s="615">
        <v>0.59</v>
      </c>
      <c r="AE27" s="802">
        <v>88.27586206896552</v>
      </c>
      <c r="AF27" s="802">
        <v>88.52005532503458</v>
      </c>
      <c r="AG27" s="802">
        <v>89.8</v>
      </c>
      <c r="AH27" s="803">
        <v>91.8321489001692</v>
      </c>
      <c r="AI27" s="640">
        <f t="shared" si="1"/>
        <v>-8.385093167701868</v>
      </c>
      <c r="AJ27" s="598" t="s">
        <v>72</v>
      </c>
      <c r="AK27" s="314">
        <v>1.986096</v>
      </c>
      <c r="AL27" s="315">
        <f t="shared" si="0"/>
        <v>297.06519725129095</v>
      </c>
    </row>
    <row r="28" spans="1:38" s="627" customFormat="1" ht="12.75" customHeight="1">
      <c r="A28" s="619"/>
      <c r="B28" s="598" t="s">
        <v>78</v>
      </c>
      <c r="C28" s="746" t="s">
        <v>146</v>
      </c>
      <c r="D28" s="746" t="s">
        <v>146</v>
      </c>
      <c r="E28" s="747" t="s">
        <v>146</v>
      </c>
      <c r="F28" s="747" t="s">
        <v>146</v>
      </c>
      <c r="G28" s="747" t="s">
        <v>146</v>
      </c>
      <c r="H28" s="747" t="s">
        <v>146</v>
      </c>
      <c r="I28" s="747" t="s">
        <v>146</v>
      </c>
      <c r="J28" s="747" t="s">
        <v>146</v>
      </c>
      <c r="K28" s="747" t="s">
        <v>146</v>
      </c>
      <c r="L28" s="747" t="s">
        <v>146</v>
      </c>
      <c r="M28" s="747" t="s">
        <v>146</v>
      </c>
      <c r="N28" s="747" t="s">
        <v>146</v>
      </c>
      <c r="O28" s="747" t="s">
        <v>146</v>
      </c>
      <c r="P28" s="747" t="s">
        <v>146</v>
      </c>
      <c r="Q28" s="747" t="s">
        <v>146</v>
      </c>
      <c r="R28" s="747" t="s">
        <v>146</v>
      </c>
      <c r="S28" s="747" t="s">
        <v>146</v>
      </c>
      <c r="T28" s="747" t="s">
        <v>146</v>
      </c>
      <c r="U28" s="747" t="s">
        <v>146</v>
      </c>
      <c r="V28" s="747" t="s">
        <v>146</v>
      </c>
      <c r="W28" s="747" t="s">
        <v>146</v>
      </c>
      <c r="X28" s="747" t="s">
        <v>146</v>
      </c>
      <c r="Y28" s="747" t="s">
        <v>146</v>
      </c>
      <c r="Z28" s="747" t="s">
        <v>146</v>
      </c>
      <c r="AA28" s="747" t="s">
        <v>146</v>
      </c>
      <c r="AB28" s="747" t="s">
        <v>146</v>
      </c>
      <c r="AC28" s="747" t="s">
        <v>146</v>
      </c>
      <c r="AD28" s="747" t="s">
        <v>146</v>
      </c>
      <c r="AE28" s="802" t="s">
        <v>146</v>
      </c>
      <c r="AF28" s="802" t="s">
        <v>146</v>
      </c>
      <c r="AG28" s="802" t="s">
        <v>146</v>
      </c>
      <c r="AH28" s="803" t="s">
        <v>146</v>
      </c>
      <c r="AI28" s="755" t="s">
        <v>146</v>
      </c>
      <c r="AJ28" s="598" t="s">
        <v>78</v>
      </c>
      <c r="AK28" s="298">
        <v>0.429344</v>
      </c>
      <c r="AL28" s="315" t="e">
        <f t="shared" si="0"/>
        <v>#VALUE!</v>
      </c>
    </row>
    <row r="29" spans="1:38" ht="12.75" customHeight="1">
      <c r="A29" s="597"/>
      <c r="B29" s="610" t="s">
        <v>16</v>
      </c>
      <c r="C29" s="630">
        <v>8.011</v>
      </c>
      <c r="D29" s="630">
        <v>8.91</v>
      </c>
      <c r="E29" s="622">
        <v>11.06</v>
      </c>
      <c r="F29" s="622">
        <v>15.195</v>
      </c>
      <c r="G29" s="622">
        <v>15.35</v>
      </c>
      <c r="H29" s="622">
        <v>15.245</v>
      </c>
      <c r="I29" s="622">
        <v>14.439</v>
      </c>
      <c r="J29" s="622">
        <v>16.35</v>
      </c>
      <c r="K29" s="622">
        <v>14.092</v>
      </c>
      <c r="L29" s="622">
        <v>13.875</v>
      </c>
      <c r="M29" s="622">
        <v>14.107</v>
      </c>
      <c r="N29" s="622">
        <v>14.281</v>
      </c>
      <c r="O29" s="622">
        <v>14.666</v>
      </c>
      <c r="P29" s="622">
        <v>14.392</v>
      </c>
      <c r="Q29" s="622">
        <v>14.288</v>
      </c>
      <c r="R29" s="622">
        <v>13.848</v>
      </c>
      <c r="S29" s="622">
        <v>14.509</v>
      </c>
      <c r="T29" s="622">
        <v>15.153</v>
      </c>
      <c r="U29" s="622">
        <v>15.889</v>
      </c>
      <c r="V29" s="622">
        <v>16.325</v>
      </c>
      <c r="W29" s="622">
        <v>16.343</v>
      </c>
      <c r="X29" s="622">
        <v>16.455</v>
      </c>
      <c r="Y29" s="622">
        <v>16.9</v>
      </c>
      <c r="Z29" s="622">
        <v>17.479</v>
      </c>
      <c r="AA29" s="622">
        <v>17.771</v>
      </c>
      <c r="AB29" s="622">
        <v>19.044</v>
      </c>
      <c r="AC29" s="622">
        <v>20.005</v>
      </c>
      <c r="AD29" s="622">
        <v>17.523</v>
      </c>
      <c r="AE29" s="802"/>
      <c r="AF29" s="802">
        <v>96.31558096100515</v>
      </c>
      <c r="AG29" s="802">
        <v>94.7</v>
      </c>
      <c r="AH29" s="803">
        <v>100</v>
      </c>
      <c r="AI29" s="632">
        <f aca="true" t="shared" si="2" ref="AI29:AI41">AD29/AC29*100-100</f>
        <v>-12.406898275431146</v>
      </c>
      <c r="AJ29" s="610" t="s">
        <v>16</v>
      </c>
      <c r="AK29" s="314">
        <v>16.900726</v>
      </c>
      <c r="AL29" s="315">
        <f t="shared" si="0"/>
        <v>1036.819365037928</v>
      </c>
    </row>
    <row r="30" spans="1:38" s="627" customFormat="1" ht="12.75" customHeight="1">
      <c r="A30" s="619"/>
      <c r="B30" s="610" t="s">
        <v>80</v>
      </c>
      <c r="C30" s="630">
        <v>36.891</v>
      </c>
      <c r="D30" s="630">
        <v>46.324</v>
      </c>
      <c r="E30" s="622">
        <v>50.373</v>
      </c>
      <c r="F30" s="622">
        <v>40.115</v>
      </c>
      <c r="G30" s="622">
        <v>32.571</v>
      </c>
      <c r="H30" s="622">
        <v>30.864</v>
      </c>
      <c r="I30" s="622">
        <v>27.61</v>
      </c>
      <c r="J30" s="622">
        <v>26.635</v>
      </c>
      <c r="K30" s="622">
        <v>19.807</v>
      </c>
      <c r="L30" s="622">
        <v>19.928</v>
      </c>
      <c r="M30" s="622">
        <v>20.553</v>
      </c>
      <c r="N30" s="622">
        <v>21.518</v>
      </c>
      <c r="O30" s="622">
        <v>24.093</v>
      </c>
      <c r="P30" s="622">
        <v>22.469</v>
      </c>
      <c r="Q30" s="622">
        <v>20.749</v>
      </c>
      <c r="R30" s="622">
        <v>19.638</v>
      </c>
      <c r="S30" s="622">
        <v>18.43</v>
      </c>
      <c r="T30" s="622">
        <v>17.882</v>
      </c>
      <c r="U30" s="622">
        <v>18.24</v>
      </c>
      <c r="V30" s="622">
        <v>19.524</v>
      </c>
      <c r="W30" s="622">
        <v>19.762</v>
      </c>
      <c r="X30" s="622">
        <v>18.128</v>
      </c>
      <c r="Y30" s="622">
        <v>17.485</v>
      </c>
      <c r="Z30" s="622">
        <v>17.633</v>
      </c>
      <c r="AA30" s="622">
        <v>17.674</v>
      </c>
      <c r="AB30" s="622">
        <v>16.659</v>
      </c>
      <c r="AC30" s="622">
        <v>15.885</v>
      </c>
      <c r="AD30" s="622">
        <v>17.24</v>
      </c>
      <c r="AE30" s="802">
        <v>81.90977275271464</v>
      </c>
      <c r="AF30" s="802">
        <v>86.51351029639328</v>
      </c>
      <c r="AG30" s="802">
        <v>86.2</v>
      </c>
      <c r="AH30" s="803">
        <v>82.21272664279941</v>
      </c>
      <c r="AI30" s="632">
        <f t="shared" si="2"/>
        <v>8.53005980484734</v>
      </c>
      <c r="AJ30" s="610" t="s">
        <v>80</v>
      </c>
      <c r="AK30" s="298">
        <v>38.005614</v>
      </c>
      <c r="AL30" s="315">
        <f t="shared" si="0"/>
        <v>453.6171945544676</v>
      </c>
    </row>
    <row r="31" spans="1:38" ht="12.75" customHeight="1">
      <c r="A31" s="597"/>
      <c r="B31" s="598" t="s">
        <v>92</v>
      </c>
      <c r="C31" s="614">
        <v>3.546</v>
      </c>
      <c r="D31" s="614">
        <v>6.076</v>
      </c>
      <c r="E31" s="615">
        <v>5.664</v>
      </c>
      <c r="F31" s="615">
        <v>5.692</v>
      </c>
      <c r="G31" s="615">
        <v>5.694</v>
      </c>
      <c r="H31" s="615">
        <v>5.397</v>
      </c>
      <c r="I31" s="615">
        <v>5.11</v>
      </c>
      <c r="J31" s="615">
        <v>4.809</v>
      </c>
      <c r="K31" s="615">
        <v>4.502</v>
      </c>
      <c r="L31" s="615">
        <v>4.568</v>
      </c>
      <c r="M31" s="615">
        <v>4.601</v>
      </c>
      <c r="N31" s="615">
        <v>4.329</v>
      </c>
      <c r="O31" s="616">
        <v>4.032</v>
      </c>
      <c r="P31" s="616">
        <v>3.992</v>
      </c>
      <c r="Q31" s="615">
        <v>3.925</v>
      </c>
      <c r="R31" s="615">
        <v>3.753</v>
      </c>
      <c r="S31" s="615">
        <v>3.752</v>
      </c>
      <c r="T31" s="615">
        <v>3.809</v>
      </c>
      <c r="U31" s="615">
        <v>3.876</v>
      </c>
      <c r="V31" s="615">
        <v>3.987</v>
      </c>
      <c r="W31" s="615">
        <v>4.213</v>
      </c>
      <c r="X31" s="615">
        <v>4.213</v>
      </c>
      <c r="Y31" s="615">
        <v>4.111</v>
      </c>
      <c r="Z31" s="615">
        <v>4.237</v>
      </c>
      <c r="AA31" s="615">
        <v>3.803</v>
      </c>
      <c r="AB31" s="615">
        <v>3.649</v>
      </c>
      <c r="AC31" s="615">
        <v>3.852</v>
      </c>
      <c r="AD31" s="615">
        <v>3.957</v>
      </c>
      <c r="AE31" s="802"/>
      <c r="AF31" s="802">
        <v>67.75342465753424</v>
      </c>
      <c r="AG31" s="802">
        <v>65</v>
      </c>
      <c r="AH31" s="803"/>
      <c r="AI31" s="640">
        <f t="shared" si="2"/>
        <v>2.72585669781931</v>
      </c>
      <c r="AJ31" s="598" t="s">
        <v>92</v>
      </c>
      <c r="AK31" s="314">
        <v>10.374822</v>
      </c>
      <c r="AL31" s="315">
        <f t="shared" si="0"/>
        <v>381.40413396972014</v>
      </c>
    </row>
    <row r="32" spans="1:38" ht="12.75" customHeight="1">
      <c r="A32" s="597"/>
      <c r="B32" s="610" t="s">
        <v>102</v>
      </c>
      <c r="C32" s="630">
        <v>17.793</v>
      </c>
      <c r="D32" s="630">
        <v>23.22</v>
      </c>
      <c r="E32" s="622">
        <v>30.582</v>
      </c>
      <c r="F32" s="622">
        <v>25.429</v>
      </c>
      <c r="G32" s="622">
        <v>24.269</v>
      </c>
      <c r="H32" s="622">
        <v>19.402</v>
      </c>
      <c r="I32" s="622">
        <v>18.313</v>
      </c>
      <c r="J32" s="622">
        <v>18.879</v>
      </c>
      <c r="K32" s="622">
        <v>18.356</v>
      </c>
      <c r="L32" s="622">
        <v>15.794</v>
      </c>
      <c r="M32" s="622">
        <v>13.422</v>
      </c>
      <c r="N32" s="622">
        <v>12.304</v>
      </c>
      <c r="O32" s="622">
        <v>11.632</v>
      </c>
      <c r="P32" s="622">
        <v>10.965</v>
      </c>
      <c r="Q32" s="622">
        <v>8.502</v>
      </c>
      <c r="R32" s="622">
        <v>8.497</v>
      </c>
      <c r="S32" s="622">
        <v>8.638</v>
      </c>
      <c r="T32" s="622">
        <v>7.985</v>
      </c>
      <c r="U32" s="622">
        <v>8.092</v>
      </c>
      <c r="V32" s="622">
        <v>7.476</v>
      </c>
      <c r="W32" s="622">
        <v>6.958</v>
      </c>
      <c r="X32" s="622">
        <v>6.128</v>
      </c>
      <c r="Y32" s="622">
        <v>5.437</v>
      </c>
      <c r="Z32" s="622">
        <v>5.063</v>
      </c>
      <c r="AA32" s="622">
        <v>4.55</v>
      </c>
      <c r="AB32" s="622">
        <v>4.382</v>
      </c>
      <c r="AC32" s="622">
        <v>4.971</v>
      </c>
      <c r="AD32" s="622">
        <v>5.148</v>
      </c>
      <c r="AE32" s="802">
        <v>94.59755030621172</v>
      </c>
      <c r="AF32" s="804">
        <v>96.4253798033959</v>
      </c>
      <c r="AG32" s="802">
        <v>95.4</v>
      </c>
      <c r="AH32" s="803">
        <v>100</v>
      </c>
      <c r="AI32" s="632">
        <f t="shared" si="2"/>
        <v>3.5606517803258697</v>
      </c>
      <c r="AJ32" s="610" t="s">
        <v>102</v>
      </c>
      <c r="AK32" s="298">
        <v>19.861408</v>
      </c>
      <c r="AL32" s="315">
        <f t="shared" si="0"/>
        <v>259.19612547106425</v>
      </c>
    </row>
    <row r="33" spans="1:38" ht="12.75" customHeight="1">
      <c r="A33" s="597"/>
      <c r="B33" s="610" t="s">
        <v>88</v>
      </c>
      <c r="C33" s="630">
        <v>4.64</v>
      </c>
      <c r="D33" s="630">
        <v>6.998</v>
      </c>
      <c r="E33" s="622">
        <v>6.6</v>
      </c>
      <c r="F33" s="622">
        <v>5.985</v>
      </c>
      <c r="G33" s="622">
        <v>5.963</v>
      </c>
      <c r="H33" s="622">
        <v>6.422</v>
      </c>
      <c r="I33" s="622">
        <v>6.507</v>
      </c>
      <c r="J33" s="622">
        <v>6.839</v>
      </c>
      <c r="K33" s="622">
        <v>6.97</v>
      </c>
      <c r="L33" s="622">
        <v>7.039</v>
      </c>
      <c r="M33" s="622">
        <v>7.23</v>
      </c>
      <c r="N33" s="622">
        <v>7.701</v>
      </c>
      <c r="O33" s="622">
        <v>8.243</v>
      </c>
      <c r="P33" s="622">
        <v>8.732</v>
      </c>
      <c r="Q33" s="622">
        <v>8.874</v>
      </c>
      <c r="R33" s="622">
        <v>8.834</v>
      </c>
      <c r="S33" s="622">
        <v>8.634</v>
      </c>
      <c r="T33" s="622">
        <v>8.91</v>
      </c>
      <c r="U33" s="622">
        <v>9.617</v>
      </c>
      <c r="V33" s="622">
        <v>10.261</v>
      </c>
      <c r="W33" s="622">
        <v>11.146</v>
      </c>
      <c r="X33" s="622">
        <v>11.321</v>
      </c>
      <c r="Y33" s="622">
        <v>11.155</v>
      </c>
      <c r="Z33" s="622">
        <v>11.379</v>
      </c>
      <c r="AA33" s="622">
        <v>11.792</v>
      </c>
      <c r="AB33" s="622">
        <v>11.842</v>
      </c>
      <c r="AC33" s="622">
        <v>12.121</v>
      </c>
      <c r="AD33" s="622">
        <v>12.741</v>
      </c>
      <c r="AE33" s="802">
        <v>46.530332848464106</v>
      </c>
      <c r="AF33" s="802">
        <v>50</v>
      </c>
      <c r="AG33" s="802">
        <v>49.8</v>
      </c>
      <c r="AH33" s="803">
        <v>49.94113491876619</v>
      </c>
      <c r="AI33" s="632">
        <f t="shared" si="2"/>
        <v>5.115089514066497</v>
      </c>
      <c r="AJ33" s="610" t="s">
        <v>88</v>
      </c>
      <c r="AK33" s="314">
        <v>9.747355</v>
      </c>
      <c r="AL33" s="315">
        <f t="shared" si="0"/>
        <v>1307.1238300031137</v>
      </c>
    </row>
    <row r="34" spans="1:38" ht="12.75" customHeight="1">
      <c r="A34" s="597"/>
      <c r="B34" s="598" t="s">
        <v>83</v>
      </c>
      <c r="C34" s="614">
        <v>1.38</v>
      </c>
      <c r="D34" s="614">
        <v>1.436</v>
      </c>
      <c r="E34" s="615">
        <v>1.429</v>
      </c>
      <c r="F34" s="615">
        <v>0.814</v>
      </c>
      <c r="G34" s="615">
        <v>0.547</v>
      </c>
      <c r="H34" s="615">
        <v>0.566</v>
      </c>
      <c r="I34" s="615">
        <v>0.59</v>
      </c>
      <c r="J34" s="615">
        <v>0.595</v>
      </c>
      <c r="K34" s="615">
        <v>0.613</v>
      </c>
      <c r="L34" s="615">
        <v>0.616</v>
      </c>
      <c r="M34" s="615">
        <v>0.645</v>
      </c>
      <c r="N34" s="615">
        <v>0.623</v>
      </c>
      <c r="O34" s="615">
        <v>0.705</v>
      </c>
      <c r="P34" s="615">
        <v>0.715</v>
      </c>
      <c r="Q34" s="615">
        <v>0.749</v>
      </c>
      <c r="R34" s="615">
        <v>0.777</v>
      </c>
      <c r="S34" s="615">
        <v>0.695</v>
      </c>
      <c r="T34" s="615">
        <v>0.716</v>
      </c>
      <c r="U34" s="615">
        <v>0.724</v>
      </c>
      <c r="V34" s="615">
        <v>0.74</v>
      </c>
      <c r="W34" s="615">
        <v>0.765</v>
      </c>
      <c r="X34" s="615">
        <v>0.773</v>
      </c>
      <c r="Y34" s="615">
        <v>0.729</v>
      </c>
      <c r="Z34" s="615">
        <v>0.689</v>
      </c>
      <c r="AA34" s="615">
        <v>0.659</v>
      </c>
      <c r="AB34" s="615">
        <v>0.679</v>
      </c>
      <c r="AC34" s="615">
        <v>0.62</v>
      </c>
      <c r="AD34" s="615">
        <v>0.628</v>
      </c>
      <c r="AE34" s="802">
        <v>83.87096774193549</v>
      </c>
      <c r="AF34" s="802">
        <v>98.29172141918528</v>
      </c>
      <c r="AG34" s="802">
        <v>98.5</v>
      </c>
      <c r="AH34" s="803">
        <v>94.55571227080395</v>
      </c>
      <c r="AI34" s="640">
        <f t="shared" si="2"/>
        <v>1.2903225806451672</v>
      </c>
      <c r="AJ34" s="598" t="s">
        <v>83</v>
      </c>
      <c r="AK34" s="298">
        <v>2.062874</v>
      </c>
      <c r="AL34" s="315">
        <f t="shared" si="0"/>
        <v>304.4296452425112</v>
      </c>
    </row>
    <row r="35" spans="1:38" ht="12.75" customHeight="1">
      <c r="A35" s="597"/>
      <c r="B35" s="610" t="s">
        <v>85</v>
      </c>
      <c r="C35" s="630"/>
      <c r="D35" s="630"/>
      <c r="E35" s="622">
        <v>6.381</v>
      </c>
      <c r="F35" s="622">
        <v>6.002</v>
      </c>
      <c r="G35" s="622">
        <v>5.453</v>
      </c>
      <c r="H35" s="622">
        <v>4.569</v>
      </c>
      <c r="I35" s="622">
        <v>4.548</v>
      </c>
      <c r="J35" s="622">
        <v>4.202</v>
      </c>
      <c r="K35" s="622">
        <v>3.769</v>
      </c>
      <c r="L35" s="622">
        <v>3.095</v>
      </c>
      <c r="M35" s="622">
        <v>3.092</v>
      </c>
      <c r="N35" s="622">
        <v>2.968</v>
      </c>
      <c r="O35" s="622">
        <v>2.87</v>
      </c>
      <c r="P35" s="622">
        <v>2.805</v>
      </c>
      <c r="Q35" s="622">
        <v>2.682</v>
      </c>
      <c r="R35" s="622">
        <v>2.316</v>
      </c>
      <c r="S35" s="622">
        <v>2.228</v>
      </c>
      <c r="T35" s="622">
        <v>2.182</v>
      </c>
      <c r="U35" s="622">
        <v>2.213</v>
      </c>
      <c r="V35" s="622">
        <v>2.165</v>
      </c>
      <c r="W35" s="622">
        <v>2.296</v>
      </c>
      <c r="X35" s="622">
        <v>2.264</v>
      </c>
      <c r="Y35" s="622">
        <v>2.309</v>
      </c>
      <c r="Z35" s="622">
        <v>2.431</v>
      </c>
      <c r="AA35" s="622">
        <v>2.459</v>
      </c>
      <c r="AB35" s="622">
        <v>2.485</v>
      </c>
      <c r="AC35" s="622">
        <v>2.583</v>
      </c>
      <c r="AD35" s="622">
        <v>3.411</v>
      </c>
      <c r="AE35" s="802">
        <v>92.28855721393035</v>
      </c>
      <c r="AF35" s="802">
        <v>90.21469859620149</v>
      </c>
      <c r="AG35" s="802">
        <v>91</v>
      </c>
      <c r="AH35" s="803">
        <v>99.7</v>
      </c>
      <c r="AI35" s="632">
        <f t="shared" si="2"/>
        <v>32.05574912891984</v>
      </c>
      <c r="AJ35" s="610" t="s">
        <v>85</v>
      </c>
      <c r="AK35" s="298">
        <v>5.421349</v>
      </c>
      <c r="AL35" s="315">
        <f t="shared" si="0"/>
        <v>629.1791950675007</v>
      </c>
    </row>
    <row r="36" spans="1:38" ht="12.75" customHeight="1" thickBot="1">
      <c r="A36" s="597"/>
      <c r="B36" s="604" t="s">
        <v>13</v>
      </c>
      <c r="C36" s="806">
        <v>30.6</v>
      </c>
      <c r="D36" s="806">
        <v>30.5</v>
      </c>
      <c r="E36" s="807">
        <v>33.4</v>
      </c>
      <c r="F36" s="650">
        <v>32.7</v>
      </c>
      <c r="G36" s="650">
        <v>31.9</v>
      </c>
      <c r="H36" s="650">
        <v>30.6</v>
      </c>
      <c r="I36" s="650">
        <v>28.9</v>
      </c>
      <c r="J36" s="650">
        <f>30.039+0.2317</f>
        <v>30.2707</v>
      </c>
      <c r="K36" s="650">
        <f>32.135+0.2128</f>
        <v>32.3478</v>
      </c>
      <c r="L36" s="650">
        <f>34.66+0.2256</f>
        <v>34.8856</v>
      </c>
      <c r="M36" s="650">
        <f>36.28+0.2172</f>
        <v>36.4972</v>
      </c>
      <c r="N36" s="650">
        <f>38.472+0.2217</f>
        <v>38.6937</v>
      </c>
      <c r="O36" s="650">
        <f>38.179+0.2271</f>
        <v>38.4061</v>
      </c>
      <c r="P36" s="650">
        <f>39.141+0.2397</f>
        <v>39.3807</v>
      </c>
      <c r="Q36" s="650">
        <f>39.687+0.2363</f>
        <v>39.9233</v>
      </c>
      <c r="R36" s="650">
        <f>40.931+0.233</f>
        <v>41.163999999999994</v>
      </c>
      <c r="S36" s="650">
        <v>43.474</v>
      </c>
      <c r="T36" s="650">
        <v>44.642</v>
      </c>
      <c r="U36" s="650">
        <v>47.297</v>
      </c>
      <c r="V36" s="650">
        <v>50.474</v>
      </c>
      <c r="W36" s="650">
        <v>53.002</v>
      </c>
      <c r="X36" s="650">
        <v>52.765</v>
      </c>
      <c r="Y36" s="650">
        <v>55.831</v>
      </c>
      <c r="Z36" s="650">
        <v>58.462</v>
      </c>
      <c r="AA36" s="650">
        <v>60.783</v>
      </c>
      <c r="AB36" s="650">
        <v>61.95</v>
      </c>
      <c r="AC36" s="650">
        <v>64.711</v>
      </c>
      <c r="AD36" s="650">
        <v>66.399</v>
      </c>
      <c r="AE36" s="808">
        <v>96.1894919869429</v>
      </c>
      <c r="AF36" s="808">
        <v>95.48387096774194</v>
      </c>
      <c r="AG36" s="808">
        <v>96.1</v>
      </c>
      <c r="AH36" s="809">
        <v>96.90756098301893</v>
      </c>
      <c r="AI36" s="667">
        <f t="shared" si="2"/>
        <v>2.6085209624329764</v>
      </c>
      <c r="AJ36" s="604" t="s">
        <v>13</v>
      </c>
      <c r="AK36" s="298">
        <v>64.767115</v>
      </c>
      <c r="AL36" s="315">
        <f t="shared" si="0"/>
        <v>1025.1961971750632</v>
      </c>
    </row>
    <row r="37" spans="1:36" ht="12.75" customHeight="1">
      <c r="A37" s="597"/>
      <c r="B37" s="610" t="s">
        <v>289</v>
      </c>
      <c r="C37" s="632">
        <v>0.253</v>
      </c>
      <c r="D37" s="632">
        <v>0.369</v>
      </c>
      <c r="E37" s="622">
        <v>0.779</v>
      </c>
      <c r="F37" s="622">
        <v>0.318</v>
      </c>
      <c r="G37" s="622">
        <v>0.191</v>
      </c>
      <c r="H37" s="622">
        <v>0.223</v>
      </c>
      <c r="I37" s="622">
        <v>0.215</v>
      </c>
      <c r="J37" s="622">
        <v>0.197</v>
      </c>
      <c r="K37" s="622">
        <v>0.168</v>
      </c>
      <c r="L37" s="622">
        <v>0.095</v>
      </c>
      <c r="M37" s="622">
        <v>0.116</v>
      </c>
      <c r="N37" s="622">
        <v>0.121</v>
      </c>
      <c r="O37" s="622">
        <v>0.125</v>
      </c>
      <c r="P37" s="622">
        <v>0.138</v>
      </c>
      <c r="Q37" s="622">
        <v>0.123</v>
      </c>
      <c r="R37" s="622">
        <v>0.105</v>
      </c>
      <c r="S37" s="622">
        <v>0.089</v>
      </c>
      <c r="T37" s="622">
        <v>0.073</v>
      </c>
      <c r="U37" s="622">
        <v>0.08</v>
      </c>
      <c r="V37" s="622">
        <v>0.051</v>
      </c>
      <c r="W37" s="622">
        <v>0.041</v>
      </c>
      <c r="X37" s="622">
        <v>0.032</v>
      </c>
      <c r="Y37" s="622">
        <v>0.019</v>
      </c>
      <c r="Z37" s="622">
        <v>0.018</v>
      </c>
      <c r="AA37" s="622">
        <v>0.016</v>
      </c>
      <c r="AB37" s="622">
        <v>0.012</v>
      </c>
      <c r="AC37" s="622">
        <v>0.008</v>
      </c>
      <c r="AD37" s="622">
        <v>0.007</v>
      </c>
      <c r="AE37" s="801"/>
      <c r="AF37" s="802"/>
      <c r="AG37" s="802"/>
      <c r="AH37" s="803"/>
      <c r="AI37" s="632">
        <f t="shared" si="2"/>
        <v>-12.5</v>
      </c>
      <c r="AJ37" s="610" t="s">
        <v>289</v>
      </c>
    </row>
    <row r="38" spans="1:36" ht="12.75" customHeight="1">
      <c r="A38" s="597"/>
      <c r="B38" s="598" t="s">
        <v>235</v>
      </c>
      <c r="C38" s="614"/>
      <c r="D38" s="614"/>
      <c r="E38" s="615"/>
      <c r="F38" s="615"/>
      <c r="G38" s="615"/>
      <c r="H38" s="615"/>
      <c r="I38" s="615"/>
      <c r="J38" s="615"/>
      <c r="K38" s="615"/>
      <c r="L38" s="615"/>
      <c r="M38" s="615"/>
      <c r="N38" s="615"/>
      <c r="O38" s="615"/>
      <c r="P38" s="615"/>
      <c r="Q38" s="615"/>
      <c r="R38" s="615"/>
      <c r="S38" s="615"/>
      <c r="T38" s="615"/>
      <c r="U38" s="615"/>
      <c r="V38" s="615"/>
      <c r="W38" s="615"/>
      <c r="X38" s="615"/>
      <c r="Y38" s="615">
        <v>0.09066</v>
      </c>
      <c r="Z38" s="615">
        <v>0.0651</v>
      </c>
      <c r="AA38" s="615">
        <v>0.062</v>
      </c>
      <c r="AB38" s="615">
        <v>0.073</v>
      </c>
      <c r="AC38" s="615">
        <v>0.076</v>
      </c>
      <c r="AD38" s="615">
        <v>0.081</v>
      </c>
      <c r="AE38" s="810"/>
      <c r="AF38" s="810"/>
      <c r="AG38" s="810"/>
      <c r="AH38" s="811"/>
      <c r="AI38" s="640">
        <f t="shared" si="2"/>
        <v>6.578947368421069</v>
      </c>
      <c r="AJ38" s="598" t="s">
        <v>235</v>
      </c>
    </row>
    <row r="39" spans="1:36" s="627" customFormat="1" ht="12.75" customHeight="1">
      <c r="A39" s="619"/>
      <c r="B39" s="610" t="s">
        <v>149</v>
      </c>
      <c r="C39" s="620"/>
      <c r="D39" s="620"/>
      <c r="E39" s="621"/>
      <c r="F39" s="622"/>
      <c r="G39" s="622"/>
      <c r="H39" s="622"/>
      <c r="I39" s="622"/>
      <c r="J39" s="623">
        <v>0.1</v>
      </c>
      <c r="K39" s="623">
        <v>0.1</v>
      </c>
      <c r="L39" s="623">
        <v>0.1</v>
      </c>
      <c r="M39" s="623">
        <v>0.1</v>
      </c>
      <c r="N39" s="623">
        <v>0.1</v>
      </c>
      <c r="O39" s="623">
        <v>0.1</v>
      </c>
      <c r="P39" s="622">
        <v>0.133</v>
      </c>
      <c r="Q39" s="622">
        <v>0.098</v>
      </c>
      <c r="R39" s="622">
        <v>0.092</v>
      </c>
      <c r="S39" s="622">
        <v>0.094</v>
      </c>
      <c r="T39" s="622">
        <v>0.094</v>
      </c>
      <c r="U39" s="622">
        <v>0.105</v>
      </c>
      <c r="V39" s="622">
        <v>0.109</v>
      </c>
      <c r="W39" s="622">
        <v>0.148</v>
      </c>
      <c r="X39" s="622">
        <v>0.154</v>
      </c>
      <c r="Y39" s="622">
        <f>0.155</f>
        <v>0.155</v>
      </c>
      <c r="Z39" s="622">
        <f>0.145</f>
        <v>0.145</v>
      </c>
      <c r="AA39" s="622">
        <f>0.099</f>
        <v>0.099</v>
      </c>
      <c r="AB39" s="622">
        <v>0.08</v>
      </c>
      <c r="AC39" s="622">
        <v>0.08</v>
      </c>
      <c r="AD39" s="622">
        <v>0.177</v>
      </c>
      <c r="AE39" s="810"/>
      <c r="AF39" s="810"/>
      <c r="AG39" s="810"/>
      <c r="AH39" s="811"/>
      <c r="AI39" s="632">
        <f t="shared" si="2"/>
        <v>121.25</v>
      </c>
      <c r="AJ39" s="610" t="s">
        <v>149</v>
      </c>
    </row>
    <row r="40" spans="1:36" s="627" customFormat="1" ht="12.75" customHeight="1">
      <c r="A40" s="619"/>
      <c r="B40" s="598" t="s">
        <v>236</v>
      </c>
      <c r="C40" s="720">
        <v>3.671</v>
      </c>
      <c r="D40" s="720">
        <v>3.352</v>
      </c>
      <c r="E40" s="721">
        <v>4.452</v>
      </c>
      <c r="F40" s="615">
        <v>2.675</v>
      </c>
      <c r="G40" s="615">
        <v>2.544</v>
      </c>
      <c r="H40" s="615">
        <v>3.076</v>
      </c>
      <c r="I40" s="615">
        <v>2.299</v>
      </c>
      <c r="J40" s="616">
        <v>2.326</v>
      </c>
      <c r="K40" s="616">
        <v>1.415</v>
      </c>
      <c r="L40" s="616">
        <v>1.304</v>
      </c>
      <c r="M40" s="616">
        <v>1.368</v>
      </c>
      <c r="N40" s="616">
        <v>0.789</v>
      </c>
      <c r="O40" s="616">
        <v>1.236</v>
      </c>
      <c r="P40" s="615">
        <v>1.047</v>
      </c>
      <c r="Q40" s="615">
        <v>0.954</v>
      </c>
      <c r="R40" s="615">
        <v>0.809</v>
      </c>
      <c r="S40" s="615">
        <v>0.821</v>
      </c>
      <c r="T40" s="615">
        <v>0.713</v>
      </c>
      <c r="U40" s="615">
        <v>0.684</v>
      </c>
      <c r="V40" s="615">
        <v>0.687</v>
      </c>
      <c r="W40" s="615">
        <v>0.583</v>
      </c>
      <c r="X40" s="615">
        <v>0.522</v>
      </c>
      <c r="Y40" s="615">
        <v>0.522</v>
      </c>
      <c r="Z40" s="615">
        <v>0.541</v>
      </c>
      <c r="AA40" s="615">
        <v>0.54</v>
      </c>
      <c r="AB40" s="615">
        <v>0.612</v>
      </c>
      <c r="AC40" s="615">
        <v>0.453</v>
      </c>
      <c r="AD40" s="615">
        <v>0.509</v>
      </c>
      <c r="AE40" s="810"/>
      <c r="AF40" s="810"/>
      <c r="AG40" s="810"/>
      <c r="AH40" s="811"/>
      <c r="AI40" s="640">
        <f t="shared" si="2"/>
        <v>12.362030905077262</v>
      </c>
      <c r="AJ40" s="598" t="s">
        <v>236</v>
      </c>
    </row>
    <row r="41" spans="1:36" ht="12.75" customHeight="1">
      <c r="A41" s="597"/>
      <c r="B41" s="657" t="s">
        <v>150</v>
      </c>
      <c r="C41" s="630">
        <v>5.561</v>
      </c>
      <c r="D41" s="630">
        <v>6.011</v>
      </c>
      <c r="E41" s="622">
        <v>6.41</v>
      </c>
      <c r="F41" s="622">
        <v>6.048</v>
      </c>
      <c r="G41" s="622">
        <v>6.259</v>
      </c>
      <c r="H41" s="622">
        <v>7.147</v>
      </c>
      <c r="I41" s="622">
        <v>6.335</v>
      </c>
      <c r="J41" s="622">
        <v>5.797</v>
      </c>
      <c r="K41" s="622">
        <v>5.229</v>
      </c>
      <c r="L41" s="622">
        <v>5.84</v>
      </c>
      <c r="M41" s="622">
        <v>6.16</v>
      </c>
      <c r="N41" s="622">
        <v>6.146</v>
      </c>
      <c r="O41" s="622">
        <v>5.832</v>
      </c>
      <c r="P41" s="622">
        <v>5.568</v>
      </c>
      <c r="Q41" s="622">
        <v>5.204</v>
      </c>
      <c r="R41" s="622">
        <v>5.878</v>
      </c>
      <c r="S41" s="622">
        <v>5.237</v>
      </c>
      <c r="T41" s="622">
        <v>5.036</v>
      </c>
      <c r="U41" s="622">
        <v>5.277</v>
      </c>
      <c r="V41" s="622">
        <v>5.553</v>
      </c>
      <c r="W41" s="622">
        <v>5.097</v>
      </c>
      <c r="X41" s="622">
        <v>5.374</v>
      </c>
      <c r="Y41" s="622">
        <v>5.491</v>
      </c>
      <c r="Z41" s="622">
        <f>5.882</f>
        <v>5.882</v>
      </c>
      <c r="AA41" s="622">
        <v>4.598</v>
      </c>
      <c r="AB41" s="622">
        <v>3.775</v>
      </c>
      <c r="AC41" s="622">
        <v>4.393</v>
      </c>
      <c r="AD41" s="622">
        <v>4.828</v>
      </c>
      <c r="AE41" s="810"/>
      <c r="AF41" s="810"/>
      <c r="AG41" s="810"/>
      <c r="AH41" s="811"/>
      <c r="AI41" s="662">
        <f t="shared" si="2"/>
        <v>9.902117004325078</v>
      </c>
      <c r="AJ41" s="657" t="s">
        <v>150</v>
      </c>
    </row>
    <row r="42" spans="1:36" s="627" customFormat="1" ht="12.75" customHeight="1">
      <c r="A42" s="619"/>
      <c r="B42" s="598" t="s">
        <v>151</v>
      </c>
      <c r="C42" s="763" t="s">
        <v>146</v>
      </c>
      <c r="D42" s="763" t="s">
        <v>146</v>
      </c>
      <c r="E42" s="764" t="s">
        <v>146</v>
      </c>
      <c r="F42" s="764" t="s">
        <v>146</v>
      </c>
      <c r="G42" s="764" t="s">
        <v>146</v>
      </c>
      <c r="H42" s="764" t="s">
        <v>146</v>
      </c>
      <c r="I42" s="764" t="s">
        <v>146</v>
      </c>
      <c r="J42" s="764" t="s">
        <v>146</v>
      </c>
      <c r="K42" s="764" t="s">
        <v>146</v>
      </c>
      <c r="L42" s="764" t="s">
        <v>146</v>
      </c>
      <c r="M42" s="764" t="s">
        <v>146</v>
      </c>
      <c r="N42" s="764" t="s">
        <v>146</v>
      </c>
      <c r="O42" s="764" t="s">
        <v>146</v>
      </c>
      <c r="P42" s="764" t="s">
        <v>146</v>
      </c>
      <c r="Q42" s="764" t="s">
        <v>146</v>
      </c>
      <c r="R42" s="764" t="s">
        <v>146</v>
      </c>
      <c r="S42" s="764" t="s">
        <v>146</v>
      </c>
      <c r="T42" s="764" t="s">
        <v>146</v>
      </c>
      <c r="U42" s="764" t="s">
        <v>146</v>
      </c>
      <c r="V42" s="764" t="s">
        <v>146</v>
      </c>
      <c r="W42" s="764" t="s">
        <v>146</v>
      </c>
      <c r="X42" s="764" t="s">
        <v>146</v>
      </c>
      <c r="Y42" s="764" t="s">
        <v>146</v>
      </c>
      <c r="Z42" s="764" t="s">
        <v>146</v>
      </c>
      <c r="AA42" s="764" t="s">
        <v>146</v>
      </c>
      <c r="AB42" s="764" t="s">
        <v>146</v>
      </c>
      <c r="AC42" s="764" t="s">
        <v>146</v>
      </c>
      <c r="AD42" s="764" t="s">
        <v>146</v>
      </c>
      <c r="AE42" s="801" t="s">
        <v>146</v>
      </c>
      <c r="AF42" s="801" t="s">
        <v>146</v>
      </c>
      <c r="AG42" s="801" t="s">
        <v>146</v>
      </c>
      <c r="AH42" s="812" t="s">
        <v>146</v>
      </c>
      <c r="AI42" s="765" t="s">
        <v>146</v>
      </c>
      <c r="AJ42" s="598" t="s">
        <v>151</v>
      </c>
    </row>
    <row r="43" spans="1:36" ht="12.75" customHeight="1">
      <c r="A43" s="597"/>
      <c r="B43" s="610" t="s">
        <v>152</v>
      </c>
      <c r="C43" s="630">
        <v>1.86</v>
      </c>
      <c r="D43" s="630">
        <v>2.394</v>
      </c>
      <c r="E43" s="622">
        <v>2.104</v>
      </c>
      <c r="F43" s="622">
        <v>2.15</v>
      </c>
      <c r="G43" s="622">
        <v>2.256</v>
      </c>
      <c r="H43" s="622">
        <v>2.316</v>
      </c>
      <c r="I43" s="622">
        <v>2.398</v>
      </c>
      <c r="J43" s="622">
        <v>2.381</v>
      </c>
      <c r="K43" s="622">
        <v>2.449</v>
      </c>
      <c r="L43" s="622">
        <v>2.561</v>
      </c>
      <c r="M43" s="622">
        <v>2.59</v>
      </c>
      <c r="N43" s="622">
        <v>2.674</v>
      </c>
      <c r="O43" s="622">
        <v>2.635</v>
      </c>
      <c r="P43" s="622">
        <v>2.677</v>
      </c>
      <c r="Q43" s="622">
        <v>2.477</v>
      </c>
      <c r="R43" s="622">
        <v>2.381</v>
      </c>
      <c r="S43" s="622">
        <v>2.62</v>
      </c>
      <c r="T43" s="622">
        <v>2.723</v>
      </c>
      <c r="U43" s="622">
        <v>2.833</v>
      </c>
      <c r="V43" s="622">
        <v>2.958</v>
      </c>
      <c r="W43" s="622">
        <v>3.123</v>
      </c>
      <c r="X43" s="622">
        <v>3.08</v>
      </c>
      <c r="Y43" s="622">
        <v>3.186</v>
      </c>
      <c r="Z43" s="622">
        <v>3.076</v>
      </c>
      <c r="AA43" s="622">
        <v>3.092</v>
      </c>
      <c r="AB43" s="622">
        <v>3.26</v>
      </c>
      <c r="AC43" s="622">
        <v>3.44</v>
      </c>
      <c r="AD43" s="622">
        <v>3.555</v>
      </c>
      <c r="AE43" s="802">
        <v>74.14116177389131</v>
      </c>
      <c r="AF43" s="802">
        <v>74.57783236106846</v>
      </c>
      <c r="AG43" s="802">
        <v>74.4</v>
      </c>
      <c r="AH43" s="803">
        <v>44.872513309050156</v>
      </c>
      <c r="AI43" s="632">
        <f>AD43/AC43*100-100</f>
        <v>3.343023255813975</v>
      </c>
      <c r="AJ43" s="610" t="s">
        <v>152</v>
      </c>
    </row>
    <row r="44" spans="1:36" s="627" customFormat="1" ht="12.75" customHeight="1">
      <c r="A44" s="619"/>
      <c r="B44" s="604" t="s">
        <v>153</v>
      </c>
      <c r="C44" s="666">
        <v>9.339</v>
      </c>
      <c r="D44" s="666">
        <v>9.964</v>
      </c>
      <c r="E44" s="650">
        <v>12.68</v>
      </c>
      <c r="F44" s="650">
        <v>13.83</v>
      </c>
      <c r="G44" s="650">
        <v>13.21</v>
      </c>
      <c r="H44" s="650">
        <v>13.38</v>
      </c>
      <c r="I44" s="650">
        <v>13.84</v>
      </c>
      <c r="J44" s="650">
        <v>11.71</v>
      </c>
      <c r="K44" s="650">
        <v>11.89</v>
      </c>
      <c r="L44" s="650">
        <v>12.05</v>
      </c>
      <c r="M44" s="650">
        <v>12.15</v>
      </c>
      <c r="N44" s="650">
        <v>12.5</v>
      </c>
      <c r="O44" s="650">
        <v>12.62</v>
      </c>
      <c r="P44" s="650">
        <v>13.301</v>
      </c>
      <c r="Q44" s="650">
        <v>14.147</v>
      </c>
      <c r="R44" s="650">
        <v>14.509</v>
      </c>
      <c r="S44" s="650">
        <v>14.914</v>
      </c>
      <c r="T44" s="650">
        <v>16.144</v>
      </c>
      <c r="U44" s="650">
        <v>16.578</v>
      </c>
      <c r="V44" s="650">
        <v>17.434</v>
      </c>
      <c r="W44" s="650">
        <v>17.699</v>
      </c>
      <c r="X44" s="650">
        <v>18.497</v>
      </c>
      <c r="Y44" s="650">
        <v>19.093</v>
      </c>
      <c r="Z44" s="650">
        <v>19.387</v>
      </c>
      <c r="AA44" s="650">
        <v>19.18</v>
      </c>
      <c r="AB44" s="650">
        <v>19.368</v>
      </c>
      <c r="AC44" s="650">
        <v>19.934</v>
      </c>
      <c r="AD44" s="650">
        <v>20.311</v>
      </c>
      <c r="AE44" s="813"/>
      <c r="AF44" s="813"/>
      <c r="AG44" s="813"/>
      <c r="AH44" s="814"/>
      <c r="AI44" s="667">
        <f>AD44/AC44*100-100</f>
        <v>1.8912410956155128</v>
      </c>
      <c r="AJ44" s="604" t="s">
        <v>153</v>
      </c>
    </row>
    <row r="45" spans="2:36" ht="18.75" customHeight="1">
      <c r="B45" s="1275" t="s">
        <v>344</v>
      </c>
      <c r="C45" s="1275"/>
      <c r="D45" s="1275"/>
      <c r="E45" s="1275"/>
      <c r="F45" s="1275"/>
      <c r="G45" s="1275"/>
      <c r="H45" s="1275"/>
      <c r="I45" s="1275"/>
      <c r="J45" s="1275"/>
      <c r="K45" s="1275"/>
      <c r="L45" s="1275"/>
      <c r="M45" s="1275"/>
      <c r="N45" s="1275"/>
      <c r="O45" s="1275"/>
      <c r="P45" s="1275"/>
      <c r="Q45" s="1275"/>
      <c r="R45" s="1275"/>
      <c r="S45" s="1275"/>
      <c r="T45" s="1275"/>
      <c r="U45" s="1275"/>
      <c r="V45" s="1275"/>
      <c r="W45" s="1275"/>
      <c r="X45" s="1275"/>
      <c r="Y45" s="1275"/>
      <c r="Z45" s="1275"/>
      <c r="AA45" s="1275"/>
      <c r="AB45" s="1275"/>
      <c r="AC45" s="1275"/>
      <c r="AD45" s="1275"/>
      <c r="AE45" s="1275"/>
      <c r="AF45" s="1275"/>
      <c r="AG45" s="1275"/>
      <c r="AH45" s="1275"/>
      <c r="AI45" s="1275"/>
      <c r="AJ45" s="1275"/>
    </row>
    <row r="46" spans="2:36" ht="15.75" customHeight="1">
      <c r="B46" s="816" t="s">
        <v>345</v>
      </c>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5"/>
      <c r="AB46" s="815"/>
      <c r="AC46" s="815"/>
      <c r="AD46" s="815"/>
      <c r="AE46" s="815"/>
      <c r="AF46" s="815"/>
      <c r="AG46" s="815"/>
      <c r="AH46" s="815"/>
      <c r="AI46" s="815"/>
      <c r="AJ46" s="815"/>
    </row>
    <row r="47" ht="11.25">
      <c r="B47" s="726" t="s">
        <v>319</v>
      </c>
    </row>
    <row r="50" spans="21:30" ht="20.25">
      <c r="U50" s="817"/>
      <c r="V50" s="817"/>
      <c r="W50" s="817"/>
      <c r="X50" s="818"/>
      <c r="Y50" s="818"/>
      <c r="Z50" s="818"/>
      <c r="AA50" s="818"/>
      <c r="AB50" s="818"/>
      <c r="AC50" s="818"/>
      <c r="AD50" s="612"/>
    </row>
    <row r="51" ht="11.25">
      <c r="AD51" s="612"/>
    </row>
    <row r="52" ht="11.25">
      <c r="AD52" s="612"/>
    </row>
    <row r="53" ht="11.25">
      <c r="AD53" s="612"/>
    </row>
    <row r="54" ht="11.25">
      <c r="AD54" s="612"/>
    </row>
    <row r="55" ht="11.25">
      <c r="AD55" s="612"/>
    </row>
    <row r="56" ht="11.25">
      <c r="AD56" s="612"/>
    </row>
    <row r="57" ht="11.25">
      <c r="AD57" s="612"/>
    </row>
    <row r="58" spans="30:31" ht="11.25">
      <c r="AD58" s="819"/>
      <c r="AE58" s="679"/>
    </row>
    <row r="59" spans="30:31" ht="11.25">
      <c r="AD59" s="819"/>
      <c r="AE59" s="679"/>
    </row>
    <row r="60" ht="11.25">
      <c r="AD60" s="612"/>
    </row>
    <row r="61" spans="30:31" ht="11.25">
      <c r="AD61" s="819"/>
      <c r="AE61" s="679"/>
    </row>
    <row r="62" ht="11.25">
      <c r="AD62" s="612"/>
    </row>
    <row r="63" ht="11.25">
      <c r="AD63" s="612"/>
    </row>
    <row r="64" ht="11.25">
      <c r="AD64" s="612"/>
    </row>
    <row r="65" ht="11.25">
      <c r="AD65" s="612"/>
    </row>
    <row r="66" ht="11.25">
      <c r="AD66" s="612"/>
    </row>
    <row r="67" ht="11.25">
      <c r="AD67" s="612"/>
    </row>
    <row r="68" ht="11.25">
      <c r="AD68" s="612"/>
    </row>
    <row r="69" ht="11.25">
      <c r="AD69" s="612"/>
    </row>
    <row r="70" spans="30:31" ht="11.25">
      <c r="AD70" s="819"/>
      <c r="AE70" s="679"/>
    </row>
    <row r="71" ht="11.25">
      <c r="AD71" s="612"/>
    </row>
    <row r="72" ht="11.25">
      <c r="AD72" s="612"/>
    </row>
    <row r="73" ht="11.25">
      <c r="AD73" s="612"/>
    </row>
    <row r="74" ht="11.25">
      <c r="AD74" s="612"/>
    </row>
    <row r="75" ht="11.25">
      <c r="AD75" s="612"/>
    </row>
    <row r="76" ht="11.25">
      <c r="AD76" s="612"/>
    </row>
    <row r="77" spans="30:31" ht="11.25">
      <c r="AD77" s="819"/>
      <c r="AE77" s="679"/>
    </row>
    <row r="78" ht="11.25">
      <c r="AD78" s="612"/>
    </row>
    <row r="79" ht="11.25">
      <c r="AD79" s="612"/>
    </row>
    <row r="80" ht="11.25">
      <c r="AD80" s="612"/>
    </row>
    <row r="81" ht="11.25">
      <c r="AD81" s="612"/>
    </row>
    <row r="82" ht="11.25">
      <c r="AD82" s="612"/>
    </row>
    <row r="83" ht="11.25">
      <c r="AD83" s="612"/>
    </row>
    <row r="84" ht="11.25">
      <c r="AD84" s="612"/>
    </row>
    <row r="85" ht="11.25">
      <c r="AD85" s="612"/>
    </row>
    <row r="86" ht="11.25">
      <c r="AD86" s="612"/>
    </row>
    <row r="87" ht="11.25">
      <c r="AD87" s="612"/>
    </row>
    <row r="88" ht="11.25">
      <c r="AD88" s="612"/>
    </row>
    <row r="89" ht="11.25">
      <c r="AD89" s="612"/>
    </row>
    <row r="90" ht="11.25">
      <c r="AD90" s="612"/>
    </row>
    <row r="91" ht="11.25">
      <c r="AD91" s="612"/>
    </row>
    <row r="92" ht="11.25">
      <c r="AD92" s="612"/>
    </row>
  </sheetData>
  <sheetProtection/>
  <mergeCells count="2">
    <mergeCell ref="B2:AJ2"/>
    <mergeCell ref="B45:AJ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H37"/>
  <sheetViews>
    <sheetView zoomScalePageLayoutView="0" workbookViewId="0" topLeftCell="P1">
      <selection activeCell="AG5" sqref="AG5:AG6"/>
    </sheetView>
  </sheetViews>
  <sheetFormatPr defaultColWidth="9.140625" defaultRowHeight="12.75"/>
  <cols>
    <col min="1" max="1" width="12.00390625" style="773" customWidth="1"/>
    <col min="2" max="29" width="9.140625" style="773" customWidth="1"/>
    <col min="30" max="30" width="13.140625" style="773" customWidth="1"/>
    <col min="31" max="31" width="9.140625" style="773" customWidth="1"/>
    <col min="32" max="32" width="6.28125" style="773" customWidth="1"/>
    <col min="33" max="33" width="9.140625" style="773" customWidth="1"/>
    <col min="34" max="34" width="5.8515625" style="773" customWidth="1"/>
    <col min="35" max="16384" width="9.140625" style="773" customWidth="1"/>
  </cols>
  <sheetData>
    <row r="1" ht="14.25" customHeight="1">
      <c r="AD1" s="574" t="s">
        <v>154</v>
      </c>
    </row>
    <row r="2" spans="1:30" ht="19.5" customHeight="1">
      <c r="A2" s="1276" t="s">
        <v>155</v>
      </c>
      <c r="B2" s="1276"/>
      <c r="C2" s="1276"/>
      <c r="D2" s="1276"/>
      <c r="E2" s="1276"/>
      <c r="F2" s="1276"/>
      <c r="G2" s="1276"/>
      <c r="H2" s="1276"/>
      <c r="I2" s="1276"/>
      <c r="J2" s="1276"/>
      <c r="K2" s="1276"/>
      <c r="L2" s="1276"/>
      <c r="M2" s="1276"/>
      <c r="N2" s="1276"/>
      <c r="O2" s="1276"/>
      <c r="P2" s="1276"/>
      <c r="Q2" s="1276"/>
      <c r="R2" s="1276"/>
      <c r="S2" s="1276"/>
      <c r="T2" s="1276"/>
      <c r="U2" s="1276"/>
      <c r="V2" s="1276"/>
      <c r="W2" s="1276"/>
      <c r="X2" s="1276"/>
      <c r="Y2" s="1276"/>
      <c r="Z2" s="1276"/>
      <c r="AA2" s="1276"/>
      <c r="AB2" s="1276"/>
      <c r="AC2" s="1276"/>
      <c r="AD2" s="1276"/>
    </row>
    <row r="3" spans="1:30" ht="19.5" customHeight="1">
      <c r="A3" s="1277" t="s">
        <v>156</v>
      </c>
      <c r="B3" s="1277"/>
      <c r="C3" s="1277"/>
      <c r="D3" s="1277"/>
      <c r="E3" s="1277"/>
      <c r="F3" s="1277"/>
      <c r="G3" s="1277"/>
      <c r="H3" s="1277"/>
      <c r="I3" s="1277"/>
      <c r="J3" s="1277"/>
      <c r="K3" s="1277"/>
      <c r="L3" s="1277"/>
      <c r="M3" s="1277"/>
      <c r="N3" s="1277"/>
      <c r="O3" s="1277"/>
      <c r="P3" s="1277"/>
      <c r="Q3" s="1277"/>
      <c r="R3" s="1277"/>
      <c r="S3" s="1277"/>
      <c r="T3" s="1277"/>
      <c r="U3" s="1277"/>
      <c r="V3" s="1277"/>
      <c r="W3" s="1277"/>
      <c r="X3" s="1277"/>
      <c r="Y3" s="1277"/>
      <c r="Z3" s="1277"/>
      <c r="AA3" s="1277"/>
      <c r="AB3" s="1277"/>
      <c r="AC3" s="1277"/>
      <c r="AD3" s="1277"/>
    </row>
    <row r="4" spans="1:33" ht="12.75">
      <c r="A4" s="1278">
        <v>2015</v>
      </c>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580" t="s">
        <v>357</v>
      </c>
      <c r="AG4" s="580" t="s">
        <v>358</v>
      </c>
    </row>
    <row r="5" spans="2:33" ht="13.5" customHeight="1">
      <c r="B5" s="836" t="s">
        <v>157</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8"/>
      <c r="AE5" s="280">
        <f>SUM(AE7:AE34)</f>
        <v>947.3413330000001</v>
      </c>
      <c r="AF5"/>
      <c r="AG5" s="863">
        <v>947.3413330000001</v>
      </c>
    </row>
    <row r="6" spans="1:33" ht="24" customHeight="1">
      <c r="A6" s="839" t="s">
        <v>158</v>
      </c>
      <c r="B6" s="840" t="s">
        <v>1</v>
      </c>
      <c r="C6" s="841" t="s">
        <v>103</v>
      </c>
      <c r="D6" s="841" t="s">
        <v>62</v>
      </c>
      <c r="E6" s="841" t="s">
        <v>2</v>
      </c>
      <c r="F6" s="841" t="s">
        <v>3</v>
      </c>
      <c r="G6" s="841" t="s">
        <v>65</v>
      </c>
      <c r="H6" s="841" t="s">
        <v>6</v>
      </c>
      <c r="I6" s="841" t="s">
        <v>159</v>
      </c>
      <c r="J6" s="841" t="s">
        <v>4</v>
      </c>
      <c r="K6" s="841" t="s">
        <v>5</v>
      </c>
      <c r="L6" s="841" t="s">
        <v>165</v>
      </c>
      <c r="M6" s="841" t="s">
        <v>7</v>
      </c>
      <c r="N6" s="841" t="s">
        <v>70</v>
      </c>
      <c r="O6" s="841" t="s">
        <v>74</v>
      </c>
      <c r="P6" s="841" t="s">
        <v>75</v>
      </c>
      <c r="Q6" s="841" t="s">
        <v>160</v>
      </c>
      <c r="R6" s="841" t="s">
        <v>79</v>
      </c>
      <c r="S6" s="841" t="s">
        <v>161</v>
      </c>
      <c r="T6" s="841" t="s">
        <v>162</v>
      </c>
      <c r="U6" s="841" t="s">
        <v>10</v>
      </c>
      <c r="V6" s="841" t="s">
        <v>82</v>
      </c>
      <c r="W6" s="841" t="s">
        <v>11</v>
      </c>
      <c r="X6" s="841" t="s">
        <v>104</v>
      </c>
      <c r="Y6" s="841" t="s">
        <v>84</v>
      </c>
      <c r="Z6" s="841" t="s">
        <v>163</v>
      </c>
      <c r="AA6" s="841" t="s">
        <v>27</v>
      </c>
      <c r="AB6" s="841" t="s">
        <v>12</v>
      </c>
      <c r="AC6" s="842" t="s">
        <v>164</v>
      </c>
      <c r="AD6" s="597"/>
      <c r="AE6" s="280">
        <f>AE26+AE7+AE11+AE10+AE14+AE15+AE32+AE16+AE13+AE18+AE22+AE25+AE28+AE33+AE34</f>
        <v>864.5041699999999</v>
      </c>
      <c r="AF6"/>
      <c r="AG6" s="863">
        <v>864.5041699999999</v>
      </c>
    </row>
    <row r="7" spans="1:34" ht="15" customHeight="1">
      <c r="A7" s="843" t="s">
        <v>1</v>
      </c>
      <c r="B7" s="844">
        <v>26.258</v>
      </c>
      <c r="C7" s="845">
        <v>184.838</v>
      </c>
      <c r="D7" s="845">
        <v>400.709</v>
      </c>
      <c r="E7" s="845">
        <v>579.417</v>
      </c>
      <c r="F7" s="845">
        <v>1716.742</v>
      </c>
      <c r="G7" s="845">
        <v>44.312</v>
      </c>
      <c r="H7" s="845">
        <v>541.248</v>
      </c>
      <c r="I7" s="845">
        <v>1026.367</v>
      </c>
      <c r="J7" s="845">
        <v>5433.032</v>
      </c>
      <c r="K7" s="845">
        <v>2173.61</v>
      </c>
      <c r="L7" s="845">
        <v>194.501</v>
      </c>
      <c r="M7" s="845">
        <v>3453.611</v>
      </c>
      <c r="N7" s="845">
        <v>48.662</v>
      </c>
      <c r="O7" s="845">
        <v>160.159</v>
      </c>
      <c r="P7" s="845">
        <v>103.05</v>
      </c>
      <c r="Q7" s="845">
        <v>0.798</v>
      </c>
      <c r="R7" s="845">
        <v>494.254</v>
      </c>
      <c r="S7" s="845">
        <v>101.528</v>
      </c>
      <c r="T7" s="845">
        <v>241.307</v>
      </c>
      <c r="U7" s="845">
        <v>421.863</v>
      </c>
      <c r="V7" s="845">
        <v>704.821</v>
      </c>
      <c r="W7" s="845">
        <v>1295.196</v>
      </c>
      <c r="X7" s="845">
        <v>485.726</v>
      </c>
      <c r="Y7" s="845">
        <v>103.246</v>
      </c>
      <c r="Z7" s="845">
        <v>59.077</v>
      </c>
      <c r="AA7" s="845">
        <v>186.595</v>
      </c>
      <c r="AB7" s="845">
        <v>488.081</v>
      </c>
      <c r="AC7" s="845">
        <v>1608.303</v>
      </c>
      <c r="AD7" s="846" t="s">
        <v>1</v>
      </c>
      <c r="AE7" s="280">
        <f>SUM(B7:AC7)/1000</f>
        <v>22.277310999999997</v>
      </c>
      <c r="AF7" s="102" t="s">
        <v>60</v>
      </c>
      <c r="AG7" s="863">
        <v>18.657633999999998</v>
      </c>
      <c r="AH7" s="773" t="s">
        <v>81</v>
      </c>
    </row>
    <row r="8" spans="1:34" ht="15" customHeight="1">
      <c r="A8" s="843" t="s">
        <v>103</v>
      </c>
      <c r="B8" s="847">
        <v>178.88</v>
      </c>
      <c r="C8" s="844">
        <v>161.769</v>
      </c>
      <c r="D8" s="847">
        <v>234.946</v>
      </c>
      <c r="E8" s="847">
        <v>74.84</v>
      </c>
      <c r="F8" s="847">
        <v>1404.615</v>
      </c>
      <c r="G8" s="847">
        <v>26.274</v>
      </c>
      <c r="H8" s="847">
        <v>30.244</v>
      </c>
      <c r="I8" s="847">
        <v>101.421</v>
      </c>
      <c r="J8" s="847">
        <v>282.671</v>
      </c>
      <c r="K8" s="847">
        <v>203.808</v>
      </c>
      <c r="L8" s="847">
        <v>0.456</v>
      </c>
      <c r="M8" s="847">
        <v>416.63</v>
      </c>
      <c r="N8" s="847">
        <v>79.151</v>
      </c>
      <c r="O8" s="847">
        <v>25.156</v>
      </c>
      <c r="P8" s="847">
        <v>29.448</v>
      </c>
      <c r="Q8" s="847">
        <v>21.884</v>
      </c>
      <c r="R8" s="847">
        <v>24.891</v>
      </c>
      <c r="S8" s="847">
        <v>37.679</v>
      </c>
      <c r="T8" s="847">
        <v>196.593</v>
      </c>
      <c r="U8" s="847">
        <v>414.489</v>
      </c>
      <c r="V8" s="847">
        <v>339.461</v>
      </c>
      <c r="W8" s="847">
        <v>0.479</v>
      </c>
      <c r="X8" s="847">
        <v>50.335</v>
      </c>
      <c r="Y8" s="847">
        <v>0.193</v>
      </c>
      <c r="Z8" s="847">
        <v>84.92</v>
      </c>
      <c r="AA8" s="847">
        <v>39.764</v>
      </c>
      <c r="AB8" s="847">
        <v>64.338</v>
      </c>
      <c r="AC8" s="847">
        <v>1067.707</v>
      </c>
      <c r="AD8" s="848" t="s">
        <v>103</v>
      </c>
      <c r="AE8" s="280">
        <f aca="true" t="shared" si="0" ref="AE8:AE34">SUM(B8:AC8)/1000</f>
        <v>5.5930420000000005</v>
      </c>
      <c r="AF8" s="102" t="s">
        <v>101</v>
      </c>
      <c r="AG8" s="863">
        <v>22.277310999999997</v>
      </c>
      <c r="AH8" s="773" t="s">
        <v>60</v>
      </c>
    </row>
    <row r="9" spans="1:34" ht="15" customHeight="1">
      <c r="A9" s="843" t="s">
        <v>62</v>
      </c>
      <c r="B9" s="845">
        <v>399.082</v>
      </c>
      <c r="C9" s="845">
        <v>235.935</v>
      </c>
      <c r="D9" s="844">
        <v>107.756</v>
      </c>
      <c r="E9" s="845">
        <v>223.605</v>
      </c>
      <c r="F9" s="845">
        <v>1140.848</v>
      </c>
      <c r="G9" s="845">
        <v>0.015</v>
      </c>
      <c r="H9" s="845">
        <v>198.975</v>
      </c>
      <c r="I9" s="845">
        <v>697.15</v>
      </c>
      <c r="J9" s="845">
        <v>699.123</v>
      </c>
      <c r="K9" s="845">
        <v>877.547</v>
      </c>
      <c r="L9" s="845">
        <v>58.742</v>
      </c>
      <c r="M9" s="845">
        <v>975.611</v>
      </c>
      <c r="N9" s="845">
        <v>22.358</v>
      </c>
      <c r="O9" s="845">
        <v>39.781</v>
      </c>
      <c r="P9" s="845">
        <v>1.731</v>
      </c>
      <c r="Q9" s="845">
        <v>0.056</v>
      </c>
      <c r="R9" s="845">
        <v>62.48</v>
      </c>
      <c r="S9" s="845">
        <v>14.067</v>
      </c>
      <c r="T9" s="845">
        <v>547.664</v>
      </c>
      <c r="U9" s="845">
        <v>151.006</v>
      </c>
      <c r="V9" s="845">
        <v>183.91</v>
      </c>
      <c r="W9" s="845">
        <v>107.816</v>
      </c>
      <c r="X9" s="845">
        <v>79.259</v>
      </c>
      <c r="Y9" s="845">
        <v>12.288</v>
      </c>
      <c r="Z9" s="845">
        <v>75.568</v>
      </c>
      <c r="AA9" s="845">
        <v>222.579</v>
      </c>
      <c r="AB9" s="845">
        <v>205.291</v>
      </c>
      <c r="AC9" s="845">
        <v>1744.453</v>
      </c>
      <c r="AD9" s="848" t="s">
        <v>62</v>
      </c>
      <c r="AE9" s="280">
        <f t="shared" si="0"/>
        <v>9.084695999999997</v>
      </c>
      <c r="AF9" s="102" t="s">
        <v>61</v>
      </c>
      <c r="AG9" s="863">
        <v>5.5930420000000005</v>
      </c>
      <c r="AH9" s="773" t="s">
        <v>101</v>
      </c>
    </row>
    <row r="10" spans="1:34" ht="15" customHeight="1">
      <c r="A10" s="843" t="s">
        <v>2</v>
      </c>
      <c r="B10" s="847">
        <v>579.406</v>
      </c>
      <c r="C10" s="847">
        <v>69.659</v>
      </c>
      <c r="D10" s="847">
        <v>222.624</v>
      </c>
      <c r="E10" s="844">
        <v>1924.778</v>
      </c>
      <c r="F10" s="847">
        <v>2921.08</v>
      </c>
      <c r="G10" s="847">
        <v>103.575</v>
      </c>
      <c r="H10" s="847">
        <v>315.701</v>
      </c>
      <c r="I10" s="847">
        <v>830.768</v>
      </c>
      <c r="J10" s="847">
        <v>2501.44</v>
      </c>
      <c r="K10" s="847">
        <v>1383.569</v>
      </c>
      <c r="L10" s="847">
        <v>130.884</v>
      </c>
      <c r="M10" s="847">
        <v>1357.573</v>
      </c>
      <c r="N10" s="847">
        <v>52.349</v>
      </c>
      <c r="O10" s="847">
        <v>178.112</v>
      </c>
      <c r="P10" s="847">
        <v>254.42</v>
      </c>
      <c r="Q10" s="847">
        <v>79.396</v>
      </c>
      <c r="R10" s="847">
        <v>192.635</v>
      </c>
      <c r="S10" s="847">
        <v>66.474</v>
      </c>
      <c r="T10" s="847">
        <v>1489.625</v>
      </c>
      <c r="U10" s="847">
        <v>366.878</v>
      </c>
      <c r="V10" s="847">
        <v>564.375</v>
      </c>
      <c r="W10" s="847">
        <v>250.871</v>
      </c>
      <c r="X10" s="847">
        <v>32.642</v>
      </c>
      <c r="Y10" s="847">
        <v>22.122</v>
      </c>
      <c r="Z10" s="847">
        <v>0.036</v>
      </c>
      <c r="AA10" s="847">
        <v>792.257</v>
      </c>
      <c r="AB10" s="847">
        <v>1885.225</v>
      </c>
      <c r="AC10" s="847">
        <v>3373.999</v>
      </c>
      <c r="AD10" s="848" t="s">
        <v>2</v>
      </c>
      <c r="AE10" s="280">
        <f t="shared" si="0"/>
        <v>21.942473</v>
      </c>
      <c r="AF10" s="102" t="s">
        <v>14</v>
      </c>
      <c r="AG10" s="863">
        <v>5.345100999999999</v>
      </c>
      <c r="AH10" s="773" t="s">
        <v>71</v>
      </c>
    </row>
    <row r="11" spans="1:34" ht="15" customHeight="1">
      <c r="A11" s="843" t="s">
        <v>3</v>
      </c>
      <c r="B11" s="845">
        <v>1700.53</v>
      </c>
      <c r="C11" s="845">
        <v>1425.953</v>
      </c>
      <c r="D11" s="845">
        <v>1104.29</v>
      </c>
      <c r="E11" s="845">
        <v>2906.71</v>
      </c>
      <c r="F11" s="844">
        <v>23156.911</v>
      </c>
      <c r="G11" s="845">
        <v>347.609</v>
      </c>
      <c r="H11" s="845">
        <v>1842.424</v>
      </c>
      <c r="I11" s="845">
        <v>5294.785</v>
      </c>
      <c r="J11" s="845">
        <v>24855.32</v>
      </c>
      <c r="K11" s="845">
        <v>7144.249</v>
      </c>
      <c r="L11" s="845">
        <v>1580.144</v>
      </c>
      <c r="M11" s="845">
        <v>12383.109</v>
      </c>
      <c r="N11" s="845">
        <v>244.149</v>
      </c>
      <c r="O11" s="845">
        <v>763.139</v>
      </c>
      <c r="P11" s="845">
        <v>410.833</v>
      </c>
      <c r="Q11" s="845">
        <v>371.639</v>
      </c>
      <c r="R11" s="845">
        <v>1503.038</v>
      </c>
      <c r="S11" s="845">
        <v>616.833</v>
      </c>
      <c r="T11" s="845">
        <v>4020.825</v>
      </c>
      <c r="U11" s="845">
        <v>6793.083</v>
      </c>
      <c r="V11" s="845">
        <v>3608.302</v>
      </c>
      <c r="W11" s="845">
        <v>3789.785</v>
      </c>
      <c r="X11" s="845">
        <v>1890.046</v>
      </c>
      <c r="Y11" s="845">
        <v>232.478</v>
      </c>
      <c r="Z11" s="845">
        <v>20.249</v>
      </c>
      <c r="AA11" s="845">
        <v>1693.188</v>
      </c>
      <c r="AB11" s="845">
        <v>3052.535</v>
      </c>
      <c r="AC11" s="845">
        <v>13301.965</v>
      </c>
      <c r="AD11" s="848" t="s">
        <v>3</v>
      </c>
      <c r="AE11" s="280">
        <f t="shared" si="0"/>
        <v>126.05412099999998</v>
      </c>
      <c r="AF11" s="102" t="s">
        <v>63</v>
      </c>
      <c r="AG11" s="863">
        <v>9.084695999999997</v>
      </c>
      <c r="AH11" s="773" t="s">
        <v>61</v>
      </c>
    </row>
    <row r="12" spans="1:34" ht="15" customHeight="1">
      <c r="A12" s="843" t="s">
        <v>65</v>
      </c>
      <c r="B12" s="847">
        <v>44.099</v>
      </c>
      <c r="C12" s="847">
        <v>26.531</v>
      </c>
      <c r="D12" s="847">
        <v>0</v>
      </c>
      <c r="E12" s="847">
        <v>103.332</v>
      </c>
      <c r="F12" s="847">
        <v>349.959</v>
      </c>
      <c r="G12" s="844">
        <v>19.559</v>
      </c>
      <c r="H12" s="847">
        <v>13.981</v>
      </c>
      <c r="I12" s="847">
        <v>35.289</v>
      </c>
      <c r="J12" s="847">
        <v>67.962</v>
      </c>
      <c r="K12" s="847">
        <v>58.374</v>
      </c>
      <c r="L12" s="847">
        <v>6.979</v>
      </c>
      <c r="M12" s="847">
        <v>67.516</v>
      </c>
      <c r="N12" s="847">
        <v>4.53</v>
      </c>
      <c r="O12" s="847">
        <v>185.366</v>
      </c>
      <c r="P12" s="847">
        <v>44.662</v>
      </c>
      <c r="Q12" s="847"/>
      <c r="R12" s="847"/>
      <c r="S12" s="847">
        <v>1.631</v>
      </c>
      <c r="T12" s="847">
        <v>80.313</v>
      </c>
      <c r="U12" s="847">
        <v>25.822</v>
      </c>
      <c r="V12" s="847">
        <v>36.157</v>
      </c>
      <c r="W12" s="847">
        <v>2.103</v>
      </c>
      <c r="X12" s="849"/>
      <c r="Y12" s="849">
        <v>0.172</v>
      </c>
      <c r="Z12" s="849">
        <v>0.077</v>
      </c>
      <c r="AA12" s="849">
        <v>212</v>
      </c>
      <c r="AB12" s="847">
        <v>106.469</v>
      </c>
      <c r="AC12" s="847">
        <v>148.541</v>
      </c>
      <c r="AD12" s="848" t="s">
        <v>65</v>
      </c>
      <c r="AE12" s="280">
        <f t="shared" si="0"/>
        <v>1.641424</v>
      </c>
      <c r="AF12" s="102" t="s">
        <v>64</v>
      </c>
      <c r="AG12" s="863">
        <v>126.05412099999998</v>
      </c>
      <c r="AH12" s="773" t="s">
        <v>63</v>
      </c>
    </row>
    <row r="13" spans="1:34" ht="15" customHeight="1">
      <c r="A13" s="843" t="s">
        <v>6</v>
      </c>
      <c r="B13" s="845">
        <v>539.481</v>
      </c>
      <c r="C13" s="845">
        <v>30.972</v>
      </c>
      <c r="D13" s="845">
        <v>198.82</v>
      </c>
      <c r="E13" s="845">
        <v>315.55</v>
      </c>
      <c r="F13" s="845">
        <v>1850.026</v>
      </c>
      <c r="G13" s="845">
        <v>13.949</v>
      </c>
      <c r="H13" s="844">
        <v>71.216</v>
      </c>
      <c r="I13" s="845">
        <v>89.866</v>
      </c>
      <c r="J13" s="845">
        <v>3425.328</v>
      </c>
      <c r="K13" s="845">
        <v>1904.435</v>
      </c>
      <c r="L13" s="845">
        <v>99.817</v>
      </c>
      <c r="M13" s="845">
        <v>1233.385</v>
      </c>
      <c r="O13" s="845">
        <v>127.798</v>
      </c>
      <c r="P13" s="845">
        <v>179.451</v>
      </c>
      <c r="Q13" s="845">
        <v>29.256</v>
      </c>
      <c r="R13" s="845">
        <v>195.45</v>
      </c>
      <c r="S13" s="845">
        <v>77.598</v>
      </c>
      <c r="T13" s="845">
        <v>905.807</v>
      </c>
      <c r="U13" s="845">
        <v>121.058</v>
      </c>
      <c r="V13" s="845">
        <v>976.803</v>
      </c>
      <c r="W13" s="845">
        <v>833.99</v>
      </c>
      <c r="X13" s="845">
        <v>131.249</v>
      </c>
      <c r="Z13" s="845">
        <v>127.121</v>
      </c>
      <c r="AA13" s="845">
        <v>61.827</v>
      </c>
      <c r="AB13" s="845">
        <v>85.287</v>
      </c>
      <c r="AC13" s="845">
        <v>11555.101</v>
      </c>
      <c r="AD13" s="848" t="s">
        <v>6</v>
      </c>
      <c r="AE13" s="280">
        <f t="shared" si="0"/>
        <v>25.180641</v>
      </c>
      <c r="AF13" s="102" t="s">
        <v>68</v>
      </c>
      <c r="AG13" s="863">
        <v>21.942473</v>
      </c>
      <c r="AH13" s="773" t="s">
        <v>14</v>
      </c>
    </row>
    <row r="14" spans="1:34" ht="15" customHeight="1">
      <c r="A14" s="843" t="s">
        <v>159</v>
      </c>
      <c r="B14" s="847">
        <v>1055.412</v>
      </c>
      <c r="C14" s="847">
        <v>103.393</v>
      </c>
      <c r="D14" s="847">
        <v>696.029</v>
      </c>
      <c r="E14" s="847">
        <v>835.626</v>
      </c>
      <c r="F14" s="847">
        <v>5308.68</v>
      </c>
      <c r="G14" s="847">
        <v>33.911</v>
      </c>
      <c r="H14" s="847">
        <v>89.128</v>
      </c>
      <c r="I14" s="844">
        <v>7482.006</v>
      </c>
      <c r="J14" s="847">
        <v>457.807</v>
      </c>
      <c r="K14" s="847">
        <v>2302.338</v>
      </c>
      <c r="L14" s="847">
        <v>25.901</v>
      </c>
      <c r="M14" s="847">
        <v>2940.453</v>
      </c>
      <c r="N14" s="847">
        <v>1336.341</v>
      </c>
      <c r="O14" s="847">
        <v>65.297</v>
      </c>
      <c r="P14" s="847">
        <v>92.293</v>
      </c>
      <c r="Q14" s="847">
        <v>60.159</v>
      </c>
      <c r="R14" s="847">
        <v>261.663</v>
      </c>
      <c r="S14" s="847">
        <v>30.2</v>
      </c>
      <c r="T14" s="847">
        <v>1493.861</v>
      </c>
      <c r="U14" s="847">
        <v>919.08</v>
      </c>
      <c r="V14" s="847">
        <v>1300.303</v>
      </c>
      <c r="W14" s="847">
        <v>2.556</v>
      </c>
      <c r="X14" s="847">
        <v>314.619</v>
      </c>
      <c r="Y14" s="847">
        <v>74.491</v>
      </c>
      <c r="Z14" s="847">
        <v>180.258</v>
      </c>
      <c r="AA14" s="847">
        <v>395.334</v>
      </c>
      <c r="AB14" s="847">
        <v>1069.464</v>
      </c>
      <c r="AC14" s="847">
        <v>6119.552</v>
      </c>
      <c r="AD14" s="848" t="s">
        <v>159</v>
      </c>
      <c r="AE14" s="280">
        <f t="shared" si="0"/>
        <v>35.04615500000001</v>
      </c>
      <c r="AF14" s="102" t="s">
        <v>15</v>
      </c>
      <c r="AG14" s="863">
        <v>1.641424</v>
      </c>
      <c r="AH14" s="773" t="s">
        <v>64</v>
      </c>
    </row>
    <row r="15" spans="1:34" ht="15" customHeight="1">
      <c r="A15" s="843" t="s">
        <v>4</v>
      </c>
      <c r="B15" s="845">
        <v>5445.93</v>
      </c>
      <c r="C15" s="845">
        <v>282.845</v>
      </c>
      <c r="D15" s="845">
        <v>699.996</v>
      </c>
      <c r="E15" s="845">
        <v>2523.342</v>
      </c>
      <c r="F15" s="845">
        <v>25150.625</v>
      </c>
      <c r="G15" s="845">
        <v>68.025</v>
      </c>
      <c r="H15" s="845">
        <v>3439.476</v>
      </c>
      <c r="I15" s="845">
        <v>461.331</v>
      </c>
      <c r="J15" s="844">
        <v>30881.113</v>
      </c>
      <c r="K15" s="845">
        <v>12234.258</v>
      </c>
      <c r="L15" s="845">
        <v>218.327</v>
      </c>
      <c r="M15" s="845">
        <v>11844.21</v>
      </c>
      <c r="N15" s="845">
        <v>6.523</v>
      </c>
      <c r="O15" s="845">
        <v>92.448</v>
      </c>
      <c r="P15" s="845">
        <v>227.911</v>
      </c>
      <c r="Q15" s="845">
        <v>351.095</v>
      </c>
      <c r="R15" s="845">
        <v>505.839</v>
      </c>
      <c r="S15" s="845">
        <v>140.429</v>
      </c>
      <c r="T15" s="845">
        <v>6308.426</v>
      </c>
      <c r="U15" s="845">
        <v>1484.158</v>
      </c>
      <c r="V15" s="845">
        <v>1688.14</v>
      </c>
      <c r="W15" s="845">
        <v>3207.628</v>
      </c>
      <c r="X15" s="845">
        <v>1185.878</v>
      </c>
      <c r="Y15" s="845">
        <v>1.527</v>
      </c>
      <c r="Z15" s="845">
        <v>146.143</v>
      </c>
      <c r="AA15" s="845">
        <v>1387.359</v>
      </c>
      <c r="AB15" s="845">
        <v>3070.749</v>
      </c>
      <c r="AC15" s="845">
        <v>35995.11</v>
      </c>
      <c r="AD15" s="848" t="s">
        <v>4</v>
      </c>
      <c r="AE15" s="280">
        <f t="shared" si="0"/>
        <v>149.048841</v>
      </c>
      <c r="AF15" s="102" t="s">
        <v>66</v>
      </c>
      <c r="AG15" s="863">
        <v>35.04615500000001</v>
      </c>
      <c r="AH15" s="773" t="s">
        <v>15</v>
      </c>
    </row>
    <row r="16" spans="1:34" ht="15" customHeight="1">
      <c r="A16" s="843" t="s">
        <v>5</v>
      </c>
      <c r="B16" s="847">
        <v>1956.585</v>
      </c>
      <c r="C16" s="847">
        <v>193.655</v>
      </c>
      <c r="D16" s="847">
        <v>853.714</v>
      </c>
      <c r="E16" s="847">
        <v>1284.244</v>
      </c>
      <c r="F16" s="847">
        <v>7248.329</v>
      </c>
      <c r="G16" s="847">
        <v>57.804</v>
      </c>
      <c r="H16" s="847">
        <v>1819.255</v>
      </c>
      <c r="I16" s="847">
        <v>2102.926</v>
      </c>
      <c r="J16" s="847">
        <v>10920.041</v>
      </c>
      <c r="K16" s="844">
        <v>28169.886</v>
      </c>
      <c r="L16" s="847">
        <v>466.824</v>
      </c>
      <c r="M16" s="847">
        <v>10499.938</v>
      </c>
      <c r="N16" s="847">
        <v>61.274</v>
      </c>
      <c r="O16" s="847">
        <v>157.319</v>
      </c>
      <c r="P16" s="847">
        <v>102.872</v>
      </c>
      <c r="Q16" s="847">
        <v>145.136</v>
      </c>
      <c r="R16" s="847">
        <v>547.12</v>
      </c>
      <c r="S16" s="847">
        <v>276.435</v>
      </c>
      <c r="T16" s="847">
        <v>3149.949</v>
      </c>
      <c r="U16" s="847">
        <v>1016.937</v>
      </c>
      <c r="V16" s="847">
        <v>1108.104</v>
      </c>
      <c r="W16" s="847">
        <v>4721.481</v>
      </c>
      <c r="X16" s="847">
        <v>733.714</v>
      </c>
      <c r="Y16" s="847">
        <v>73.209</v>
      </c>
      <c r="Z16" s="847">
        <v>34.219</v>
      </c>
      <c r="AA16" s="847">
        <v>588.39</v>
      </c>
      <c r="AB16" s="847">
        <v>1112.619</v>
      </c>
      <c r="AC16" s="847">
        <v>10734.344</v>
      </c>
      <c r="AD16" s="848" t="s">
        <v>5</v>
      </c>
      <c r="AE16" s="280">
        <f t="shared" si="0"/>
        <v>90.13632300000002</v>
      </c>
      <c r="AF16" s="102" t="s">
        <v>67</v>
      </c>
      <c r="AG16" s="863">
        <v>149.048841</v>
      </c>
      <c r="AH16" s="773" t="s">
        <v>66</v>
      </c>
    </row>
    <row r="17" spans="1:34" ht="15" customHeight="1">
      <c r="A17" s="843" t="s">
        <v>165</v>
      </c>
      <c r="B17" s="850">
        <v>185.441</v>
      </c>
      <c r="C17" s="851">
        <v>0.283</v>
      </c>
      <c r="D17" s="851">
        <v>58.913</v>
      </c>
      <c r="E17" s="851">
        <v>130.799</v>
      </c>
      <c r="F17" s="851">
        <v>1533.102</v>
      </c>
      <c r="G17" s="851">
        <v>5.654</v>
      </c>
      <c r="H17" s="851">
        <v>100.015</v>
      </c>
      <c r="I17" s="851">
        <v>32.271</v>
      </c>
      <c r="J17" s="851">
        <v>218.835</v>
      </c>
      <c r="K17" s="851">
        <v>508.945</v>
      </c>
      <c r="L17" s="852">
        <v>466.738</v>
      </c>
      <c r="M17" s="851">
        <v>258.255</v>
      </c>
      <c r="N17" s="851">
        <v>0.01</v>
      </c>
      <c r="O17" s="851">
        <v>7.279</v>
      </c>
      <c r="P17" s="851">
        <v>0.155</v>
      </c>
      <c r="Q17" s="851">
        <v>3.701</v>
      </c>
      <c r="R17" s="851">
        <v>0.159</v>
      </c>
      <c r="S17" s="851">
        <v>3.625</v>
      </c>
      <c r="T17" s="851">
        <v>237.91</v>
      </c>
      <c r="U17" s="851">
        <v>280.061</v>
      </c>
      <c r="V17" s="851">
        <v>35.01</v>
      </c>
      <c r="W17" s="851">
        <v>29.544</v>
      </c>
      <c r="X17" s="851">
        <v>0.004</v>
      </c>
      <c r="Y17" s="851">
        <v>0.139</v>
      </c>
      <c r="Z17" s="851">
        <v>1.336</v>
      </c>
      <c r="AA17" s="851">
        <v>124.06</v>
      </c>
      <c r="AB17" s="851">
        <v>214.538</v>
      </c>
      <c r="AC17" s="853">
        <v>1027.426</v>
      </c>
      <c r="AD17" s="848" t="s">
        <v>165</v>
      </c>
      <c r="AE17" s="280">
        <f t="shared" si="0"/>
        <v>5.464208</v>
      </c>
      <c r="AF17" s="102" t="s">
        <v>148</v>
      </c>
      <c r="AG17" s="863">
        <v>13.359805</v>
      </c>
      <c r="AH17" s="773" t="s">
        <v>87</v>
      </c>
    </row>
    <row r="18" spans="1:34" ht="15" customHeight="1">
      <c r="A18" s="843" t="s">
        <v>7</v>
      </c>
      <c r="B18" s="854">
        <v>3489.144</v>
      </c>
      <c r="C18" s="854">
        <v>415.939</v>
      </c>
      <c r="D18" s="854">
        <v>973.138</v>
      </c>
      <c r="E18" s="854">
        <v>1364.099</v>
      </c>
      <c r="F18" s="854">
        <v>12414.728</v>
      </c>
      <c r="G18" s="854">
        <v>68.015</v>
      </c>
      <c r="H18" s="854">
        <v>1230.476</v>
      </c>
      <c r="I18" s="854">
        <v>2927.427</v>
      </c>
      <c r="J18" s="854">
        <v>11790.807</v>
      </c>
      <c r="K18" s="854">
        <v>10910.412</v>
      </c>
      <c r="L18" s="854">
        <v>245.472</v>
      </c>
      <c r="M18" s="852">
        <v>29656.647</v>
      </c>
      <c r="N18" s="854">
        <v>79.45</v>
      </c>
      <c r="O18" s="854">
        <v>185.871</v>
      </c>
      <c r="P18" s="854">
        <v>286.853</v>
      </c>
      <c r="Q18" s="854">
        <v>220.382</v>
      </c>
      <c r="R18" s="854">
        <v>929.53</v>
      </c>
      <c r="S18" s="854">
        <v>932.257</v>
      </c>
      <c r="T18" s="854">
        <v>4288.194</v>
      </c>
      <c r="U18" s="854">
        <v>1230.114</v>
      </c>
      <c r="V18" s="854">
        <v>1615.993</v>
      </c>
      <c r="W18" s="854">
        <v>1568.261</v>
      </c>
      <c r="X18" s="854">
        <v>2538.1</v>
      </c>
      <c r="Y18" s="854">
        <v>1.496</v>
      </c>
      <c r="Z18" s="854">
        <v>245.901</v>
      </c>
      <c r="AA18" s="854">
        <v>558.9</v>
      </c>
      <c r="AB18" s="854">
        <v>757.865</v>
      </c>
      <c r="AC18" s="854">
        <v>12708.95</v>
      </c>
      <c r="AD18" s="848" t="s">
        <v>7</v>
      </c>
      <c r="AE18" s="280">
        <f t="shared" si="0"/>
        <v>103.634421</v>
      </c>
      <c r="AF18" s="102" t="s">
        <v>69</v>
      </c>
      <c r="AG18" s="863">
        <v>90.13632300000002</v>
      </c>
      <c r="AH18" s="773" t="s">
        <v>67</v>
      </c>
    </row>
    <row r="19" spans="1:34" ht="15" customHeight="1">
      <c r="A19" s="843" t="s">
        <v>70</v>
      </c>
      <c r="B19" s="855">
        <v>48.293</v>
      </c>
      <c r="C19" s="855">
        <v>79.182</v>
      </c>
      <c r="D19" s="855">
        <v>17.805</v>
      </c>
      <c r="E19" s="855">
        <v>52.208</v>
      </c>
      <c r="F19" s="855">
        <v>245.406</v>
      </c>
      <c r="G19" s="855">
        <v>4.532</v>
      </c>
      <c r="H19" s="855">
        <v>0.014</v>
      </c>
      <c r="I19" s="855">
        <v>1360.543</v>
      </c>
      <c r="J19" s="855">
        <v>6.524</v>
      </c>
      <c r="K19" s="855">
        <v>90.354</v>
      </c>
      <c r="L19" s="855">
        <v>0.061</v>
      </c>
      <c r="M19" s="855">
        <v>79.906</v>
      </c>
      <c r="N19" s="856">
        <v>0</v>
      </c>
      <c r="O19" s="855">
        <v>13.228</v>
      </c>
      <c r="P19" s="855">
        <v>42.927</v>
      </c>
      <c r="Q19" s="855">
        <v>0.327</v>
      </c>
      <c r="R19" s="855">
        <v>48.32</v>
      </c>
      <c r="S19" s="855">
        <v>24.753</v>
      </c>
      <c r="T19" s="855">
        <v>59.548</v>
      </c>
      <c r="U19" s="855">
        <v>235.444</v>
      </c>
      <c r="V19" s="855">
        <v>133.751</v>
      </c>
      <c r="W19" s="855">
        <v>0.003</v>
      </c>
      <c r="X19" s="855">
        <v>126.812</v>
      </c>
      <c r="Y19" s="855">
        <v>0.004</v>
      </c>
      <c r="Z19" s="855">
        <v>2.874</v>
      </c>
      <c r="AA19" s="855">
        <v>35.403</v>
      </c>
      <c r="AB19" s="855">
        <v>208.165</v>
      </c>
      <c r="AC19" s="855">
        <v>2428.714</v>
      </c>
      <c r="AD19" s="848" t="s">
        <v>70</v>
      </c>
      <c r="AE19" s="280">
        <f t="shared" si="0"/>
        <v>5.345100999999999</v>
      </c>
      <c r="AF19" s="102" t="s">
        <v>71</v>
      </c>
      <c r="AG19" s="863">
        <v>5.464208</v>
      </c>
      <c r="AH19" s="773" t="s">
        <v>148</v>
      </c>
    </row>
    <row r="20" spans="1:34" ht="15" customHeight="1">
      <c r="A20" s="843" t="s">
        <v>74</v>
      </c>
      <c r="B20" s="849">
        <v>160.218</v>
      </c>
      <c r="C20" s="849">
        <v>25.429</v>
      </c>
      <c r="D20" s="849">
        <v>39.73</v>
      </c>
      <c r="E20" s="849">
        <v>177.388</v>
      </c>
      <c r="F20" s="849">
        <v>768.146</v>
      </c>
      <c r="G20" s="849">
        <v>186.31</v>
      </c>
      <c r="H20" s="849">
        <v>127.781</v>
      </c>
      <c r="I20" s="849">
        <v>66.698</v>
      </c>
      <c r="J20" s="849">
        <v>92.158</v>
      </c>
      <c r="K20" s="849">
        <v>158.549</v>
      </c>
      <c r="L20" s="849">
        <v>13.491</v>
      </c>
      <c r="M20" s="849">
        <v>186.017</v>
      </c>
      <c r="N20" s="849">
        <v>13.272</v>
      </c>
      <c r="O20" s="856">
        <v>0.174</v>
      </c>
      <c r="P20" s="849">
        <v>194.278</v>
      </c>
      <c r="Q20" s="849">
        <v>0.001</v>
      </c>
      <c r="R20" s="849">
        <v>16.005</v>
      </c>
      <c r="S20" s="849">
        <v>5.828</v>
      </c>
      <c r="T20" s="849">
        <v>159.297</v>
      </c>
      <c r="U20" s="849">
        <v>89.633</v>
      </c>
      <c r="V20" s="849">
        <v>87.117</v>
      </c>
      <c r="W20" s="849">
        <v>2.562</v>
      </c>
      <c r="X20" s="849">
        <v>10.061</v>
      </c>
      <c r="Y20" s="849">
        <v>0.103</v>
      </c>
      <c r="Z20" s="849">
        <v>1.974</v>
      </c>
      <c r="AA20" s="849">
        <v>270.49</v>
      </c>
      <c r="AB20" s="849">
        <v>214.59</v>
      </c>
      <c r="AC20" s="849">
        <v>726.11</v>
      </c>
      <c r="AD20" s="848" t="s">
        <v>74</v>
      </c>
      <c r="AE20" s="280">
        <f t="shared" si="0"/>
        <v>3.79341</v>
      </c>
      <c r="AF20" s="102" t="s">
        <v>72</v>
      </c>
      <c r="AG20" s="863">
        <v>8.09224</v>
      </c>
      <c r="AH20" s="773" t="s">
        <v>77</v>
      </c>
    </row>
    <row r="21" spans="1:34" ht="15" customHeight="1">
      <c r="A21" s="843" t="s">
        <v>75</v>
      </c>
      <c r="B21" s="855">
        <v>102.316</v>
      </c>
      <c r="C21" s="855">
        <v>29.486</v>
      </c>
      <c r="D21" s="855">
        <v>1.733</v>
      </c>
      <c r="E21" s="855">
        <v>253.524</v>
      </c>
      <c r="F21" s="855">
        <v>411.723</v>
      </c>
      <c r="G21" s="855">
        <v>45.372</v>
      </c>
      <c r="H21" s="855">
        <v>175.106</v>
      </c>
      <c r="I21" s="855">
        <v>92.593</v>
      </c>
      <c r="J21" s="855">
        <v>224.999</v>
      </c>
      <c r="K21" s="855">
        <v>103.012</v>
      </c>
      <c r="L21" s="855">
        <v>0.186</v>
      </c>
      <c r="M21" s="855">
        <v>285.445</v>
      </c>
      <c r="N21" s="855">
        <v>42.185</v>
      </c>
      <c r="O21" s="855">
        <v>192.034</v>
      </c>
      <c r="P21" s="856">
        <v>0.343</v>
      </c>
      <c r="Q21" s="855">
        <v>0.016</v>
      </c>
      <c r="R21" s="773">
        <v>0.045</v>
      </c>
      <c r="S21" s="855">
        <v>22.756</v>
      </c>
      <c r="T21" s="855">
        <v>98.047</v>
      </c>
      <c r="U21" s="855">
        <v>52.482</v>
      </c>
      <c r="V21" s="855">
        <v>101.117</v>
      </c>
      <c r="W21" s="855">
        <v>3.683</v>
      </c>
      <c r="X21" s="855">
        <v>0.247</v>
      </c>
      <c r="Y21" s="855">
        <v>0.004</v>
      </c>
      <c r="Z21" s="855">
        <v>0</v>
      </c>
      <c r="AA21" s="855">
        <v>82.824</v>
      </c>
      <c r="AB21" s="855">
        <v>106.289</v>
      </c>
      <c r="AC21" s="855">
        <v>826.846</v>
      </c>
      <c r="AD21" s="848" t="s">
        <v>75</v>
      </c>
      <c r="AE21" s="280">
        <f t="shared" si="0"/>
        <v>3.254413</v>
      </c>
      <c r="AF21" s="102" t="s">
        <v>73</v>
      </c>
      <c r="AG21" s="863">
        <v>25.180641</v>
      </c>
      <c r="AH21" s="773" t="s">
        <v>68</v>
      </c>
    </row>
    <row r="22" spans="1:34" ht="15" customHeight="1">
      <c r="A22" s="843" t="s">
        <v>8</v>
      </c>
      <c r="B22" s="849">
        <v>0.639</v>
      </c>
      <c r="C22" s="849">
        <v>22.579</v>
      </c>
      <c r="D22" s="849">
        <v>0.033</v>
      </c>
      <c r="E22" s="849">
        <v>78.753</v>
      </c>
      <c r="F22" s="849">
        <v>374.909</v>
      </c>
      <c r="G22" s="849">
        <v>0.008</v>
      </c>
      <c r="H22" s="849">
        <v>29.298</v>
      </c>
      <c r="I22" s="849">
        <v>58.154</v>
      </c>
      <c r="J22" s="849">
        <v>340.978</v>
      </c>
      <c r="K22" s="849">
        <v>144.805</v>
      </c>
      <c r="L22" s="849">
        <v>3.425</v>
      </c>
      <c r="M22" s="849">
        <v>217.88</v>
      </c>
      <c r="N22" s="849">
        <v>0.314</v>
      </c>
      <c r="O22" s="849">
        <v>0.003</v>
      </c>
      <c r="P22" s="857">
        <v>0.004</v>
      </c>
      <c r="Q22" s="856">
        <v>0.961</v>
      </c>
      <c r="R22" s="849">
        <v>0.004</v>
      </c>
      <c r="S22" s="849">
        <v>2.784</v>
      </c>
      <c r="T22" s="849">
        <v>147.677</v>
      </c>
      <c r="U22" s="849">
        <v>94.424</v>
      </c>
      <c r="V22" s="849">
        <v>0.073</v>
      </c>
      <c r="W22" s="849">
        <v>344.087</v>
      </c>
      <c r="X22" s="849">
        <v>0.015</v>
      </c>
      <c r="Y22" s="849">
        <v>0</v>
      </c>
      <c r="Z22" s="849">
        <v>0.056</v>
      </c>
      <c r="AA22" s="849">
        <v>1.189</v>
      </c>
      <c r="AB22" s="849">
        <v>22.747</v>
      </c>
      <c r="AC22" s="849">
        <v>394.737</v>
      </c>
      <c r="AD22" s="848" t="s">
        <v>8</v>
      </c>
      <c r="AE22" s="280">
        <f t="shared" si="0"/>
        <v>2.2805360000000006</v>
      </c>
      <c r="AF22" s="102" t="s">
        <v>76</v>
      </c>
      <c r="AG22" s="863">
        <v>103.634421</v>
      </c>
      <c r="AH22" s="773" t="s">
        <v>69</v>
      </c>
    </row>
    <row r="23" spans="1:34" ht="15" customHeight="1">
      <c r="A23" s="843" t="s">
        <v>79</v>
      </c>
      <c r="B23" s="855">
        <v>491.794</v>
      </c>
      <c r="C23" s="855">
        <v>21.273</v>
      </c>
      <c r="D23" s="855">
        <v>61.698</v>
      </c>
      <c r="E23" s="855">
        <v>192.619</v>
      </c>
      <c r="F23" s="855">
        <v>1498.922</v>
      </c>
      <c r="G23" s="855">
        <v>0</v>
      </c>
      <c r="H23" s="855">
        <v>195.597</v>
      </c>
      <c r="I23" s="855">
        <v>254.962</v>
      </c>
      <c r="J23" s="855">
        <v>503.93</v>
      </c>
      <c r="K23" s="855">
        <v>546.995</v>
      </c>
      <c r="L23" s="855">
        <v>2.455</v>
      </c>
      <c r="M23" s="855">
        <v>924.191</v>
      </c>
      <c r="N23" s="855">
        <v>47.173</v>
      </c>
      <c r="O23" s="855">
        <v>15.889</v>
      </c>
      <c r="P23" s="855">
        <v>0</v>
      </c>
      <c r="Q23" s="855">
        <v>0</v>
      </c>
      <c r="R23" s="856">
        <v>0</v>
      </c>
      <c r="S23" s="855">
        <v>60.791</v>
      </c>
      <c r="T23" s="855">
        <v>596.068</v>
      </c>
      <c r="U23" s="855">
        <v>105.058</v>
      </c>
      <c r="V23" s="855">
        <v>197.233</v>
      </c>
      <c r="W23" s="855">
        <v>97.762</v>
      </c>
      <c r="X23" s="855">
        <v>86.956</v>
      </c>
      <c r="Y23" s="855">
        <v>0.092</v>
      </c>
      <c r="Z23" s="855">
        <v>0.305</v>
      </c>
      <c r="AA23" s="855">
        <v>219.721</v>
      </c>
      <c r="AB23" s="855">
        <v>336.047</v>
      </c>
      <c r="AC23" s="855">
        <v>1634.709</v>
      </c>
      <c r="AD23" s="848" t="s">
        <v>79</v>
      </c>
      <c r="AE23" s="280">
        <f t="shared" si="0"/>
        <v>8.09224</v>
      </c>
      <c r="AF23" s="102" t="s">
        <v>77</v>
      </c>
      <c r="AG23" s="863">
        <v>3.254413</v>
      </c>
      <c r="AH23" s="773" t="s">
        <v>73</v>
      </c>
    </row>
    <row r="24" spans="1:34" ht="15" customHeight="1">
      <c r="A24" s="843" t="s">
        <v>161</v>
      </c>
      <c r="B24" s="849">
        <v>103.11</v>
      </c>
      <c r="C24" s="849">
        <v>37.307</v>
      </c>
      <c r="D24" s="849">
        <v>13.922</v>
      </c>
      <c r="E24" s="849">
        <v>65.552</v>
      </c>
      <c r="F24" s="849">
        <v>617.17</v>
      </c>
      <c r="G24" s="849">
        <v>1.653</v>
      </c>
      <c r="H24" s="849">
        <v>76.927</v>
      </c>
      <c r="I24" s="849">
        <v>28.14</v>
      </c>
      <c r="J24" s="849">
        <v>138.889</v>
      </c>
      <c r="K24" s="849">
        <v>278.629</v>
      </c>
      <c r="L24" s="849">
        <v>3.646</v>
      </c>
      <c r="M24" s="849">
        <v>927.138</v>
      </c>
      <c r="N24" s="849">
        <v>24.531</v>
      </c>
      <c r="O24" s="849">
        <v>5.804</v>
      </c>
      <c r="P24" s="849">
        <v>22.925</v>
      </c>
      <c r="Q24" s="849">
        <v>3.247</v>
      </c>
      <c r="R24" s="849">
        <v>60.161</v>
      </c>
      <c r="S24" s="856">
        <v>0.259</v>
      </c>
      <c r="T24" s="849">
        <v>129.714</v>
      </c>
      <c r="U24" s="849">
        <v>108.845</v>
      </c>
      <c r="V24" s="849">
        <v>103.559</v>
      </c>
      <c r="W24" s="849">
        <v>2.51</v>
      </c>
      <c r="X24" s="849">
        <v>35.356</v>
      </c>
      <c r="Y24" s="849">
        <v>4.363</v>
      </c>
      <c r="Z24" s="849">
        <v>3.38</v>
      </c>
      <c r="AA24" s="849">
        <v>19.047</v>
      </c>
      <c r="AB24" s="849">
        <v>87.464</v>
      </c>
      <c r="AC24" s="849">
        <v>1285.404</v>
      </c>
      <c r="AD24" s="848" t="s">
        <v>161</v>
      </c>
      <c r="AE24" s="280">
        <f t="shared" si="0"/>
        <v>4.188652</v>
      </c>
      <c r="AF24" s="102" t="s">
        <v>78</v>
      </c>
      <c r="AG24" s="863">
        <v>2.2805360000000006</v>
      </c>
      <c r="AH24" s="773" t="s">
        <v>76</v>
      </c>
    </row>
    <row r="25" spans="1:34" ht="15" customHeight="1">
      <c r="A25" s="843" t="s">
        <v>9</v>
      </c>
      <c r="B25" s="855">
        <v>227.795</v>
      </c>
      <c r="C25" s="855">
        <v>202.399</v>
      </c>
      <c r="D25" s="855">
        <v>547.113</v>
      </c>
      <c r="E25" s="855">
        <v>1490.506</v>
      </c>
      <c r="F25" s="855">
        <v>4038.742</v>
      </c>
      <c r="G25" s="855">
        <v>80.269</v>
      </c>
      <c r="H25" s="855">
        <v>902.095</v>
      </c>
      <c r="I25" s="855">
        <v>1405.115</v>
      </c>
      <c r="J25" s="855">
        <v>6268.376</v>
      </c>
      <c r="K25" s="855">
        <v>3162.579</v>
      </c>
      <c r="L25" s="855">
        <v>236.444</v>
      </c>
      <c r="M25" s="855">
        <v>4278.805</v>
      </c>
      <c r="N25" s="855">
        <v>59.686</v>
      </c>
      <c r="O25" s="855">
        <v>159.439</v>
      </c>
      <c r="P25" s="855">
        <v>98.951</v>
      </c>
      <c r="Q25" s="855">
        <v>148.533</v>
      </c>
      <c r="R25" s="855">
        <v>627.493</v>
      </c>
      <c r="S25" s="855">
        <v>130.132</v>
      </c>
      <c r="T25" s="856">
        <v>1.547</v>
      </c>
      <c r="U25" s="855">
        <v>824.362</v>
      </c>
      <c r="V25" s="855">
        <v>911.283</v>
      </c>
      <c r="W25" s="855">
        <v>1681.293</v>
      </c>
      <c r="X25" s="855">
        <v>482.132</v>
      </c>
      <c r="Y25" s="855">
        <v>23.633</v>
      </c>
      <c r="Z25" s="855">
        <v>0.21</v>
      </c>
      <c r="AA25" s="855">
        <v>524.769</v>
      </c>
      <c r="AB25" s="855">
        <v>1161.503</v>
      </c>
      <c r="AC25" s="855">
        <v>9490.768</v>
      </c>
      <c r="AD25" s="848" t="s">
        <v>9</v>
      </c>
      <c r="AE25" s="280">
        <f t="shared" si="0"/>
        <v>39.16597200000001</v>
      </c>
      <c r="AF25" s="102" t="s">
        <v>16</v>
      </c>
      <c r="AG25" s="863">
        <v>3.79341</v>
      </c>
      <c r="AH25" s="773" t="s">
        <v>72</v>
      </c>
    </row>
    <row r="26" spans="1:34" ht="15" customHeight="1">
      <c r="A26" s="843" t="s">
        <v>10</v>
      </c>
      <c r="B26" s="849">
        <v>419.307</v>
      </c>
      <c r="C26" s="849">
        <v>414.065</v>
      </c>
      <c r="D26" s="849">
        <v>149.198</v>
      </c>
      <c r="E26" s="849">
        <v>365.082</v>
      </c>
      <c r="F26" s="849">
        <v>6807.141</v>
      </c>
      <c r="G26" s="849">
        <v>25.656</v>
      </c>
      <c r="H26" s="849">
        <v>120.571</v>
      </c>
      <c r="I26" s="849">
        <v>917.316</v>
      </c>
      <c r="J26" s="849">
        <v>1511.198</v>
      </c>
      <c r="K26" s="849">
        <v>1018.056</v>
      </c>
      <c r="L26" s="849">
        <v>284.458</v>
      </c>
      <c r="M26" s="849">
        <v>1229.098</v>
      </c>
      <c r="N26" s="849">
        <v>235.19</v>
      </c>
      <c r="O26" s="849">
        <v>89.634</v>
      </c>
      <c r="P26" s="849">
        <v>52.701</v>
      </c>
      <c r="Q26" s="849">
        <v>95.044</v>
      </c>
      <c r="R26" s="849">
        <v>104.956</v>
      </c>
      <c r="S26" s="849">
        <v>109.164</v>
      </c>
      <c r="T26" s="849">
        <v>852.669</v>
      </c>
      <c r="U26" s="856">
        <v>529.61</v>
      </c>
      <c r="V26" s="849">
        <v>277.758</v>
      </c>
      <c r="W26" s="849">
        <v>183.907</v>
      </c>
      <c r="X26" s="849">
        <v>462.532</v>
      </c>
      <c r="Y26" s="849">
        <v>63.677</v>
      </c>
      <c r="Z26" s="849">
        <v>59.369</v>
      </c>
      <c r="AA26" s="849">
        <v>173.126</v>
      </c>
      <c r="AB26" s="849">
        <v>330.673</v>
      </c>
      <c r="AC26" s="849">
        <v>1776.478</v>
      </c>
      <c r="AD26" s="848" t="s">
        <v>10</v>
      </c>
      <c r="AE26" s="280">
        <f t="shared" si="0"/>
        <v>18.657633999999998</v>
      </c>
      <c r="AF26" s="102" t="s">
        <v>81</v>
      </c>
      <c r="AG26" s="863">
        <v>4.188652</v>
      </c>
      <c r="AH26" s="773" t="s">
        <v>78</v>
      </c>
    </row>
    <row r="27" spans="1:34" ht="15" customHeight="1">
      <c r="A27" s="843" t="s">
        <v>82</v>
      </c>
      <c r="B27" s="855">
        <v>710.322</v>
      </c>
      <c r="C27" s="855">
        <v>329.172</v>
      </c>
      <c r="D27" s="855">
        <v>180.827</v>
      </c>
      <c r="E27" s="855">
        <v>563.422</v>
      </c>
      <c r="F27" s="855">
        <v>3633.14</v>
      </c>
      <c r="G27" s="855">
        <v>36.185</v>
      </c>
      <c r="H27" s="855">
        <v>964.658</v>
      </c>
      <c r="I27" s="855">
        <v>1206.413</v>
      </c>
      <c r="J27" s="855">
        <v>1644.33</v>
      </c>
      <c r="K27" s="855">
        <v>1164.595</v>
      </c>
      <c r="L27" s="855">
        <v>29.075</v>
      </c>
      <c r="M27" s="855">
        <v>1628.962</v>
      </c>
      <c r="N27" s="855">
        <v>133.964</v>
      </c>
      <c r="O27" s="855">
        <v>86.889</v>
      </c>
      <c r="P27" s="855">
        <v>102.025</v>
      </c>
      <c r="Q27" s="855">
        <v>0.084</v>
      </c>
      <c r="R27" s="855">
        <v>197.286</v>
      </c>
      <c r="S27" s="855">
        <v>104.568</v>
      </c>
      <c r="T27" s="855">
        <v>903.419</v>
      </c>
      <c r="U27" s="855">
        <v>278.444</v>
      </c>
      <c r="V27" s="856">
        <v>1586.827</v>
      </c>
      <c r="W27" s="855">
        <v>211.284</v>
      </c>
      <c r="X27" s="855">
        <v>108.991</v>
      </c>
      <c r="Y27" s="855">
        <v>15.646</v>
      </c>
      <c r="Z27" s="855">
        <v>1.06</v>
      </c>
      <c r="AA27" s="855">
        <v>242.106</v>
      </c>
      <c r="AB27" s="855">
        <v>883.842</v>
      </c>
      <c r="AC27" s="855">
        <v>6260.051</v>
      </c>
      <c r="AD27" s="848" t="s">
        <v>82</v>
      </c>
      <c r="AE27" s="280">
        <f t="shared" si="0"/>
        <v>23.207586999999997</v>
      </c>
      <c r="AF27" s="102" t="s">
        <v>80</v>
      </c>
      <c r="AG27" s="863">
        <v>39.16597200000001</v>
      </c>
      <c r="AH27" s="773" t="s">
        <v>16</v>
      </c>
    </row>
    <row r="28" spans="1:34" ht="15" customHeight="1">
      <c r="A28" s="843" t="s">
        <v>11</v>
      </c>
      <c r="B28" s="849">
        <v>1292.948</v>
      </c>
      <c r="C28" s="849">
        <v>0.75</v>
      </c>
      <c r="D28" s="849">
        <v>114.243</v>
      </c>
      <c r="E28" s="849">
        <v>253.244</v>
      </c>
      <c r="F28" s="849">
        <v>3831.382</v>
      </c>
      <c r="G28" s="849">
        <v>2.295</v>
      </c>
      <c r="H28" s="849">
        <v>835.13</v>
      </c>
      <c r="I28" s="849">
        <v>2.673</v>
      </c>
      <c r="J28" s="849">
        <v>3261.978</v>
      </c>
      <c r="K28" s="849">
        <v>5236.218</v>
      </c>
      <c r="L28" s="849">
        <v>28.286</v>
      </c>
      <c r="M28" s="849">
        <v>1572.005</v>
      </c>
      <c r="N28" s="849">
        <v>0.065</v>
      </c>
      <c r="O28" s="849">
        <v>2.549</v>
      </c>
      <c r="P28" s="849">
        <v>3.703</v>
      </c>
      <c r="Q28" s="849">
        <v>350.474</v>
      </c>
      <c r="R28" s="849">
        <v>96.43</v>
      </c>
      <c r="S28" s="849">
        <v>2.447</v>
      </c>
      <c r="T28" s="849">
        <v>1695.579</v>
      </c>
      <c r="U28" s="849">
        <v>185.675</v>
      </c>
      <c r="V28" s="849">
        <v>222.002</v>
      </c>
      <c r="W28" s="856">
        <v>3660.909</v>
      </c>
      <c r="X28" s="849">
        <v>57.772</v>
      </c>
      <c r="Y28" s="849">
        <v>0.304</v>
      </c>
      <c r="Z28" s="849">
        <v>0.61</v>
      </c>
      <c r="AA28" s="849">
        <v>116.843</v>
      </c>
      <c r="AB28" s="849">
        <v>205.033</v>
      </c>
      <c r="AC28" s="849">
        <v>6657.53</v>
      </c>
      <c r="AD28" s="848" t="s">
        <v>11</v>
      </c>
      <c r="AE28" s="280">
        <f t="shared" si="0"/>
        <v>29.689077</v>
      </c>
      <c r="AF28" s="102" t="s">
        <v>92</v>
      </c>
      <c r="AG28" s="863">
        <v>23.207586999999997</v>
      </c>
      <c r="AH28" s="773" t="s">
        <v>80</v>
      </c>
    </row>
    <row r="29" spans="1:34" ht="15" customHeight="1">
      <c r="A29" s="843" t="s">
        <v>104</v>
      </c>
      <c r="B29" s="855">
        <v>485.894</v>
      </c>
      <c r="C29" s="855">
        <v>35.103</v>
      </c>
      <c r="D29" s="855">
        <v>79.281</v>
      </c>
      <c r="E29" s="855">
        <v>32.44</v>
      </c>
      <c r="F29" s="855">
        <v>1823.334</v>
      </c>
      <c r="H29" s="855">
        <v>131.718</v>
      </c>
      <c r="I29" s="855">
        <v>290.213</v>
      </c>
      <c r="J29" s="855">
        <v>1171.165</v>
      </c>
      <c r="K29" s="855">
        <v>772.999</v>
      </c>
      <c r="L29" s="855">
        <v>0.104</v>
      </c>
      <c r="M29" s="855">
        <v>2463.19</v>
      </c>
      <c r="N29" s="855">
        <v>126.73</v>
      </c>
      <c r="O29" s="855">
        <v>8.4</v>
      </c>
      <c r="R29" s="855">
        <v>87.291</v>
      </c>
      <c r="S29" s="855">
        <v>35.619</v>
      </c>
      <c r="T29" s="855">
        <v>480.377</v>
      </c>
      <c r="U29" s="855">
        <v>458.967</v>
      </c>
      <c r="V29" s="855">
        <v>108.342</v>
      </c>
      <c r="W29" s="855">
        <v>57.557</v>
      </c>
      <c r="X29" s="856">
        <v>506.152</v>
      </c>
      <c r="Z29" s="855">
        <v>0.417</v>
      </c>
      <c r="AA29" s="855">
        <v>0.134</v>
      </c>
      <c r="AB29" s="855">
        <v>96.493</v>
      </c>
      <c r="AC29" s="855">
        <v>1507.8</v>
      </c>
      <c r="AD29" s="848" t="s">
        <v>104</v>
      </c>
      <c r="AE29" s="280">
        <f t="shared" si="0"/>
        <v>10.759720000000002</v>
      </c>
      <c r="AF29" s="102" t="s">
        <v>102</v>
      </c>
      <c r="AG29" s="863">
        <v>29.689077</v>
      </c>
      <c r="AH29" s="773" t="s">
        <v>92</v>
      </c>
    </row>
    <row r="30" spans="1:34" ht="15" customHeight="1">
      <c r="A30" s="843" t="s">
        <v>84</v>
      </c>
      <c r="B30" s="849">
        <v>103.258</v>
      </c>
      <c r="C30" s="849">
        <v>0.193</v>
      </c>
      <c r="D30" s="849">
        <v>12.275</v>
      </c>
      <c r="E30" s="849">
        <v>22.082</v>
      </c>
      <c r="F30" s="849">
        <v>233.12</v>
      </c>
      <c r="G30" s="849"/>
      <c r="H30" s="849">
        <v>0</v>
      </c>
      <c r="I30" s="849">
        <v>60.83</v>
      </c>
      <c r="J30" s="849">
        <v>1.223</v>
      </c>
      <c r="K30" s="849">
        <v>73.534</v>
      </c>
      <c r="L30" s="849">
        <v>0.108</v>
      </c>
      <c r="M30" s="849">
        <v>1.497</v>
      </c>
      <c r="N30" s="849">
        <v>1.733</v>
      </c>
      <c r="O30" s="849">
        <v>0.103</v>
      </c>
      <c r="P30" s="847"/>
      <c r="Q30" s="847"/>
      <c r="R30" s="849">
        <v>0.744</v>
      </c>
      <c r="S30" s="849">
        <v>3.893</v>
      </c>
      <c r="T30" s="849">
        <v>23.668</v>
      </c>
      <c r="U30" s="849">
        <v>63.84</v>
      </c>
      <c r="V30" s="849">
        <v>15.448</v>
      </c>
      <c r="W30" s="849">
        <v>0.293</v>
      </c>
      <c r="X30" s="849">
        <v>0.04</v>
      </c>
      <c r="Y30" s="856">
        <v>0.132</v>
      </c>
      <c r="Z30" s="849">
        <v>0</v>
      </c>
      <c r="AA30" s="849">
        <v>32.514</v>
      </c>
      <c r="AB30" s="849">
        <v>6.104</v>
      </c>
      <c r="AC30" s="849">
        <v>157.246</v>
      </c>
      <c r="AD30" s="848" t="s">
        <v>84</v>
      </c>
      <c r="AE30" s="280">
        <f t="shared" si="0"/>
        <v>0.813878</v>
      </c>
      <c r="AF30" s="102" t="s">
        <v>284</v>
      </c>
      <c r="AG30" s="863">
        <v>10.759720000000002</v>
      </c>
      <c r="AH30" s="773" t="s">
        <v>102</v>
      </c>
    </row>
    <row r="31" spans="1:34" ht="15" customHeight="1">
      <c r="A31" s="843" t="s">
        <v>163</v>
      </c>
      <c r="B31" s="855">
        <v>57.59</v>
      </c>
      <c r="C31" s="855">
        <v>66.8</v>
      </c>
      <c r="D31" s="855">
        <v>52.251</v>
      </c>
      <c r="E31" s="855">
        <v>0.03</v>
      </c>
      <c r="F31" s="855">
        <v>20.204</v>
      </c>
      <c r="G31" s="855">
        <v>0.002</v>
      </c>
      <c r="H31" s="855">
        <v>124.78</v>
      </c>
      <c r="I31" s="855">
        <v>173.576</v>
      </c>
      <c r="J31" s="855">
        <v>144.549</v>
      </c>
      <c r="K31" s="855">
        <v>35.603</v>
      </c>
      <c r="L31" s="855">
        <v>1.755</v>
      </c>
      <c r="M31" s="855">
        <v>244.384</v>
      </c>
      <c r="N31" s="855">
        <v>2.846</v>
      </c>
      <c r="O31" s="855">
        <v>0.153</v>
      </c>
      <c r="P31" s="855">
        <v>0</v>
      </c>
      <c r="Q31" s="855">
        <v>0.203</v>
      </c>
      <c r="R31" s="855">
        <v>0.375</v>
      </c>
      <c r="S31" s="855">
        <v>3.395</v>
      </c>
      <c r="T31" s="855">
        <v>0.132</v>
      </c>
      <c r="U31" s="855">
        <v>59.132</v>
      </c>
      <c r="V31" s="855">
        <v>0.464</v>
      </c>
      <c r="W31" s="855">
        <v>0.068</v>
      </c>
      <c r="X31" s="855">
        <v>0.156</v>
      </c>
      <c r="Y31" s="855">
        <v>0.04</v>
      </c>
      <c r="Z31" s="856">
        <v>21.586</v>
      </c>
      <c r="AA31" s="855">
        <v>0.138</v>
      </c>
      <c r="AB31" s="855">
        <v>0.498</v>
      </c>
      <c r="AC31" s="855">
        <v>588.082</v>
      </c>
      <c r="AD31" s="848" t="s">
        <v>163</v>
      </c>
      <c r="AE31" s="280">
        <f t="shared" si="0"/>
        <v>1.598792</v>
      </c>
      <c r="AF31" s="102" t="s">
        <v>85</v>
      </c>
      <c r="AG31" s="863">
        <v>27.319654999999997</v>
      </c>
      <c r="AH31" s="773" t="s">
        <v>88</v>
      </c>
    </row>
    <row r="32" spans="1:34" ht="15" customHeight="1">
      <c r="A32" s="843" t="s">
        <v>27</v>
      </c>
      <c r="B32" s="849">
        <v>185.084</v>
      </c>
      <c r="C32" s="849">
        <v>39.205</v>
      </c>
      <c r="D32" s="849">
        <v>221.471</v>
      </c>
      <c r="E32" s="849">
        <v>788.517</v>
      </c>
      <c r="F32" s="849">
        <v>1693.437</v>
      </c>
      <c r="G32" s="849">
        <v>231.385</v>
      </c>
      <c r="H32" s="849">
        <v>61.353</v>
      </c>
      <c r="I32" s="849">
        <v>393.249</v>
      </c>
      <c r="J32" s="849">
        <v>1367.201</v>
      </c>
      <c r="K32" s="849">
        <v>589.589</v>
      </c>
      <c r="L32" s="849">
        <v>125.27</v>
      </c>
      <c r="M32" s="849">
        <v>553.805</v>
      </c>
      <c r="N32" s="849">
        <v>34.044</v>
      </c>
      <c r="O32" s="849">
        <v>270.647</v>
      </c>
      <c r="P32" s="849">
        <v>82.769</v>
      </c>
      <c r="Q32" s="849">
        <v>1.15</v>
      </c>
      <c r="R32" s="849">
        <v>218.402</v>
      </c>
      <c r="S32" s="849">
        <v>19.079</v>
      </c>
      <c r="T32" s="849">
        <v>522.309</v>
      </c>
      <c r="U32" s="849">
        <v>172.791</v>
      </c>
      <c r="V32" s="849">
        <v>240.702</v>
      </c>
      <c r="W32" s="849">
        <v>112.489</v>
      </c>
      <c r="X32" s="849">
        <v>0.842</v>
      </c>
      <c r="Y32" s="849">
        <v>32.275</v>
      </c>
      <c r="Z32" s="849">
        <v>0.244</v>
      </c>
      <c r="AA32" s="856">
        <v>2599.136</v>
      </c>
      <c r="AB32" s="849">
        <v>1658.582</v>
      </c>
      <c r="AC32" s="849">
        <v>1144.778</v>
      </c>
      <c r="AD32" s="848" t="s">
        <v>27</v>
      </c>
      <c r="AE32" s="280">
        <f t="shared" si="0"/>
        <v>13.359805</v>
      </c>
      <c r="AF32" s="102" t="s">
        <v>87</v>
      </c>
      <c r="AG32" s="863">
        <v>1.598792</v>
      </c>
      <c r="AH32" s="773" t="s">
        <v>85</v>
      </c>
    </row>
    <row r="33" spans="1:34" ht="15" customHeight="1">
      <c r="A33" s="843" t="s">
        <v>12</v>
      </c>
      <c r="B33" s="855">
        <v>488.376</v>
      </c>
      <c r="C33" s="855">
        <v>65.102</v>
      </c>
      <c r="D33" s="855">
        <v>210.649</v>
      </c>
      <c r="E33" s="855">
        <v>1847.263</v>
      </c>
      <c r="F33" s="855">
        <v>3025.875</v>
      </c>
      <c r="G33" s="855">
        <v>106.775</v>
      </c>
      <c r="H33" s="855">
        <v>85.305</v>
      </c>
      <c r="I33" s="855">
        <v>1057.009</v>
      </c>
      <c r="J33" s="855">
        <v>2936.098</v>
      </c>
      <c r="K33" s="855">
        <v>1124.186</v>
      </c>
      <c r="L33" s="855">
        <v>238.884</v>
      </c>
      <c r="M33" s="855">
        <v>757.959</v>
      </c>
      <c r="N33" s="855">
        <v>201.504</v>
      </c>
      <c r="O33" s="855">
        <v>213.681</v>
      </c>
      <c r="P33" s="855">
        <v>107.096</v>
      </c>
      <c r="Q33" s="855">
        <v>23.148</v>
      </c>
      <c r="R33" s="855">
        <v>337.672</v>
      </c>
      <c r="S33" s="855">
        <v>88.437</v>
      </c>
      <c r="T33" s="855">
        <v>1035.67</v>
      </c>
      <c r="U33" s="855">
        <v>348.252</v>
      </c>
      <c r="V33" s="855">
        <v>936.836</v>
      </c>
      <c r="W33" s="855">
        <v>201.199</v>
      </c>
      <c r="X33" s="855">
        <v>96.81</v>
      </c>
      <c r="Y33" s="855">
        <v>5.694</v>
      </c>
      <c r="Z33" s="855">
        <v>0.543</v>
      </c>
      <c r="AA33" s="855">
        <v>1651.652</v>
      </c>
      <c r="AB33" s="856">
        <v>7446.19</v>
      </c>
      <c r="AC33" s="855">
        <v>2681.79</v>
      </c>
      <c r="AD33" s="848" t="s">
        <v>12</v>
      </c>
      <c r="AE33" s="280">
        <f t="shared" si="0"/>
        <v>27.319654999999997</v>
      </c>
      <c r="AF33" s="102" t="s">
        <v>88</v>
      </c>
      <c r="AG33" s="863">
        <v>0.813878</v>
      </c>
      <c r="AH33" s="773" t="s">
        <v>284</v>
      </c>
    </row>
    <row r="34" spans="1:34" ht="15" customHeight="1">
      <c r="A34" s="858" t="s">
        <v>164</v>
      </c>
      <c r="B34" s="859">
        <v>1591.663</v>
      </c>
      <c r="C34" s="860">
        <v>1126.581</v>
      </c>
      <c r="D34" s="860">
        <v>1746.573</v>
      </c>
      <c r="E34" s="860">
        <v>3375.868</v>
      </c>
      <c r="F34" s="860">
        <v>13276.551</v>
      </c>
      <c r="G34" s="860">
        <v>147.197</v>
      </c>
      <c r="H34" s="860">
        <v>11523.901</v>
      </c>
      <c r="I34" s="860">
        <v>6096.289</v>
      </c>
      <c r="J34" s="860">
        <v>35726.682</v>
      </c>
      <c r="K34" s="860">
        <v>11942.851</v>
      </c>
      <c r="L34" s="860">
        <v>1058.726</v>
      </c>
      <c r="M34" s="860">
        <v>12703.835</v>
      </c>
      <c r="N34" s="860">
        <v>2408.905</v>
      </c>
      <c r="O34" s="860">
        <v>718.373</v>
      </c>
      <c r="P34" s="860">
        <v>835.76</v>
      </c>
      <c r="Q34" s="860">
        <v>395.223</v>
      </c>
      <c r="R34" s="860">
        <v>1736.718</v>
      </c>
      <c r="S34" s="860">
        <v>1289.195</v>
      </c>
      <c r="T34" s="860">
        <v>9454.534</v>
      </c>
      <c r="U34" s="860">
        <v>1778.801</v>
      </c>
      <c r="V34" s="860">
        <v>6164.007</v>
      </c>
      <c r="W34" s="860">
        <v>6589.384</v>
      </c>
      <c r="X34" s="860">
        <v>1552.772</v>
      </c>
      <c r="Y34" s="860">
        <v>163.734</v>
      </c>
      <c r="Z34" s="860">
        <v>653.367</v>
      </c>
      <c r="AA34" s="860">
        <v>1151.241</v>
      </c>
      <c r="AB34" s="860">
        <v>2674.24</v>
      </c>
      <c r="AC34" s="861">
        <v>22828.234</v>
      </c>
      <c r="AD34" s="862" t="s">
        <v>164</v>
      </c>
      <c r="AE34" s="280">
        <f t="shared" si="0"/>
        <v>160.71120499999995</v>
      </c>
      <c r="AF34" s="102" t="s">
        <v>13</v>
      </c>
      <c r="AG34" s="863">
        <v>160.71120499999995</v>
      </c>
      <c r="AH34" s="773" t="s">
        <v>13</v>
      </c>
    </row>
    <row r="35" ht="8.25" customHeight="1"/>
    <row r="36" ht="12.75">
      <c r="A36" s="679" t="s">
        <v>255</v>
      </c>
    </row>
    <row r="37" spans="1:2" ht="11.25" customHeight="1">
      <c r="A37" s="671" t="s">
        <v>256</v>
      </c>
      <c r="B37" s="573" t="s">
        <v>257</v>
      </c>
    </row>
  </sheetData>
  <sheetProtection/>
  <mergeCells count="3">
    <mergeCell ref="A2:AD2"/>
    <mergeCell ref="A3:AD3"/>
    <mergeCell ref="A4:AD4"/>
  </mergeCells>
  <printOptions horizontalCentered="1" verticalCentered="1"/>
  <pageMargins left="0.4724409448818898" right="0.4724409448818898" top="0.3937007874015748" bottom="0.3937007874015748" header="0" footer="0"/>
  <pageSetup fitToHeight="1" fitToWidth="1"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sheetPr>
    <tabColor rgb="FF92D050"/>
  </sheetPr>
  <dimension ref="A1:AX51"/>
  <sheetViews>
    <sheetView zoomScalePageLayoutView="0" workbookViewId="0" topLeftCell="A1">
      <selection activeCell="AD6" sqref="AD6:AD7"/>
    </sheetView>
  </sheetViews>
  <sheetFormatPr defaultColWidth="9.140625" defaultRowHeight="12.75"/>
  <cols>
    <col min="1" max="1" width="2.7109375" style="573" customWidth="1"/>
    <col min="2" max="2" width="3.8515625" style="573" customWidth="1"/>
    <col min="3" max="4" width="6.7109375" style="573" hidden="1" customWidth="1"/>
    <col min="5" max="5" width="6.140625" style="573" hidden="1" customWidth="1"/>
    <col min="6" max="9" width="6.28125" style="573" hidden="1" customWidth="1"/>
    <col min="10" max="13" width="6.140625" style="573" hidden="1" customWidth="1"/>
    <col min="14" max="14" width="6.57421875" style="573" hidden="1" customWidth="1"/>
    <col min="15" max="20" width="6.140625" style="573" hidden="1" customWidth="1"/>
    <col min="21" max="22" width="6.140625" style="573" customWidth="1"/>
    <col min="23" max="30" width="6.421875" style="573" customWidth="1"/>
    <col min="31" max="16384" width="9.140625" style="573" customWidth="1"/>
  </cols>
  <sheetData>
    <row r="1" spans="2:31" ht="14.25" customHeight="1">
      <c r="B1" s="1279"/>
      <c r="C1" s="1279"/>
      <c r="D1" s="918"/>
      <c r="E1" s="777"/>
      <c r="F1" s="777"/>
      <c r="G1" s="777"/>
      <c r="H1" s="777"/>
      <c r="I1" s="777"/>
      <c r="J1" s="777"/>
      <c r="K1" s="777"/>
      <c r="L1" s="777"/>
      <c r="M1" s="777"/>
      <c r="N1" s="777"/>
      <c r="O1" s="777"/>
      <c r="P1" s="777"/>
      <c r="AE1" s="574" t="s">
        <v>128</v>
      </c>
    </row>
    <row r="2" spans="2:31" ht="30" customHeight="1">
      <c r="B2" s="1271" t="s">
        <v>190</v>
      </c>
      <c r="C2" s="1271"/>
      <c r="D2" s="1271"/>
      <c r="E2" s="1271"/>
      <c r="F2" s="1271"/>
      <c r="G2" s="1271"/>
      <c r="H2" s="1271"/>
      <c r="I2" s="1271"/>
      <c r="J2" s="1271"/>
      <c r="K2" s="1271"/>
      <c r="L2" s="1271"/>
      <c r="M2" s="1271"/>
      <c r="N2" s="1271"/>
      <c r="O2" s="1271"/>
      <c r="P2" s="1271"/>
      <c r="Q2" s="1271"/>
      <c r="R2" s="1271"/>
      <c r="S2" s="1271"/>
      <c r="T2" s="1271"/>
      <c r="U2" s="1271"/>
      <c r="V2" s="1271"/>
      <c r="W2" s="1271"/>
      <c r="X2" s="1271"/>
      <c r="Y2" s="1271"/>
      <c r="Z2" s="1271"/>
      <c r="AA2" s="1271"/>
      <c r="AB2" s="1271"/>
      <c r="AC2" s="1271"/>
      <c r="AD2" s="1271"/>
      <c r="AE2" s="1271"/>
    </row>
    <row r="3" spans="2:31" ht="15" customHeight="1">
      <c r="B3" s="1281" t="s">
        <v>191</v>
      </c>
      <c r="C3" s="1281"/>
      <c r="D3" s="1281"/>
      <c r="E3" s="1281"/>
      <c r="F3" s="1281"/>
      <c r="G3" s="1281"/>
      <c r="H3" s="1281"/>
      <c r="I3" s="1281"/>
      <c r="J3" s="1281"/>
      <c r="K3" s="1281"/>
      <c r="L3" s="1281"/>
      <c r="M3" s="1281"/>
      <c r="N3" s="1281"/>
      <c r="O3" s="1281"/>
      <c r="P3" s="1281"/>
      <c r="Q3" s="1281"/>
      <c r="R3" s="1281"/>
      <c r="S3" s="1281"/>
      <c r="T3" s="1281"/>
      <c r="U3" s="1281"/>
      <c r="V3" s="1281"/>
      <c r="W3" s="1281"/>
      <c r="X3" s="1281"/>
      <c r="Y3" s="1281"/>
      <c r="Z3" s="1281"/>
      <c r="AA3" s="1281"/>
      <c r="AB3" s="1281"/>
      <c r="AC3" s="1281"/>
      <c r="AD3" s="1281"/>
      <c r="AE3" s="1281"/>
    </row>
    <row r="4" spans="2:31" ht="12.75">
      <c r="B4" s="585"/>
      <c r="C4" s="585"/>
      <c r="E4" s="668"/>
      <c r="F4" s="668"/>
      <c r="G4" s="668"/>
      <c r="H4" s="668"/>
      <c r="I4" s="668"/>
      <c r="J4" s="916"/>
      <c r="K4" s="916"/>
      <c r="L4" s="916"/>
      <c r="M4" s="916"/>
      <c r="N4" s="916"/>
      <c r="O4" s="916"/>
      <c r="V4" s="915" t="s">
        <v>21</v>
      </c>
      <c r="W4" s="914"/>
      <c r="X4" s="914"/>
      <c r="Y4" s="914"/>
      <c r="Z4" s="914"/>
      <c r="AA4" s="914"/>
      <c r="AB4" s="914"/>
      <c r="AC4" s="914"/>
      <c r="AD4" s="914"/>
      <c r="AE4" s="914"/>
    </row>
    <row r="5" spans="2:31" ht="24.75" customHeight="1">
      <c r="B5" s="586"/>
      <c r="C5" s="913">
        <v>1970</v>
      </c>
      <c r="D5" s="912">
        <v>1980</v>
      </c>
      <c r="E5" s="912">
        <v>1990</v>
      </c>
      <c r="F5" s="912">
        <v>1991</v>
      </c>
      <c r="G5" s="912">
        <v>1992</v>
      </c>
      <c r="H5" s="912">
        <v>1993</v>
      </c>
      <c r="I5" s="912">
        <v>1994</v>
      </c>
      <c r="J5" s="912">
        <v>1995</v>
      </c>
      <c r="K5" s="912">
        <v>1996</v>
      </c>
      <c r="L5" s="912">
        <v>1997</v>
      </c>
      <c r="M5" s="912">
        <v>1998</v>
      </c>
      <c r="N5" s="912">
        <v>1999</v>
      </c>
      <c r="O5" s="912">
        <v>2000</v>
      </c>
      <c r="P5" s="912">
        <v>2001</v>
      </c>
      <c r="Q5" s="912">
        <v>2002</v>
      </c>
      <c r="R5" s="912">
        <v>2003</v>
      </c>
      <c r="S5" s="912">
        <v>2004</v>
      </c>
      <c r="T5" s="912">
        <v>2005</v>
      </c>
      <c r="U5" s="912">
        <v>2006</v>
      </c>
      <c r="V5" s="912">
        <v>2007</v>
      </c>
      <c r="W5" s="912">
        <v>2008</v>
      </c>
      <c r="X5" s="912">
        <v>2009</v>
      </c>
      <c r="Y5" s="912">
        <v>2010</v>
      </c>
      <c r="Z5" s="912">
        <v>2011</v>
      </c>
      <c r="AA5" s="912">
        <v>2012</v>
      </c>
      <c r="AB5" s="912">
        <v>2013</v>
      </c>
      <c r="AC5" s="911">
        <v>2014</v>
      </c>
      <c r="AD5" s="910">
        <v>2015</v>
      </c>
      <c r="AE5" s="681"/>
    </row>
    <row r="6" spans="2:31" ht="12.75" customHeight="1">
      <c r="B6" s="591" t="s">
        <v>250</v>
      </c>
      <c r="C6" s="909"/>
      <c r="D6" s="908"/>
      <c r="E6" s="908">
        <v>42206.6</v>
      </c>
      <c r="F6" s="908">
        <v>43243</v>
      </c>
      <c r="G6" s="908">
        <v>45360</v>
      </c>
      <c r="H6" s="908">
        <v>46236</v>
      </c>
      <c r="I6" s="908">
        <v>46916</v>
      </c>
      <c r="J6" s="907">
        <v>48297</v>
      </c>
      <c r="K6" s="907">
        <v>49444</v>
      </c>
      <c r="L6" s="907">
        <v>50768.9</v>
      </c>
      <c r="M6" s="907">
        <v>52655.1</v>
      </c>
      <c r="N6" s="907">
        <v>54296.1</v>
      </c>
      <c r="O6" s="907">
        <v>55116.1</v>
      </c>
      <c r="P6" s="907">
        <v>56826.7</v>
      </c>
      <c r="Q6" s="907">
        <v>58118</v>
      </c>
      <c r="R6" s="907">
        <v>59577.5</v>
      </c>
      <c r="S6" s="907">
        <v>61225.99</v>
      </c>
      <c r="T6" s="907">
        <v>63139.94</v>
      </c>
      <c r="U6" s="907">
        <v>64718.44</v>
      </c>
      <c r="V6" s="907">
        <v>66274.8</v>
      </c>
      <c r="W6" s="907">
        <v>67815.4</v>
      </c>
      <c r="X6" s="907">
        <v>69964</v>
      </c>
      <c r="Y6" s="907">
        <v>71135.5</v>
      </c>
      <c r="Z6" s="907">
        <v>71850.92</v>
      </c>
      <c r="AA6" s="907">
        <v>73054.51999999999</v>
      </c>
      <c r="AB6" s="907">
        <v>74321.79999999999</v>
      </c>
      <c r="AC6" s="907">
        <v>74849.59999999999</v>
      </c>
      <c r="AD6" s="906">
        <v>75820.3</v>
      </c>
      <c r="AE6" s="741" t="s">
        <v>250</v>
      </c>
    </row>
    <row r="7" spans="2:31" ht="12.75" customHeight="1">
      <c r="B7" s="598" t="s">
        <v>89</v>
      </c>
      <c r="C7" s="905">
        <v>16051</v>
      </c>
      <c r="D7" s="904">
        <v>30454</v>
      </c>
      <c r="E7" s="904">
        <v>39646.6</v>
      </c>
      <c r="F7" s="904">
        <v>40695</v>
      </c>
      <c r="G7" s="904">
        <v>42776</v>
      </c>
      <c r="H7" s="904">
        <v>43579</v>
      </c>
      <c r="I7" s="904">
        <v>44203</v>
      </c>
      <c r="J7" s="903">
        <v>45493</v>
      </c>
      <c r="K7" s="903">
        <v>46529</v>
      </c>
      <c r="L7" s="903">
        <v>47658.9</v>
      </c>
      <c r="M7" s="903">
        <v>49327.1</v>
      </c>
      <c r="N7" s="903">
        <v>50809.1</v>
      </c>
      <c r="O7" s="903">
        <v>51476.1</v>
      </c>
      <c r="P7" s="903">
        <v>53099.7</v>
      </c>
      <c r="Q7" s="903">
        <v>54061</v>
      </c>
      <c r="R7" s="903">
        <v>55274.5</v>
      </c>
      <c r="S7" s="903">
        <v>56302.99</v>
      </c>
      <c r="T7" s="903">
        <v>57900.94</v>
      </c>
      <c r="U7" s="903">
        <v>59070.94</v>
      </c>
      <c r="V7" s="903">
        <v>60429.3</v>
      </c>
      <c r="W7" s="903">
        <v>61437.4</v>
      </c>
      <c r="X7" s="903">
        <v>63326</v>
      </c>
      <c r="Y7" s="903">
        <v>64186.799999999996</v>
      </c>
      <c r="Z7" s="903">
        <v>64589.719999999994</v>
      </c>
      <c r="AA7" s="903">
        <v>65200.219999999994</v>
      </c>
      <c r="AB7" s="903">
        <v>65863.09999999999</v>
      </c>
      <c r="AC7" s="903">
        <v>66256.09999999999</v>
      </c>
      <c r="AD7" s="902">
        <v>66846.3</v>
      </c>
      <c r="AE7" s="743" t="s">
        <v>89</v>
      </c>
    </row>
    <row r="8" spans="2:31" ht="12.75" customHeight="1">
      <c r="B8" s="604" t="s">
        <v>251</v>
      </c>
      <c r="C8" s="901"/>
      <c r="D8" s="900"/>
      <c r="E8" s="900">
        <v>2560</v>
      </c>
      <c r="F8" s="900">
        <v>2548</v>
      </c>
      <c r="G8" s="900">
        <v>2584</v>
      </c>
      <c r="H8" s="900">
        <v>2657</v>
      </c>
      <c r="I8" s="900">
        <v>2713</v>
      </c>
      <c r="J8" s="900">
        <v>2804</v>
      </c>
      <c r="K8" s="900">
        <v>2915</v>
      </c>
      <c r="L8" s="900">
        <v>3110</v>
      </c>
      <c r="M8" s="900">
        <v>3328</v>
      </c>
      <c r="N8" s="900">
        <v>3487</v>
      </c>
      <c r="O8" s="900">
        <v>3640</v>
      </c>
      <c r="P8" s="900">
        <v>3727</v>
      </c>
      <c r="Q8" s="900">
        <v>4057</v>
      </c>
      <c r="R8" s="900">
        <v>4303</v>
      </c>
      <c r="S8" s="900">
        <v>4923</v>
      </c>
      <c r="T8" s="900">
        <v>5239</v>
      </c>
      <c r="U8" s="900">
        <v>5647.5</v>
      </c>
      <c r="V8" s="900">
        <v>5845.5</v>
      </c>
      <c r="W8" s="900">
        <v>6377.999999999993</v>
      </c>
      <c r="X8" s="900">
        <v>6638</v>
      </c>
      <c r="Y8" s="900">
        <v>6948.700000000004</v>
      </c>
      <c r="Z8" s="900">
        <v>7261.200000000004</v>
      </c>
      <c r="AA8" s="900">
        <v>7854.299999999996</v>
      </c>
      <c r="AB8" s="900">
        <v>8458.699999999997</v>
      </c>
      <c r="AC8" s="900">
        <v>8593.5</v>
      </c>
      <c r="AD8" s="899">
        <v>8974</v>
      </c>
      <c r="AE8" s="866" t="s">
        <v>251</v>
      </c>
    </row>
    <row r="9" spans="1:31" ht="12.75" customHeight="1">
      <c r="A9" s="597"/>
      <c r="B9" s="598" t="s">
        <v>81</v>
      </c>
      <c r="C9" s="888">
        <v>478</v>
      </c>
      <c r="D9" s="877">
        <v>938</v>
      </c>
      <c r="E9" s="877">
        <v>1445</v>
      </c>
      <c r="F9" s="877">
        <v>1450</v>
      </c>
      <c r="G9" s="877">
        <v>1554</v>
      </c>
      <c r="H9" s="877">
        <v>1557</v>
      </c>
      <c r="I9" s="877">
        <v>1559</v>
      </c>
      <c r="J9" s="877">
        <v>1596</v>
      </c>
      <c r="K9" s="877">
        <v>1607</v>
      </c>
      <c r="L9" s="877">
        <v>1613</v>
      </c>
      <c r="M9" s="877">
        <v>1613</v>
      </c>
      <c r="N9" s="877">
        <v>1634</v>
      </c>
      <c r="O9" s="877">
        <v>1633</v>
      </c>
      <c r="P9" s="877">
        <v>1645</v>
      </c>
      <c r="Q9" s="877">
        <v>1645</v>
      </c>
      <c r="R9" s="877">
        <v>1670</v>
      </c>
      <c r="S9" s="877">
        <v>1677</v>
      </c>
      <c r="T9" s="878">
        <v>1677</v>
      </c>
      <c r="U9" s="877">
        <v>1678</v>
      </c>
      <c r="V9" s="877">
        <v>1696</v>
      </c>
      <c r="W9" s="919">
        <v>1696</v>
      </c>
      <c r="X9" s="877">
        <v>1696</v>
      </c>
      <c r="Y9" s="877">
        <v>1719</v>
      </c>
      <c r="Z9" s="877">
        <v>1719</v>
      </c>
      <c r="AA9" s="877">
        <v>1719</v>
      </c>
      <c r="AB9" s="877">
        <v>1719</v>
      </c>
      <c r="AC9" s="919">
        <v>1719</v>
      </c>
      <c r="AD9" s="887">
        <v>1719</v>
      </c>
      <c r="AE9" s="743" t="s">
        <v>81</v>
      </c>
    </row>
    <row r="10" spans="1:31" ht="12.75" customHeight="1">
      <c r="A10" s="597"/>
      <c r="B10" s="610" t="s">
        <v>60</v>
      </c>
      <c r="C10" s="874">
        <v>488</v>
      </c>
      <c r="D10" s="872">
        <v>1203</v>
      </c>
      <c r="E10" s="872">
        <v>1666</v>
      </c>
      <c r="F10" s="872">
        <v>1650</v>
      </c>
      <c r="G10" s="872">
        <v>1658</v>
      </c>
      <c r="H10" s="872">
        <v>1665</v>
      </c>
      <c r="I10" s="872">
        <v>1666</v>
      </c>
      <c r="J10" s="872">
        <v>1666</v>
      </c>
      <c r="K10" s="872">
        <v>1674</v>
      </c>
      <c r="L10" s="872">
        <v>1678.9</v>
      </c>
      <c r="M10" s="872">
        <v>1682.1</v>
      </c>
      <c r="N10" s="872">
        <v>1691.1</v>
      </c>
      <c r="O10" s="872">
        <v>1702.1</v>
      </c>
      <c r="P10" s="872">
        <v>1726.7</v>
      </c>
      <c r="Q10" s="872">
        <v>1729</v>
      </c>
      <c r="R10" s="872">
        <v>1729</v>
      </c>
      <c r="S10" s="872">
        <v>1747</v>
      </c>
      <c r="T10" s="873">
        <v>1747</v>
      </c>
      <c r="U10" s="872">
        <v>1763</v>
      </c>
      <c r="V10" s="872">
        <v>1763</v>
      </c>
      <c r="W10" s="872">
        <v>1763</v>
      </c>
      <c r="X10" s="872">
        <v>1763</v>
      </c>
      <c r="Y10" s="872">
        <v>1763</v>
      </c>
      <c r="Z10" s="871">
        <v>1763</v>
      </c>
      <c r="AA10" s="871">
        <v>1763</v>
      </c>
      <c r="AB10" s="871">
        <v>1763</v>
      </c>
      <c r="AC10" s="871">
        <v>1763</v>
      </c>
      <c r="AD10" s="891">
        <v>1763</v>
      </c>
      <c r="AE10" s="889" t="s">
        <v>60</v>
      </c>
    </row>
    <row r="11" spans="1:31" ht="12.75" customHeight="1">
      <c r="A11" s="597"/>
      <c r="B11" s="598" t="s">
        <v>101</v>
      </c>
      <c r="C11" s="888"/>
      <c r="D11" s="877"/>
      <c r="E11" s="877">
        <v>273</v>
      </c>
      <c r="F11" s="876">
        <v>273</v>
      </c>
      <c r="G11" s="876">
        <v>273</v>
      </c>
      <c r="H11" s="877">
        <v>276</v>
      </c>
      <c r="I11" s="877">
        <v>276</v>
      </c>
      <c r="J11" s="877">
        <v>277</v>
      </c>
      <c r="K11" s="877">
        <v>277</v>
      </c>
      <c r="L11" s="877">
        <v>314</v>
      </c>
      <c r="M11" s="877">
        <v>314</v>
      </c>
      <c r="N11" s="877">
        <v>314</v>
      </c>
      <c r="O11" s="877">
        <v>319</v>
      </c>
      <c r="P11" s="877">
        <v>324</v>
      </c>
      <c r="Q11" s="877">
        <v>324</v>
      </c>
      <c r="R11" s="877">
        <v>328</v>
      </c>
      <c r="S11" s="877">
        <v>331</v>
      </c>
      <c r="T11" s="878">
        <v>331</v>
      </c>
      <c r="U11" s="877">
        <v>394</v>
      </c>
      <c r="V11" s="877">
        <v>418</v>
      </c>
      <c r="W11" s="877">
        <v>418</v>
      </c>
      <c r="X11" s="877">
        <v>418</v>
      </c>
      <c r="Y11" s="877">
        <v>437</v>
      </c>
      <c r="Z11" s="877">
        <v>458</v>
      </c>
      <c r="AA11" s="877">
        <v>541</v>
      </c>
      <c r="AB11" s="877">
        <v>605</v>
      </c>
      <c r="AC11" s="877">
        <v>610</v>
      </c>
      <c r="AD11" s="887">
        <v>734</v>
      </c>
      <c r="AE11" s="743" t="s">
        <v>101</v>
      </c>
    </row>
    <row r="12" spans="1:31" ht="12.75" customHeight="1">
      <c r="A12" s="597"/>
      <c r="B12" s="610" t="s">
        <v>71</v>
      </c>
      <c r="C12" s="874"/>
      <c r="D12" s="872"/>
      <c r="E12" s="872">
        <v>120</v>
      </c>
      <c r="F12" s="871">
        <v>120</v>
      </c>
      <c r="G12" s="871">
        <v>120</v>
      </c>
      <c r="H12" s="872">
        <v>154</v>
      </c>
      <c r="I12" s="872">
        <v>159</v>
      </c>
      <c r="J12" s="872">
        <v>167</v>
      </c>
      <c r="K12" s="872">
        <v>167</v>
      </c>
      <c r="L12" s="872">
        <v>194</v>
      </c>
      <c r="M12" s="872">
        <v>204</v>
      </c>
      <c r="N12" s="872">
        <v>216</v>
      </c>
      <c r="O12" s="872">
        <v>257</v>
      </c>
      <c r="P12" s="872">
        <v>257</v>
      </c>
      <c r="Q12" s="872">
        <v>268</v>
      </c>
      <c r="R12" s="872">
        <v>268</v>
      </c>
      <c r="S12" s="872">
        <v>268</v>
      </c>
      <c r="T12" s="873">
        <v>276</v>
      </c>
      <c r="U12" s="872">
        <v>257</v>
      </c>
      <c r="V12" s="872">
        <v>257</v>
      </c>
      <c r="W12" s="872">
        <v>257</v>
      </c>
      <c r="X12" s="872">
        <v>257</v>
      </c>
      <c r="Y12" s="872">
        <v>257</v>
      </c>
      <c r="Z12" s="872">
        <v>257</v>
      </c>
      <c r="AA12" s="872">
        <v>257</v>
      </c>
      <c r="AB12" s="872">
        <v>257</v>
      </c>
      <c r="AC12" s="872">
        <v>257</v>
      </c>
      <c r="AD12" s="890">
        <v>272</v>
      </c>
      <c r="AE12" s="889" t="s">
        <v>71</v>
      </c>
    </row>
    <row r="13" spans="1:31" ht="12.75" customHeight="1">
      <c r="A13" s="597"/>
      <c r="B13" s="610" t="s">
        <v>61</v>
      </c>
      <c r="C13" s="895"/>
      <c r="D13" s="894"/>
      <c r="E13" s="872">
        <v>357</v>
      </c>
      <c r="F13" s="872">
        <v>362</v>
      </c>
      <c r="G13" s="872">
        <v>366</v>
      </c>
      <c r="H13" s="872">
        <v>390</v>
      </c>
      <c r="I13" s="872">
        <v>392</v>
      </c>
      <c r="J13" s="872">
        <v>414</v>
      </c>
      <c r="K13" s="872">
        <v>423</v>
      </c>
      <c r="L13" s="872">
        <v>486</v>
      </c>
      <c r="M13" s="872">
        <v>499</v>
      </c>
      <c r="N13" s="872">
        <v>499</v>
      </c>
      <c r="O13" s="872">
        <v>501</v>
      </c>
      <c r="P13" s="872">
        <v>517</v>
      </c>
      <c r="Q13" s="872">
        <v>518</v>
      </c>
      <c r="R13" s="872">
        <v>518</v>
      </c>
      <c r="S13" s="872">
        <v>546</v>
      </c>
      <c r="T13" s="873">
        <v>564</v>
      </c>
      <c r="U13" s="872">
        <v>633</v>
      </c>
      <c r="V13" s="872">
        <v>657</v>
      </c>
      <c r="W13" s="872">
        <v>691</v>
      </c>
      <c r="X13" s="872">
        <v>729</v>
      </c>
      <c r="Y13" s="872">
        <v>734</v>
      </c>
      <c r="Z13" s="872">
        <v>745</v>
      </c>
      <c r="AA13" s="872">
        <v>751</v>
      </c>
      <c r="AB13" s="872">
        <v>775.8</v>
      </c>
      <c r="AC13" s="872">
        <v>776</v>
      </c>
      <c r="AD13" s="890">
        <v>776</v>
      </c>
      <c r="AE13" s="889" t="s">
        <v>61</v>
      </c>
    </row>
    <row r="14" spans="1:31" ht="12.75" customHeight="1">
      <c r="A14" s="597"/>
      <c r="B14" s="610" t="s">
        <v>63</v>
      </c>
      <c r="C14" s="874">
        <v>6061</v>
      </c>
      <c r="D14" s="872">
        <v>9225</v>
      </c>
      <c r="E14" s="872">
        <v>10854</v>
      </c>
      <c r="F14" s="872">
        <v>10955</v>
      </c>
      <c r="G14" s="872">
        <v>11013</v>
      </c>
      <c r="H14" s="872">
        <v>11080</v>
      </c>
      <c r="I14" s="872">
        <v>11143</v>
      </c>
      <c r="J14" s="872">
        <v>11190</v>
      </c>
      <c r="K14" s="872">
        <v>11246</v>
      </c>
      <c r="L14" s="872">
        <v>11309</v>
      </c>
      <c r="M14" s="872">
        <v>11427</v>
      </c>
      <c r="N14" s="872">
        <v>11515</v>
      </c>
      <c r="O14" s="872">
        <v>11712</v>
      </c>
      <c r="P14" s="872">
        <v>11786</v>
      </c>
      <c r="Q14" s="872">
        <v>12037</v>
      </c>
      <c r="R14" s="872">
        <v>12044</v>
      </c>
      <c r="S14" s="872">
        <v>12174</v>
      </c>
      <c r="T14" s="873">
        <v>12363</v>
      </c>
      <c r="U14" s="872">
        <v>12531</v>
      </c>
      <c r="V14" s="872">
        <v>12594</v>
      </c>
      <c r="W14" s="872">
        <v>12645</v>
      </c>
      <c r="X14" s="872">
        <v>12813</v>
      </c>
      <c r="Y14" s="872">
        <v>12819</v>
      </c>
      <c r="Z14" s="872">
        <v>12845</v>
      </c>
      <c r="AA14" s="872">
        <v>12879</v>
      </c>
      <c r="AB14" s="872">
        <v>12917</v>
      </c>
      <c r="AC14" s="872">
        <v>12949</v>
      </c>
      <c r="AD14" s="890">
        <v>12993</v>
      </c>
      <c r="AE14" s="889" t="s">
        <v>63</v>
      </c>
    </row>
    <row r="15" spans="1:31" ht="12.75" customHeight="1">
      <c r="A15" s="597"/>
      <c r="B15" s="598" t="s">
        <v>14</v>
      </c>
      <c r="C15" s="888">
        <v>184</v>
      </c>
      <c r="D15" s="877">
        <v>516</v>
      </c>
      <c r="E15" s="877">
        <v>611</v>
      </c>
      <c r="F15" s="877">
        <v>663</v>
      </c>
      <c r="G15" s="877">
        <v>663</v>
      </c>
      <c r="H15" s="877">
        <v>706</v>
      </c>
      <c r="I15" s="877">
        <v>747</v>
      </c>
      <c r="J15" s="877">
        <v>796</v>
      </c>
      <c r="K15" s="877">
        <v>797</v>
      </c>
      <c r="L15" s="877">
        <v>834</v>
      </c>
      <c r="M15" s="877">
        <v>863</v>
      </c>
      <c r="N15" s="877">
        <v>902</v>
      </c>
      <c r="O15" s="877">
        <v>923</v>
      </c>
      <c r="P15" s="877">
        <v>978</v>
      </c>
      <c r="Q15" s="877">
        <v>972</v>
      </c>
      <c r="R15" s="877">
        <v>1010</v>
      </c>
      <c r="S15" s="877">
        <v>1027</v>
      </c>
      <c r="T15" s="878">
        <v>1032</v>
      </c>
      <c r="U15" s="877">
        <v>1032</v>
      </c>
      <c r="V15" s="877">
        <v>1111</v>
      </c>
      <c r="W15" s="877">
        <v>1128</v>
      </c>
      <c r="X15" s="877">
        <v>1130</v>
      </c>
      <c r="Y15" s="877">
        <v>1130</v>
      </c>
      <c r="Z15" s="877">
        <v>1143</v>
      </c>
      <c r="AA15" s="877">
        <v>1195</v>
      </c>
      <c r="AB15" s="877">
        <v>1216</v>
      </c>
      <c r="AC15" s="877">
        <v>1232</v>
      </c>
      <c r="AD15" s="887">
        <v>1237</v>
      </c>
      <c r="AE15" s="743" t="s">
        <v>14</v>
      </c>
    </row>
    <row r="16" spans="1:31" ht="12.75" customHeight="1">
      <c r="A16" s="597"/>
      <c r="B16" s="598" t="s">
        <v>64</v>
      </c>
      <c r="C16" s="888"/>
      <c r="D16" s="877"/>
      <c r="E16" s="877">
        <v>41</v>
      </c>
      <c r="F16" s="877">
        <v>50</v>
      </c>
      <c r="G16" s="877">
        <v>60</v>
      </c>
      <c r="H16" s="877">
        <v>62</v>
      </c>
      <c r="I16" s="877">
        <v>64</v>
      </c>
      <c r="J16" s="877">
        <v>65</v>
      </c>
      <c r="K16" s="877">
        <v>65</v>
      </c>
      <c r="L16" s="877">
        <v>68</v>
      </c>
      <c r="M16" s="877">
        <v>74</v>
      </c>
      <c r="N16" s="877">
        <v>87</v>
      </c>
      <c r="O16" s="877">
        <v>93</v>
      </c>
      <c r="P16" s="877">
        <v>93</v>
      </c>
      <c r="Q16" s="877">
        <v>98</v>
      </c>
      <c r="R16" s="877">
        <v>98</v>
      </c>
      <c r="S16" s="877">
        <v>96</v>
      </c>
      <c r="T16" s="878">
        <v>99</v>
      </c>
      <c r="U16" s="877">
        <v>99</v>
      </c>
      <c r="V16" s="877">
        <v>96</v>
      </c>
      <c r="W16" s="877">
        <v>104</v>
      </c>
      <c r="X16" s="877">
        <v>100</v>
      </c>
      <c r="Y16" s="877">
        <v>115</v>
      </c>
      <c r="Z16" s="877">
        <v>115</v>
      </c>
      <c r="AA16" s="877">
        <v>124</v>
      </c>
      <c r="AB16" s="877">
        <v>140</v>
      </c>
      <c r="AC16" s="877">
        <v>141</v>
      </c>
      <c r="AD16" s="887">
        <v>147</v>
      </c>
      <c r="AE16" s="743" t="s">
        <v>64</v>
      </c>
    </row>
    <row r="17" spans="1:31" ht="12.75" customHeight="1">
      <c r="A17" s="597"/>
      <c r="B17" s="598" t="s">
        <v>15</v>
      </c>
      <c r="C17" s="888">
        <v>11</v>
      </c>
      <c r="D17" s="877">
        <v>91</v>
      </c>
      <c r="E17" s="877">
        <v>190</v>
      </c>
      <c r="F17" s="877">
        <v>225</v>
      </c>
      <c r="G17" s="877">
        <v>280</v>
      </c>
      <c r="H17" s="877">
        <v>330</v>
      </c>
      <c r="I17" s="877">
        <v>380</v>
      </c>
      <c r="J17" s="876">
        <v>421</v>
      </c>
      <c r="K17" s="876">
        <v>467</v>
      </c>
      <c r="L17" s="876">
        <v>509</v>
      </c>
      <c r="M17" s="876">
        <v>526</v>
      </c>
      <c r="N17" s="876">
        <v>547</v>
      </c>
      <c r="O17" s="876">
        <v>615</v>
      </c>
      <c r="P17" s="876">
        <v>743</v>
      </c>
      <c r="Q17" s="876">
        <v>870</v>
      </c>
      <c r="R17" s="877">
        <v>916.5</v>
      </c>
      <c r="S17" s="877">
        <v>916.5</v>
      </c>
      <c r="T17" s="878">
        <v>916.5</v>
      </c>
      <c r="U17" s="877">
        <v>916.5</v>
      </c>
      <c r="V17" s="877">
        <v>916.5</v>
      </c>
      <c r="W17" s="877">
        <v>916.5</v>
      </c>
      <c r="X17" s="877">
        <v>1558.2</v>
      </c>
      <c r="Y17" s="877">
        <v>1558.2</v>
      </c>
      <c r="Z17" s="877">
        <v>1558.2</v>
      </c>
      <c r="AA17" s="877">
        <v>1558.2</v>
      </c>
      <c r="AB17" s="877">
        <v>1558.2</v>
      </c>
      <c r="AC17" s="877">
        <v>1558.2</v>
      </c>
      <c r="AD17" s="887">
        <v>1589.4</v>
      </c>
      <c r="AE17" s="743" t="s">
        <v>15</v>
      </c>
    </row>
    <row r="18" spans="1:31" ht="12.75" customHeight="1">
      <c r="A18" s="597"/>
      <c r="B18" s="610" t="s">
        <v>66</v>
      </c>
      <c r="C18" s="874">
        <v>387</v>
      </c>
      <c r="D18" s="872">
        <v>2008</v>
      </c>
      <c r="E18" s="872">
        <v>4976</v>
      </c>
      <c r="F18" s="872">
        <v>5235</v>
      </c>
      <c r="G18" s="872">
        <v>6486</v>
      </c>
      <c r="H18" s="872">
        <v>6577</v>
      </c>
      <c r="I18" s="872">
        <v>6497</v>
      </c>
      <c r="J18" s="872">
        <v>6962</v>
      </c>
      <c r="K18" s="872">
        <v>7295</v>
      </c>
      <c r="L18" s="872">
        <v>7750</v>
      </c>
      <c r="M18" s="872">
        <v>8269</v>
      </c>
      <c r="N18" s="872">
        <v>8893</v>
      </c>
      <c r="O18" s="872">
        <v>9049</v>
      </c>
      <c r="P18" s="872">
        <v>9571</v>
      </c>
      <c r="Q18" s="872">
        <v>9739</v>
      </c>
      <c r="R18" s="872">
        <v>10296</v>
      </c>
      <c r="S18" s="872">
        <v>10747</v>
      </c>
      <c r="T18" s="873">
        <v>11432</v>
      </c>
      <c r="U18" s="872">
        <v>12073</v>
      </c>
      <c r="V18" s="872">
        <v>13013</v>
      </c>
      <c r="W18" s="872">
        <v>13518</v>
      </c>
      <c r="X18" s="872">
        <v>14021</v>
      </c>
      <c r="Y18" s="872">
        <v>14262</v>
      </c>
      <c r="Z18" s="872">
        <v>14554</v>
      </c>
      <c r="AA18" s="872">
        <v>14701</v>
      </c>
      <c r="AB18" s="872">
        <f>3026+11955</f>
        <v>14981</v>
      </c>
      <c r="AC18" s="872">
        <f>3020+12029</f>
        <v>15049</v>
      </c>
      <c r="AD18" s="890">
        <f>3040+12296</f>
        <v>15336</v>
      </c>
      <c r="AE18" s="889" t="s">
        <v>66</v>
      </c>
    </row>
    <row r="19" spans="1:31" ht="12.75" customHeight="1">
      <c r="A19" s="597"/>
      <c r="B19" s="598" t="s">
        <v>87</v>
      </c>
      <c r="C19" s="888">
        <v>108</v>
      </c>
      <c r="D19" s="877">
        <v>204</v>
      </c>
      <c r="E19" s="877">
        <v>225</v>
      </c>
      <c r="F19" s="877">
        <v>249</v>
      </c>
      <c r="G19" s="877">
        <v>318</v>
      </c>
      <c r="H19" s="877">
        <v>337</v>
      </c>
      <c r="I19" s="877">
        <v>388</v>
      </c>
      <c r="J19" s="877">
        <v>394</v>
      </c>
      <c r="K19" s="877">
        <v>431</v>
      </c>
      <c r="L19" s="877">
        <v>444</v>
      </c>
      <c r="M19" s="877">
        <v>473</v>
      </c>
      <c r="N19" s="877">
        <v>512</v>
      </c>
      <c r="O19" s="877">
        <v>549</v>
      </c>
      <c r="P19" s="877">
        <v>591</v>
      </c>
      <c r="Q19" s="877">
        <v>603</v>
      </c>
      <c r="R19" s="877">
        <v>653</v>
      </c>
      <c r="S19" s="877">
        <v>653</v>
      </c>
      <c r="T19" s="878">
        <v>693</v>
      </c>
      <c r="U19" s="877">
        <v>700</v>
      </c>
      <c r="V19" s="877">
        <v>700</v>
      </c>
      <c r="W19" s="877">
        <v>739</v>
      </c>
      <c r="X19" s="877">
        <v>765</v>
      </c>
      <c r="Y19" s="877">
        <v>779</v>
      </c>
      <c r="Z19" s="877">
        <v>790</v>
      </c>
      <c r="AA19" s="877">
        <v>780</v>
      </c>
      <c r="AB19" s="877">
        <v>810</v>
      </c>
      <c r="AC19" s="877">
        <v>881</v>
      </c>
      <c r="AD19" s="887">
        <v>881</v>
      </c>
      <c r="AE19" s="743" t="s">
        <v>87</v>
      </c>
    </row>
    <row r="20" spans="1:31" ht="12.75" customHeight="1">
      <c r="A20" s="597"/>
      <c r="B20" s="598" t="s">
        <v>67</v>
      </c>
      <c r="C20" s="888">
        <v>1553</v>
      </c>
      <c r="D20" s="877">
        <v>4862</v>
      </c>
      <c r="E20" s="877">
        <v>6824</v>
      </c>
      <c r="F20" s="877">
        <v>7080</v>
      </c>
      <c r="G20" s="877">
        <v>7408</v>
      </c>
      <c r="H20" s="877">
        <v>7614</v>
      </c>
      <c r="I20" s="877">
        <v>7956</v>
      </c>
      <c r="J20" s="877">
        <v>8275</v>
      </c>
      <c r="K20" s="877">
        <v>8596</v>
      </c>
      <c r="L20" s="877">
        <v>8864</v>
      </c>
      <c r="M20" s="877">
        <v>9303</v>
      </c>
      <c r="N20" s="877">
        <v>9626</v>
      </c>
      <c r="O20" s="877">
        <v>9766</v>
      </c>
      <c r="P20" s="877">
        <v>10068</v>
      </c>
      <c r="Q20" s="877">
        <v>10223</v>
      </c>
      <c r="R20" s="877">
        <v>10379</v>
      </c>
      <c r="S20" s="877">
        <v>10486</v>
      </c>
      <c r="T20" s="878">
        <v>10798</v>
      </c>
      <c r="U20" s="877">
        <v>10848</v>
      </c>
      <c r="V20" s="877">
        <v>10958</v>
      </c>
      <c r="W20" s="877">
        <v>11042</v>
      </c>
      <c r="X20" s="877">
        <v>11163</v>
      </c>
      <c r="Y20" s="877">
        <v>11392</v>
      </c>
      <c r="Z20" s="877">
        <v>11413</v>
      </c>
      <c r="AA20" s="877">
        <v>11413</v>
      </c>
      <c r="AB20" s="877">
        <v>11552</v>
      </c>
      <c r="AC20" s="877">
        <v>11560</v>
      </c>
      <c r="AD20" s="887">
        <v>11599</v>
      </c>
      <c r="AE20" s="743" t="s">
        <v>67</v>
      </c>
    </row>
    <row r="21" spans="1:31" ht="12.75" customHeight="1">
      <c r="A21" s="597"/>
      <c r="B21" s="610" t="s">
        <v>148</v>
      </c>
      <c r="C21" s="874"/>
      <c r="D21" s="872"/>
      <c r="E21" s="872">
        <v>291</v>
      </c>
      <c r="F21" s="872">
        <v>302</v>
      </c>
      <c r="G21" s="872">
        <v>292</v>
      </c>
      <c r="H21" s="872">
        <v>302</v>
      </c>
      <c r="I21" s="872">
        <v>302</v>
      </c>
      <c r="J21" s="872">
        <v>302</v>
      </c>
      <c r="K21" s="872">
        <v>318</v>
      </c>
      <c r="L21" s="872">
        <v>330</v>
      </c>
      <c r="M21" s="872">
        <v>330</v>
      </c>
      <c r="N21" s="872">
        <v>382</v>
      </c>
      <c r="O21" s="872">
        <v>411</v>
      </c>
      <c r="P21" s="872">
        <v>429</v>
      </c>
      <c r="Q21" s="872">
        <v>613</v>
      </c>
      <c r="R21" s="872">
        <v>754</v>
      </c>
      <c r="S21" s="872">
        <v>925</v>
      </c>
      <c r="T21" s="897">
        <v>1016</v>
      </c>
      <c r="U21" s="872">
        <v>1081</v>
      </c>
      <c r="V21" s="872">
        <v>1156</v>
      </c>
      <c r="W21" s="872">
        <v>1199</v>
      </c>
      <c r="X21" s="872">
        <v>1244</v>
      </c>
      <c r="Y21" s="872">
        <v>1244</v>
      </c>
      <c r="Z21" s="872">
        <v>1254</v>
      </c>
      <c r="AA21" s="872">
        <v>1254</v>
      </c>
      <c r="AB21" s="872">
        <v>1289</v>
      </c>
      <c r="AC21" s="872">
        <v>1290</v>
      </c>
      <c r="AD21" s="890">
        <v>1310</v>
      </c>
      <c r="AE21" s="889" t="s">
        <v>148</v>
      </c>
    </row>
    <row r="22" spans="1:31" ht="12.75" customHeight="1">
      <c r="A22" s="597"/>
      <c r="B22" s="610" t="s">
        <v>77</v>
      </c>
      <c r="C22" s="895"/>
      <c r="D22" s="894"/>
      <c r="E22" s="872">
        <v>267</v>
      </c>
      <c r="F22" s="872">
        <v>269</v>
      </c>
      <c r="G22" s="872">
        <v>269</v>
      </c>
      <c r="H22" s="872">
        <v>269</v>
      </c>
      <c r="I22" s="872">
        <v>293</v>
      </c>
      <c r="J22" s="872">
        <v>335</v>
      </c>
      <c r="K22" s="872">
        <v>365</v>
      </c>
      <c r="L22" s="872">
        <v>382</v>
      </c>
      <c r="M22" s="872">
        <v>448</v>
      </c>
      <c r="N22" s="872">
        <v>448</v>
      </c>
      <c r="O22" s="872">
        <v>448</v>
      </c>
      <c r="P22" s="872">
        <v>448</v>
      </c>
      <c r="Q22" s="872">
        <v>542</v>
      </c>
      <c r="R22" s="872">
        <v>533</v>
      </c>
      <c r="S22" s="872">
        <v>761</v>
      </c>
      <c r="T22" s="873">
        <v>859</v>
      </c>
      <c r="U22" s="872">
        <v>1157</v>
      </c>
      <c r="V22" s="872">
        <v>1065</v>
      </c>
      <c r="W22" s="872">
        <v>1274</v>
      </c>
      <c r="X22" s="872">
        <v>1273</v>
      </c>
      <c r="Y22" s="872">
        <v>1477</v>
      </c>
      <c r="Z22" s="872">
        <v>1516</v>
      </c>
      <c r="AA22" s="872">
        <v>1515.1</v>
      </c>
      <c r="AB22" s="872">
        <v>1766.9</v>
      </c>
      <c r="AC22" s="872">
        <v>1781.8</v>
      </c>
      <c r="AD22" s="890">
        <v>1883.9</v>
      </c>
      <c r="AE22" s="889" t="s">
        <v>77</v>
      </c>
    </row>
    <row r="23" spans="1:31" ht="12.75" customHeight="1">
      <c r="A23" s="597"/>
      <c r="B23" s="610" t="s">
        <v>68</v>
      </c>
      <c r="C23" s="874">
        <v>0</v>
      </c>
      <c r="D23" s="872">
        <v>0</v>
      </c>
      <c r="E23" s="872">
        <v>26</v>
      </c>
      <c r="F23" s="872">
        <v>32</v>
      </c>
      <c r="G23" s="872">
        <v>32</v>
      </c>
      <c r="H23" s="872">
        <v>53</v>
      </c>
      <c r="I23" s="872">
        <v>72</v>
      </c>
      <c r="J23" s="872">
        <v>70</v>
      </c>
      <c r="K23" s="872">
        <v>80</v>
      </c>
      <c r="L23" s="872">
        <v>94</v>
      </c>
      <c r="M23" s="872">
        <v>103</v>
      </c>
      <c r="N23" s="872">
        <v>103</v>
      </c>
      <c r="O23" s="872">
        <v>103</v>
      </c>
      <c r="P23" s="872">
        <v>125</v>
      </c>
      <c r="Q23" s="872">
        <v>125</v>
      </c>
      <c r="R23" s="872">
        <v>176</v>
      </c>
      <c r="S23" s="872">
        <v>192</v>
      </c>
      <c r="T23" s="897">
        <v>247</v>
      </c>
      <c r="U23" s="872">
        <v>270</v>
      </c>
      <c r="V23" s="872">
        <v>269</v>
      </c>
      <c r="W23" s="872">
        <v>423</v>
      </c>
      <c r="X23" s="872">
        <v>663</v>
      </c>
      <c r="Y23" s="872">
        <v>900</v>
      </c>
      <c r="Z23" s="872">
        <v>900</v>
      </c>
      <c r="AA23" s="872">
        <v>900</v>
      </c>
      <c r="AB23" s="872">
        <v>897</v>
      </c>
      <c r="AC23" s="872">
        <v>897</v>
      </c>
      <c r="AD23" s="872">
        <v>916</v>
      </c>
      <c r="AE23" s="610" t="s">
        <v>68</v>
      </c>
    </row>
    <row r="24" spans="1:31" ht="12.75" customHeight="1">
      <c r="A24" s="597"/>
      <c r="B24" s="598" t="s">
        <v>69</v>
      </c>
      <c r="C24" s="888">
        <v>3913</v>
      </c>
      <c r="D24" s="877">
        <v>5900</v>
      </c>
      <c r="E24" s="877">
        <v>6193</v>
      </c>
      <c r="F24" s="877">
        <v>6301</v>
      </c>
      <c r="G24" s="877">
        <v>6289</v>
      </c>
      <c r="H24" s="877">
        <v>6401</v>
      </c>
      <c r="I24" s="877">
        <v>6375</v>
      </c>
      <c r="J24" s="877">
        <v>6435</v>
      </c>
      <c r="K24" s="877">
        <v>6465</v>
      </c>
      <c r="L24" s="877">
        <v>6469</v>
      </c>
      <c r="M24" s="877">
        <v>6478</v>
      </c>
      <c r="N24" s="877">
        <v>6478</v>
      </c>
      <c r="O24" s="877">
        <v>6478</v>
      </c>
      <c r="P24" s="877">
        <v>6487</v>
      </c>
      <c r="Q24" s="877">
        <v>6487</v>
      </c>
      <c r="R24" s="877">
        <v>6487</v>
      </c>
      <c r="S24" s="877">
        <v>6532</v>
      </c>
      <c r="T24" s="878">
        <v>6542</v>
      </c>
      <c r="U24" s="877">
        <v>6554</v>
      </c>
      <c r="V24" s="877">
        <v>6588</v>
      </c>
      <c r="W24" s="877">
        <v>6629</v>
      </c>
      <c r="X24" s="877">
        <v>6661</v>
      </c>
      <c r="Y24" s="877">
        <v>6668</v>
      </c>
      <c r="Z24" s="877">
        <v>6668</v>
      </c>
      <c r="AA24" s="877">
        <v>6726</v>
      </c>
      <c r="AB24" s="877">
        <v>6751</v>
      </c>
      <c r="AC24" s="877">
        <v>6844</v>
      </c>
      <c r="AD24" s="887">
        <v>6943</v>
      </c>
      <c r="AE24" s="886" t="s">
        <v>69</v>
      </c>
    </row>
    <row r="25" spans="1:31" ht="12.75" customHeight="1">
      <c r="A25" s="597"/>
      <c r="B25" s="610" t="s">
        <v>73</v>
      </c>
      <c r="C25" s="874"/>
      <c r="D25" s="872"/>
      <c r="E25" s="872">
        <v>421</v>
      </c>
      <c r="F25" s="872">
        <v>376</v>
      </c>
      <c r="G25" s="872">
        <v>382</v>
      </c>
      <c r="H25" s="872">
        <v>394</v>
      </c>
      <c r="I25" s="872">
        <v>394</v>
      </c>
      <c r="J25" s="872">
        <v>394</v>
      </c>
      <c r="K25" s="872">
        <v>404</v>
      </c>
      <c r="L25" s="872">
        <v>410</v>
      </c>
      <c r="M25" s="872">
        <v>417</v>
      </c>
      <c r="N25" s="872">
        <v>417</v>
      </c>
      <c r="O25" s="872">
        <v>417</v>
      </c>
      <c r="P25" s="872">
        <v>417</v>
      </c>
      <c r="Q25" s="872">
        <v>417</v>
      </c>
      <c r="R25" s="872">
        <v>417</v>
      </c>
      <c r="S25" s="872">
        <v>417</v>
      </c>
      <c r="T25" s="873">
        <v>417</v>
      </c>
      <c r="U25" s="872">
        <v>309</v>
      </c>
      <c r="V25" s="872">
        <v>309</v>
      </c>
      <c r="W25" s="872">
        <v>309</v>
      </c>
      <c r="X25" s="872">
        <v>309</v>
      </c>
      <c r="Y25" s="872">
        <v>309</v>
      </c>
      <c r="Z25" s="872">
        <v>309</v>
      </c>
      <c r="AA25" s="872">
        <v>309</v>
      </c>
      <c r="AB25" s="872">
        <v>309</v>
      </c>
      <c r="AC25" s="872">
        <v>309</v>
      </c>
      <c r="AD25" s="890">
        <v>309</v>
      </c>
      <c r="AE25" s="889" t="s">
        <v>73</v>
      </c>
    </row>
    <row r="26" spans="1:31" ht="12.75" customHeight="1">
      <c r="A26" s="597"/>
      <c r="B26" s="598" t="s">
        <v>76</v>
      </c>
      <c r="C26" s="888">
        <v>7</v>
      </c>
      <c r="D26" s="877">
        <v>44</v>
      </c>
      <c r="E26" s="877">
        <v>78</v>
      </c>
      <c r="F26" s="876">
        <v>78</v>
      </c>
      <c r="G26" s="876">
        <v>95</v>
      </c>
      <c r="H26" s="877">
        <v>100</v>
      </c>
      <c r="I26" s="877">
        <v>121</v>
      </c>
      <c r="J26" s="877">
        <v>123</v>
      </c>
      <c r="K26" s="877">
        <v>115</v>
      </c>
      <c r="L26" s="877">
        <v>118</v>
      </c>
      <c r="M26" s="877">
        <v>115</v>
      </c>
      <c r="N26" s="877">
        <v>115</v>
      </c>
      <c r="O26" s="877">
        <v>114</v>
      </c>
      <c r="P26" s="877">
        <v>126</v>
      </c>
      <c r="Q26" s="877">
        <v>147</v>
      </c>
      <c r="R26" s="877">
        <v>147</v>
      </c>
      <c r="S26" s="877">
        <v>147</v>
      </c>
      <c r="T26" s="878">
        <v>147</v>
      </c>
      <c r="U26" s="877">
        <v>147</v>
      </c>
      <c r="V26" s="877">
        <v>147</v>
      </c>
      <c r="W26" s="877">
        <v>147</v>
      </c>
      <c r="X26" s="877">
        <v>147</v>
      </c>
      <c r="Y26" s="877">
        <v>152</v>
      </c>
      <c r="Z26" s="877">
        <v>152</v>
      </c>
      <c r="AA26" s="877">
        <v>152</v>
      </c>
      <c r="AB26" s="877">
        <v>152</v>
      </c>
      <c r="AC26" s="877">
        <v>152</v>
      </c>
      <c r="AD26" s="887">
        <v>161</v>
      </c>
      <c r="AE26" s="743" t="s">
        <v>76</v>
      </c>
    </row>
    <row r="27" spans="1:31" ht="12.75" customHeight="1">
      <c r="A27" s="597"/>
      <c r="B27" s="598" t="s">
        <v>72</v>
      </c>
      <c r="C27" s="888" t="s">
        <v>146</v>
      </c>
      <c r="D27" s="877" t="s">
        <v>146</v>
      </c>
      <c r="E27" s="877" t="s">
        <v>146</v>
      </c>
      <c r="F27" s="877" t="s">
        <v>146</v>
      </c>
      <c r="G27" s="877" t="s">
        <v>146</v>
      </c>
      <c r="H27" s="877" t="s">
        <v>146</v>
      </c>
      <c r="I27" s="877" t="s">
        <v>146</v>
      </c>
      <c r="J27" s="877" t="s">
        <v>146</v>
      </c>
      <c r="K27" s="877" t="s">
        <v>146</v>
      </c>
      <c r="L27" s="877" t="s">
        <v>146</v>
      </c>
      <c r="M27" s="877" t="s">
        <v>146</v>
      </c>
      <c r="N27" s="877" t="s">
        <v>146</v>
      </c>
      <c r="O27" s="877" t="s">
        <v>192</v>
      </c>
      <c r="P27" s="877" t="s">
        <v>146</v>
      </c>
      <c r="Q27" s="877" t="s">
        <v>146</v>
      </c>
      <c r="R27" s="877" t="s">
        <v>146</v>
      </c>
      <c r="S27" s="877" t="s">
        <v>146</v>
      </c>
      <c r="T27" s="878" t="s">
        <v>146</v>
      </c>
      <c r="U27" s="877" t="s">
        <v>146</v>
      </c>
      <c r="V27" s="877" t="s">
        <v>146</v>
      </c>
      <c r="W27" s="877" t="s">
        <v>146</v>
      </c>
      <c r="X27" s="877" t="s">
        <v>146</v>
      </c>
      <c r="Y27" s="877" t="s">
        <v>146</v>
      </c>
      <c r="Z27" s="877" t="s">
        <v>146</v>
      </c>
      <c r="AA27" s="877" t="s">
        <v>146</v>
      </c>
      <c r="AB27" s="877" t="s">
        <v>146</v>
      </c>
      <c r="AC27" s="877" t="s">
        <v>146</v>
      </c>
      <c r="AD27" s="887" t="s">
        <v>146</v>
      </c>
      <c r="AE27" s="886" t="s">
        <v>72</v>
      </c>
    </row>
    <row r="28" spans="1:31" ht="12.75" customHeight="1">
      <c r="A28" s="597"/>
      <c r="B28" s="598" t="s">
        <v>78</v>
      </c>
      <c r="C28" s="888" t="s">
        <v>146</v>
      </c>
      <c r="D28" s="877" t="s">
        <v>146</v>
      </c>
      <c r="E28" s="877" t="s">
        <v>146</v>
      </c>
      <c r="F28" s="877" t="s">
        <v>146</v>
      </c>
      <c r="G28" s="877" t="s">
        <v>146</v>
      </c>
      <c r="H28" s="877" t="s">
        <v>146</v>
      </c>
      <c r="I28" s="877" t="s">
        <v>146</v>
      </c>
      <c r="J28" s="877" t="s">
        <v>146</v>
      </c>
      <c r="K28" s="877" t="s">
        <v>146</v>
      </c>
      <c r="L28" s="877" t="s">
        <v>146</v>
      </c>
      <c r="M28" s="877" t="s">
        <v>146</v>
      </c>
      <c r="N28" s="877" t="s">
        <v>146</v>
      </c>
      <c r="O28" s="877" t="s">
        <v>192</v>
      </c>
      <c r="P28" s="877" t="s">
        <v>146</v>
      </c>
      <c r="Q28" s="877" t="s">
        <v>146</v>
      </c>
      <c r="R28" s="877" t="s">
        <v>146</v>
      </c>
      <c r="S28" s="877" t="s">
        <v>146</v>
      </c>
      <c r="T28" s="878" t="s">
        <v>146</v>
      </c>
      <c r="U28" s="877" t="s">
        <v>146</v>
      </c>
      <c r="V28" s="877" t="s">
        <v>146</v>
      </c>
      <c r="W28" s="877" t="s">
        <v>146</v>
      </c>
      <c r="X28" s="877" t="s">
        <v>146</v>
      </c>
      <c r="Y28" s="877" t="s">
        <v>146</v>
      </c>
      <c r="Z28" s="877" t="s">
        <v>146</v>
      </c>
      <c r="AA28" s="877" t="s">
        <v>146</v>
      </c>
      <c r="AB28" s="877" t="s">
        <v>146</v>
      </c>
      <c r="AC28" s="877" t="s">
        <v>146</v>
      </c>
      <c r="AD28" s="887" t="s">
        <v>146</v>
      </c>
      <c r="AE28" s="743" t="s">
        <v>78</v>
      </c>
    </row>
    <row r="29" spans="1:31" ht="12.75" customHeight="1">
      <c r="A29" s="597"/>
      <c r="B29" s="610" t="s">
        <v>16</v>
      </c>
      <c r="C29" s="874">
        <v>1209</v>
      </c>
      <c r="D29" s="872">
        <v>1798</v>
      </c>
      <c r="E29" s="872">
        <v>2092</v>
      </c>
      <c r="F29" s="872">
        <v>2092</v>
      </c>
      <c r="G29" s="872">
        <v>2134</v>
      </c>
      <c r="H29" s="872">
        <v>2167</v>
      </c>
      <c r="I29" s="872">
        <v>2208</v>
      </c>
      <c r="J29" s="872">
        <v>2208</v>
      </c>
      <c r="K29" s="872">
        <v>2208</v>
      </c>
      <c r="L29" s="872">
        <v>2225</v>
      </c>
      <c r="M29" s="872">
        <v>2225</v>
      </c>
      <c r="N29" s="872">
        <v>2291</v>
      </c>
      <c r="O29" s="872">
        <v>2265</v>
      </c>
      <c r="P29" s="872">
        <v>2499</v>
      </c>
      <c r="Q29" s="872">
        <v>2516</v>
      </c>
      <c r="R29" s="872">
        <v>2541</v>
      </c>
      <c r="S29" s="872">
        <v>2585</v>
      </c>
      <c r="T29" s="873">
        <v>2600</v>
      </c>
      <c r="U29" s="872">
        <v>2604</v>
      </c>
      <c r="V29" s="872">
        <v>2582</v>
      </c>
      <c r="W29" s="872">
        <v>2637</v>
      </c>
      <c r="X29" s="872">
        <v>2646</v>
      </c>
      <c r="Y29" s="872">
        <v>2651</v>
      </c>
      <c r="Z29" s="872">
        <v>2658</v>
      </c>
      <c r="AA29" s="872">
        <v>2666</v>
      </c>
      <c r="AB29" s="872">
        <v>2678</v>
      </c>
      <c r="AC29" s="872">
        <v>2730</v>
      </c>
      <c r="AD29" s="890">
        <v>2756</v>
      </c>
      <c r="AE29" s="889" t="s">
        <v>16</v>
      </c>
    </row>
    <row r="30" spans="1:31" ht="12.75" customHeight="1">
      <c r="A30" s="597"/>
      <c r="B30" s="610" t="s">
        <v>80</v>
      </c>
      <c r="C30" s="874"/>
      <c r="D30" s="872"/>
      <c r="E30" s="872">
        <v>257</v>
      </c>
      <c r="F30" s="872">
        <v>239</v>
      </c>
      <c r="G30" s="872">
        <v>257</v>
      </c>
      <c r="H30" s="872">
        <v>231</v>
      </c>
      <c r="I30" s="872">
        <v>245</v>
      </c>
      <c r="J30" s="872">
        <v>246</v>
      </c>
      <c r="K30" s="872">
        <v>258</v>
      </c>
      <c r="L30" s="872">
        <v>264</v>
      </c>
      <c r="M30" s="872">
        <v>268</v>
      </c>
      <c r="N30" s="872">
        <v>317</v>
      </c>
      <c r="O30" s="872">
        <v>358</v>
      </c>
      <c r="P30" s="872">
        <v>398</v>
      </c>
      <c r="Q30" s="872">
        <v>405</v>
      </c>
      <c r="R30" s="872">
        <v>484</v>
      </c>
      <c r="S30" s="872">
        <v>552</v>
      </c>
      <c r="T30" s="873">
        <v>552</v>
      </c>
      <c r="U30" s="872">
        <v>582.5</v>
      </c>
      <c r="V30" s="872">
        <v>662.5</v>
      </c>
      <c r="W30" s="872">
        <v>765</v>
      </c>
      <c r="X30" s="872">
        <v>849</v>
      </c>
      <c r="Y30" s="872">
        <v>857</v>
      </c>
      <c r="Z30" s="872">
        <v>1070</v>
      </c>
      <c r="AA30" s="872">
        <v>1365</v>
      </c>
      <c r="AB30" s="872">
        <v>1482</v>
      </c>
      <c r="AC30" s="872">
        <v>1556</v>
      </c>
      <c r="AD30" s="890">
        <v>1559</v>
      </c>
      <c r="AE30" s="889" t="s">
        <v>80</v>
      </c>
    </row>
    <row r="31" spans="1:31" ht="12.75" customHeight="1">
      <c r="A31" s="597"/>
      <c r="B31" s="598" t="s">
        <v>92</v>
      </c>
      <c r="C31" s="888">
        <v>66</v>
      </c>
      <c r="D31" s="877">
        <v>132</v>
      </c>
      <c r="E31" s="877">
        <v>316</v>
      </c>
      <c r="F31" s="877">
        <v>474</v>
      </c>
      <c r="G31" s="877">
        <v>520</v>
      </c>
      <c r="H31" s="877">
        <v>579</v>
      </c>
      <c r="I31" s="877">
        <v>587</v>
      </c>
      <c r="J31" s="876">
        <v>687</v>
      </c>
      <c r="K31" s="876">
        <v>710</v>
      </c>
      <c r="L31" s="876">
        <v>797</v>
      </c>
      <c r="M31" s="876">
        <v>1252</v>
      </c>
      <c r="N31" s="876">
        <v>1441</v>
      </c>
      <c r="O31" s="876">
        <v>1482</v>
      </c>
      <c r="P31" s="876">
        <v>1659</v>
      </c>
      <c r="Q31" s="876">
        <v>1836</v>
      </c>
      <c r="R31" s="876">
        <v>2002</v>
      </c>
      <c r="S31" s="876">
        <v>2091</v>
      </c>
      <c r="T31" s="896">
        <v>2341</v>
      </c>
      <c r="U31" s="876">
        <v>2545</v>
      </c>
      <c r="V31" s="876">
        <v>2613</v>
      </c>
      <c r="W31" s="876">
        <v>2623</v>
      </c>
      <c r="X31" s="877">
        <v>2705</v>
      </c>
      <c r="Y31" s="877">
        <v>2737</v>
      </c>
      <c r="Z31" s="877">
        <v>2737</v>
      </c>
      <c r="AA31" s="877">
        <v>2988</v>
      </c>
      <c r="AB31" s="877">
        <v>3065</v>
      </c>
      <c r="AC31" s="877">
        <v>3065</v>
      </c>
      <c r="AD31" s="887">
        <v>3065</v>
      </c>
      <c r="AE31" s="743" t="s">
        <v>92</v>
      </c>
    </row>
    <row r="32" spans="1:31" ht="12.75" customHeight="1">
      <c r="A32" s="597"/>
      <c r="B32" s="610" t="s">
        <v>102</v>
      </c>
      <c r="C32" s="874"/>
      <c r="D32" s="872"/>
      <c r="E32" s="872">
        <v>113</v>
      </c>
      <c r="F32" s="872">
        <v>113</v>
      </c>
      <c r="G32" s="872">
        <v>113</v>
      </c>
      <c r="H32" s="872">
        <v>113</v>
      </c>
      <c r="I32" s="872">
        <v>113</v>
      </c>
      <c r="J32" s="872">
        <v>113</v>
      </c>
      <c r="K32" s="872">
        <v>113</v>
      </c>
      <c r="L32" s="872">
        <v>113</v>
      </c>
      <c r="M32" s="872">
        <v>113</v>
      </c>
      <c r="N32" s="872">
        <v>113</v>
      </c>
      <c r="O32" s="872">
        <v>113</v>
      </c>
      <c r="P32" s="872">
        <v>113</v>
      </c>
      <c r="Q32" s="872">
        <v>113</v>
      </c>
      <c r="R32" s="872">
        <v>113</v>
      </c>
      <c r="S32" s="872">
        <v>228</v>
      </c>
      <c r="T32" s="873">
        <v>228</v>
      </c>
      <c r="U32" s="872">
        <v>228</v>
      </c>
      <c r="V32" s="872">
        <v>281</v>
      </c>
      <c r="W32" s="872">
        <v>281</v>
      </c>
      <c r="X32" s="872">
        <v>321</v>
      </c>
      <c r="Y32" s="872">
        <v>332</v>
      </c>
      <c r="Z32" s="872">
        <v>350</v>
      </c>
      <c r="AA32" s="872">
        <v>550</v>
      </c>
      <c r="AB32" s="872">
        <v>644</v>
      </c>
      <c r="AC32" s="872">
        <v>683</v>
      </c>
      <c r="AD32" s="890">
        <v>747</v>
      </c>
      <c r="AE32" s="889" t="s">
        <v>102</v>
      </c>
    </row>
    <row r="33" spans="1:31" ht="12.75" customHeight="1">
      <c r="A33" s="597"/>
      <c r="B33" s="610" t="s">
        <v>88</v>
      </c>
      <c r="C33" s="874">
        <v>403</v>
      </c>
      <c r="D33" s="872">
        <v>850</v>
      </c>
      <c r="E33" s="872">
        <v>939</v>
      </c>
      <c r="F33" s="872">
        <v>968</v>
      </c>
      <c r="G33" s="872">
        <v>1005</v>
      </c>
      <c r="H33" s="872">
        <v>1061</v>
      </c>
      <c r="I33" s="872">
        <v>1125</v>
      </c>
      <c r="J33" s="872">
        <v>1262</v>
      </c>
      <c r="K33" s="872">
        <v>1350</v>
      </c>
      <c r="L33" s="872">
        <v>1423</v>
      </c>
      <c r="M33" s="872">
        <v>1439</v>
      </c>
      <c r="N33" s="872">
        <v>1484</v>
      </c>
      <c r="O33" s="872">
        <v>1499</v>
      </c>
      <c r="P33" s="872">
        <v>1507</v>
      </c>
      <c r="Q33" s="872">
        <v>1544</v>
      </c>
      <c r="R33" s="872">
        <v>1591</v>
      </c>
      <c r="S33" s="872">
        <v>1700</v>
      </c>
      <c r="T33" s="872">
        <v>1700</v>
      </c>
      <c r="U33" s="872">
        <v>1740</v>
      </c>
      <c r="V33" s="872">
        <v>1806</v>
      </c>
      <c r="W33" s="872">
        <v>1857</v>
      </c>
      <c r="X33" s="872">
        <v>1923</v>
      </c>
      <c r="Y33" s="872">
        <v>1971</v>
      </c>
      <c r="Z33" s="872">
        <v>1957</v>
      </c>
      <c r="AA33" s="872">
        <v>2004</v>
      </c>
      <c r="AB33" s="872">
        <v>2044</v>
      </c>
      <c r="AC33" s="872">
        <v>2088</v>
      </c>
      <c r="AD33" s="890">
        <v>2119</v>
      </c>
      <c r="AE33" s="889" t="s">
        <v>88</v>
      </c>
    </row>
    <row r="34" spans="1:31" ht="12.75" customHeight="1">
      <c r="A34" s="597"/>
      <c r="B34" s="598" t="s">
        <v>83</v>
      </c>
      <c r="C34" s="888"/>
      <c r="D34" s="877"/>
      <c r="E34" s="877">
        <v>228</v>
      </c>
      <c r="F34" s="876">
        <v>246</v>
      </c>
      <c r="G34" s="876">
        <v>254</v>
      </c>
      <c r="H34" s="877">
        <v>268</v>
      </c>
      <c r="I34" s="877">
        <v>277</v>
      </c>
      <c r="J34" s="877">
        <v>293</v>
      </c>
      <c r="K34" s="877">
        <v>310</v>
      </c>
      <c r="L34" s="877">
        <v>330</v>
      </c>
      <c r="M34" s="877">
        <v>369</v>
      </c>
      <c r="N34" s="877">
        <v>399</v>
      </c>
      <c r="O34" s="877">
        <v>427</v>
      </c>
      <c r="P34" s="877">
        <v>435</v>
      </c>
      <c r="Q34" s="877">
        <v>457</v>
      </c>
      <c r="R34" s="877">
        <v>477</v>
      </c>
      <c r="S34" s="877">
        <v>483</v>
      </c>
      <c r="T34" s="878">
        <v>569</v>
      </c>
      <c r="U34" s="877">
        <v>579</v>
      </c>
      <c r="V34" s="877">
        <v>579</v>
      </c>
      <c r="W34" s="877">
        <v>696</v>
      </c>
      <c r="X34" s="877">
        <v>747</v>
      </c>
      <c r="Y34" s="877">
        <v>771</v>
      </c>
      <c r="Z34" s="877">
        <v>768</v>
      </c>
      <c r="AA34" s="877">
        <v>769</v>
      </c>
      <c r="AB34" s="877">
        <v>770</v>
      </c>
      <c r="AC34" s="877">
        <v>770</v>
      </c>
      <c r="AD34" s="887">
        <v>773</v>
      </c>
      <c r="AE34" s="743" t="s">
        <v>83</v>
      </c>
    </row>
    <row r="35" spans="1:31" ht="12.75" customHeight="1">
      <c r="A35" s="597"/>
      <c r="B35" s="610" t="s">
        <v>85</v>
      </c>
      <c r="C35" s="895"/>
      <c r="D35" s="894"/>
      <c r="E35" s="872">
        <v>192</v>
      </c>
      <c r="F35" s="872">
        <v>198</v>
      </c>
      <c r="G35" s="872">
        <v>198</v>
      </c>
      <c r="H35" s="872">
        <v>198</v>
      </c>
      <c r="I35" s="872">
        <v>198</v>
      </c>
      <c r="J35" s="872">
        <v>198</v>
      </c>
      <c r="K35" s="872">
        <v>215</v>
      </c>
      <c r="L35" s="872">
        <v>219</v>
      </c>
      <c r="M35" s="872">
        <v>292</v>
      </c>
      <c r="N35" s="872">
        <v>295</v>
      </c>
      <c r="O35" s="872">
        <v>296</v>
      </c>
      <c r="P35" s="872">
        <v>296</v>
      </c>
      <c r="Q35" s="872">
        <v>302</v>
      </c>
      <c r="R35" s="872">
        <v>313</v>
      </c>
      <c r="S35" s="872">
        <v>316</v>
      </c>
      <c r="T35" s="873">
        <v>328</v>
      </c>
      <c r="U35" s="872">
        <v>328</v>
      </c>
      <c r="V35" s="872">
        <v>365</v>
      </c>
      <c r="W35" s="872">
        <v>384</v>
      </c>
      <c r="X35" s="872">
        <v>391</v>
      </c>
      <c r="Y35" s="872">
        <v>415.7</v>
      </c>
      <c r="Z35" s="872">
        <v>419.2</v>
      </c>
      <c r="AA35" s="872">
        <v>419.2</v>
      </c>
      <c r="AB35" s="872">
        <v>420</v>
      </c>
      <c r="AC35" s="872">
        <v>419.7</v>
      </c>
      <c r="AD35" s="890">
        <v>463.1</v>
      </c>
      <c r="AE35" s="889" t="s">
        <v>85</v>
      </c>
    </row>
    <row r="36" spans="1:31" ht="12.75" customHeight="1">
      <c r="A36" s="597"/>
      <c r="B36" s="604" t="s">
        <v>13</v>
      </c>
      <c r="C36" s="870">
        <v>1183</v>
      </c>
      <c r="D36" s="868">
        <v>2683</v>
      </c>
      <c r="E36" s="868">
        <v>3211.6</v>
      </c>
      <c r="F36" s="868">
        <v>3243</v>
      </c>
      <c r="G36" s="868">
        <v>3321</v>
      </c>
      <c r="H36" s="868">
        <v>3352</v>
      </c>
      <c r="I36" s="868">
        <v>3379</v>
      </c>
      <c r="J36" s="868">
        <v>3408</v>
      </c>
      <c r="K36" s="868">
        <v>3488</v>
      </c>
      <c r="L36" s="868">
        <v>3531</v>
      </c>
      <c r="M36" s="868">
        <v>3559</v>
      </c>
      <c r="N36" s="868">
        <v>3577</v>
      </c>
      <c r="O36" s="868">
        <v>3586</v>
      </c>
      <c r="P36" s="868">
        <v>3588</v>
      </c>
      <c r="Q36" s="868">
        <v>3588</v>
      </c>
      <c r="R36" s="868">
        <v>3633</v>
      </c>
      <c r="S36" s="868">
        <v>3628.49</v>
      </c>
      <c r="T36" s="868">
        <v>3665.44</v>
      </c>
      <c r="U36" s="868">
        <v>3669.44</v>
      </c>
      <c r="V36" s="868">
        <v>3672.7999999999997</v>
      </c>
      <c r="W36" s="868">
        <v>3673.8999999999996</v>
      </c>
      <c r="X36" s="868">
        <v>3671.7999999999997</v>
      </c>
      <c r="Y36" s="868">
        <v>3685.6</v>
      </c>
      <c r="Z36" s="868">
        <v>3732.52</v>
      </c>
      <c r="AA36" s="868">
        <v>3756.02</v>
      </c>
      <c r="AB36" s="868">
        <f>3645+114.9</f>
        <v>3759.9</v>
      </c>
      <c r="AC36" s="868">
        <f>3654+114.9</f>
        <v>3768.9</v>
      </c>
      <c r="AD36" s="893">
        <f>AC36</f>
        <v>3768.9</v>
      </c>
      <c r="AE36" s="866" t="s">
        <v>13</v>
      </c>
    </row>
    <row r="37" spans="1:31" ht="12.75" customHeight="1">
      <c r="A37" s="597"/>
      <c r="B37" s="610" t="s">
        <v>289</v>
      </c>
      <c r="C37" s="874"/>
      <c r="D37" s="872"/>
      <c r="E37" s="872"/>
      <c r="F37" s="872"/>
      <c r="G37" s="872"/>
      <c r="H37" s="872"/>
      <c r="I37" s="872"/>
      <c r="J37" s="872"/>
      <c r="K37" s="872"/>
      <c r="L37" s="872"/>
      <c r="M37" s="872"/>
      <c r="N37" s="872"/>
      <c r="O37" s="872"/>
      <c r="P37" s="892"/>
      <c r="Q37" s="872"/>
      <c r="R37" s="872"/>
      <c r="S37" s="872"/>
      <c r="T37" s="873"/>
      <c r="U37" s="872"/>
      <c r="V37" s="872"/>
      <c r="W37" s="872"/>
      <c r="X37" s="872"/>
      <c r="Y37" s="872"/>
      <c r="Z37" s="872"/>
      <c r="AA37" s="871"/>
      <c r="AB37" s="871"/>
      <c r="AC37" s="871"/>
      <c r="AD37" s="891"/>
      <c r="AE37" s="889" t="s">
        <v>289</v>
      </c>
    </row>
    <row r="38" spans="1:31" ht="12.75" customHeight="1">
      <c r="A38" s="597"/>
      <c r="B38" s="598" t="s">
        <v>235</v>
      </c>
      <c r="C38" s="888"/>
      <c r="D38" s="877"/>
      <c r="E38" s="877" t="s">
        <v>146</v>
      </c>
      <c r="F38" s="877" t="s">
        <v>146</v>
      </c>
      <c r="G38" s="877" t="s">
        <v>146</v>
      </c>
      <c r="H38" s="877" t="s">
        <v>146</v>
      </c>
      <c r="I38" s="877" t="s">
        <v>146</v>
      </c>
      <c r="J38" s="877" t="s">
        <v>146</v>
      </c>
      <c r="K38" s="877" t="s">
        <v>146</v>
      </c>
      <c r="L38" s="877" t="s">
        <v>146</v>
      </c>
      <c r="M38" s="877" t="s">
        <v>146</v>
      </c>
      <c r="N38" s="877" t="s">
        <v>146</v>
      </c>
      <c r="O38" s="877" t="s">
        <v>146</v>
      </c>
      <c r="P38" s="877" t="s">
        <v>146</v>
      </c>
      <c r="Q38" s="877" t="s">
        <v>146</v>
      </c>
      <c r="R38" s="877" t="s">
        <v>146</v>
      </c>
      <c r="S38" s="877" t="s">
        <v>146</v>
      </c>
      <c r="T38" s="878" t="s">
        <v>146</v>
      </c>
      <c r="U38" s="877" t="s">
        <v>146</v>
      </c>
      <c r="V38" s="877" t="s">
        <v>146</v>
      </c>
      <c r="W38" s="877" t="s">
        <v>146</v>
      </c>
      <c r="X38" s="877" t="s">
        <v>146</v>
      </c>
      <c r="Y38" s="877" t="s">
        <v>146</v>
      </c>
      <c r="Z38" s="877" t="s">
        <v>146</v>
      </c>
      <c r="AA38" s="877" t="s">
        <v>146</v>
      </c>
      <c r="AB38" s="877" t="s">
        <v>146</v>
      </c>
      <c r="AC38" s="877" t="s">
        <v>146</v>
      </c>
      <c r="AD38" s="887" t="s">
        <v>146</v>
      </c>
      <c r="AE38" s="886" t="s">
        <v>235</v>
      </c>
    </row>
    <row r="39" spans="1:31" ht="12.75" customHeight="1">
      <c r="A39" s="597"/>
      <c r="B39" s="610" t="s">
        <v>149</v>
      </c>
      <c r="C39" s="874"/>
      <c r="D39" s="872"/>
      <c r="E39" s="872">
        <v>83</v>
      </c>
      <c r="F39" s="872"/>
      <c r="G39" s="872"/>
      <c r="H39" s="872"/>
      <c r="I39" s="872"/>
      <c r="J39" s="872"/>
      <c r="K39" s="872"/>
      <c r="L39" s="872"/>
      <c r="M39" s="872"/>
      <c r="N39" s="872"/>
      <c r="O39" s="872"/>
      <c r="P39" s="872">
        <v>145</v>
      </c>
      <c r="Q39" s="872">
        <v>208</v>
      </c>
      <c r="R39" s="872">
        <v>208</v>
      </c>
      <c r="S39" s="872">
        <v>208</v>
      </c>
      <c r="T39" s="873">
        <v>216</v>
      </c>
      <c r="U39" s="872">
        <v>216</v>
      </c>
      <c r="V39" s="872">
        <v>221</v>
      </c>
      <c r="W39" s="872">
        <v>237</v>
      </c>
      <c r="X39" s="872">
        <v>251</v>
      </c>
      <c r="Y39" s="872">
        <v>251</v>
      </c>
      <c r="Z39" s="872">
        <v>259</v>
      </c>
      <c r="AA39" s="872">
        <v>259</v>
      </c>
      <c r="AB39" s="872">
        <v>259</v>
      </c>
      <c r="AC39" s="872">
        <v>259</v>
      </c>
      <c r="AD39" s="890">
        <v>259</v>
      </c>
      <c r="AE39" s="889" t="s">
        <v>149</v>
      </c>
    </row>
    <row r="40" spans="1:31" ht="12.75" customHeight="1">
      <c r="A40" s="597"/>
      <c r="B40" s="598" t="s">
        <v>236</v>
      </c>
      <c r="C40" s="888"/>
      <c r="D40" s="877"/>
      <c r="E40" s="877"/>
      <c r="F40" s="877"/>
      <c r="G40" s="877"/>
      <c r="H40" s="877"/>
      <c r="I40" s="877"/>
      <c r="J40" s="877"/>
      <c r="K40" s="877"/>
      <c r="L40" s="877"/>
      <c r="M40" s="877"/>
      <c r="N40" s="877"/>
      <c r="O40" s="877"/>
      <c r="P40" s="877"/>
      <c r="Q40" s="877"/>
      <c r="R40" s="877">
        <v>603</v>
      </c>
      <c r="S40" s="877">
        <v>603</v>
      </c>
      <c r="T40" s="877">
        <v>603</v>
      </c>
      <c r="U40" s="877">
        <v>603</v>
      </c>
      <c r="V40" s="877">
        <v>603</v>
      </c>
      <c r="W40" s="877">
        <v>603</v>
      </c>
      <c r="X40" s="877">
        <v>603</v>
      </c>
      <c r="Y40" s="877">
        <v>603</v>
      </c>
      <c r="Z40" s="877">
        <v>603</v>
      </c>
      <c r="AA40" s="877">
        <v>603</v>
      </c>
      <c r="AB40" s="877">
        <v>603</v>
      </c>
      <c r="AC40" s="877">
        <v>603</v>
      </c>
      <c r="AD40" s="887">
        <v>603</v>
      </c>
      <c r="AE40" s="886" t="s">
        <v>236</v>
      </c>
    </row>
    <row r="41" spans="1:31" ht="12.75" customHeight="1">
      <c r="A41" s="597"/>
      <c r="B41" s="657" t="s">
        <v>150</v>
      </c>
      <c r="C41" s="885"/>
      <c r="D41" s="883"/>
      <c r="E41" s="883">
        <v>281</v>
      </c>
      <c r="F41" s="883">
        <v>387</v>
      </c>
      <c r="G41" s="883">
        <v>757</v>
      </c>
      <c r="H41" s="883"/>
      <c r="I41" s="883"/>
      <c r="J41" s="883"/>
      <c r="K41" s="883"/>
      <c r="L41" s="883"/>
      <c r="M41" s="883"/>
      <c r="N41" s="883"/>
      <c r="O41" s="883"/>
      <c r="P41" s="883">
        <v>1851</v>
      </c>
      <c r="Q41" s="883">
        <v>1851</v>
      </c>
      <c r="R41" s="883">
        <v>1882</v>
      </c>
      <c r="S41" s="883">
        <v>1741</v>
      </c>
      <c r="T41" s="884">
        <v>1667</v>
      </c>
      <c r="U41" s="883">
        <v>1908</v>
      </c>
      <c r="V41" s="883">
        <v>1908</v>
      </c>
      <c r="W41" s="883">
        <v>1922</v>
      </c>
      <c r="X41" s="883">
        <v>2036</v>
      </c>
      <c r="Y41" s="883">
        <v>2080</v>
      </c>
      <c r="Z41" s="883">
        <v>2119</v>
      </c>
      <c r="AA41" s="883">
        <v>2127</v>
      </c>
      <c r="AB41" s="883">
        <v>2127</v>
      </c>
      <c r="AC41" s="883">
        <v>2282</v>
      </c>
      <c r="AD41" s="882">
        <v>2159</v>
      </c>
      <c r="AE41" s="881" t="s">
        <v>150</v>
      </c>
    </row>
    <row r="42" spans="1:31" ht="12.75" customHeight="1">
      <c r="A42" s="597"/>
      <c r="B42" s="833" t="s">
        <v>151</v>
      </c>
      <c r="C42" s="880" t="s">
        <v>146</v>
      </c>
      <c r="D42" s="879" t="s">
        <v>146</v>
      </c>
      <c r="E42" s="877" t="s">
        <v>146</v>
      </c>
      <c r="F42" s="877" t="s">
        <v>146</v>
      </c>
      <c r="G42" s="877" t="s">
        <v>146</v>
      </c>
      <c r="H42" s="877" t="s">
        <v>146</v>
      </c>
      <c r="I42" s="877" t="s">
        <v>146</v>
      </c>
      <c r="J42" s="877" t="s">
        <v>146</v>
      </c>
      <c r="K42" s="877" t="s">
        <v>146</v>
      </c>
      <c r="L42" s="877" t="s">
        <v>146</v>
      </c>
      <c r="M42" s="877" t="s">
        <v>146</v>
      </c>
      <c r="N42" s="877" t="s">
        <v>146</v>
      </c>
      <c r="O42" s="877" t="s">
        <v>192</v>
      </c>
      <c r="P42" s="877" t="s">
        <v>146</v>
      </c>
      <c r="Q42" s="877" t="s">
        <v>146</v>
      </c>
      <c r="R42" s="877" t="s">
        <v>146</v>
      </c>
      <c r="S42" s="877" t="s">
        <v>146</v>
      </c>
      <c r="T42" s="878">
        <v>11</v>
      </c>
      <c r="U42" s="877">
        <v>11</v>
      </c>
      <c r="V42" s="877">
        <v>11</v>
      </c>
      <c r="W42" s="877">
        <v>11</v>
      </c>
      <c r="X42" s="877">
        <v>11</v>
      </c>
      <c r="Y42" s="877">
        <v>11</v>
      </c>
      <c r="Z42" s="876">
        <v>11</v>
      </c>
      <c r="AA42" s="876">
        <v>11</v>
      </c>
      <c r="AB42" s="876">
        <v>11</v>
      </c>
      <c r="AC42" s="875">
        <v>11</v>
      </c>
      <c r="AD42" s="875">
        <v>11</v>
      </c>
      <c r="AE42" s="833" t="s">
        <v>151</v>
      </c>
    </row>
    <row r="43" spans="1:31" ht="12.75" customHeight="1">
      <c r="A43" s="597"/>
      <c r="B43" s="610" t="s">
        <v>152</v>
      </c>
      <c r="C43" s="874">
        <v>41</v>
      </c>
      <c r="D43" s="872">
        <v>57</v>
      </c>
      <c r="E43" s="872">
        <v>73</v>
      </c>
      <c r="F43" s="872"/>
      <c r="G43" s="872"/>
      <c r="H43" s="872"/>
      <c r="I43" s="872">
        <v>94</v>
      </c>
      <c r="J43" s="872">
        <v>107</v>
      </c>
      <c r="K43" s="872">
        <v>103</v>
      </c>
      <c r="L43" s="872">
        <v>109</v>
      </c>
      <c r="M43" s="872">
        <v>128</v>
      </c>
      <c r="N43" s="872">
        <v>128</v>
      </c>
      <c r="O43" s="872">
        <v>144</v>
      </c>
      <c r="P43" s="872">
        <v>143</v>
      </c>
      <c r="Q43" s="872">
        <v>173</v>
      </c>
      <c r="R43" s="871">
        <v>194</v>
      </c>
      <c r="S43" s="872">
        <v>194</v>
      </c>
      <c r="T43" s="873">
        <v>264</v>
      </c>
      <c r="U43" s="872">
        <v>271</v>
      </c>
      <c r="V43" s="872">
        <v>239</v>
      </c>
      <c r="W43" s="872">
        <v>253</v>
      </c>
      <c r="X43" s="872">
        <v>344</v>
      </c>
      <c r="Y43" s="872">
        <v>381</v>
      </c>
      <c r="Z43" s="872">
        <v>393</v>
      </c>
      <c r="AA43" s="872">
        <v>392</v>
      </c>
      <c r="AB43" s="871">
        <v>392</v>
      </c>
      <c r="AC43" s="871">
        <v>392</v>
      </c>
      <c r="AD43" s="871">
        <v>392</v>
      </c>
      <c r="AE43" s="610" t="s">
        <v>152</v>
      </c>
    </row>
    <row r="44" spans="1:31" ht="12.75" customHeight="1">
      <c r="A44" s="597"/>
      <c r="B44" s="604" t="s">
        <v>153</v>
      </c>
      <c r="C44" s="870"/>
      <c r="D44" s="868"/>
      <c r="E44" s="868">
        <v>1148</v>
      </c>
      <c r="F44" s="868">
        <v>1152</v>
      </c>
      <c r="G44" s="868">
        <v>1164</v>
      </c>
      <c r="H44" s="868">
        <v>1184</v>
      </c>
      <c r="I44" s="868">
        <v>1184</v>
      </c>
      <c r="J44" s="868">
        <v>1197</v>
      </c>
      <c r="K44" s="868">
        <v>1244</v>
      </c>
      <c r="L44" s="868">
        <v>1244</v>
      </c>
      <c r="M44" s="868">
        <v>1262</v>
      </c>
      <c r="N44" s="868">
        <v>1267</v>
      </c>
      <c r="O44" s="868">
        <v>1270</v>
      </c>
      <c r="P44" s="868">
        <v>1305</v>
      </c>
      <c r="Q44" s="868">
        <v>1304</v>
      </c>
      <c r="R44" s="868">
        <v>1351</v>
      </c>
      <c r="S44" s="868">
        <v>1341</v>
      </c>
      <c r="T44" s="869">
        <v>1358</v>
      </c>
      <c r="U44" s="868">
        <v>1361</v>
      </c>
      <c r="V44" s="868">
        <v>1383</v>
      </c>
      <c r="W44" s="868">
        <v>1383</v>
      </c>
      <c r="X44" s="868">
        <v>1406</v>
      </c>
      <c r="Y44" s="868">
        <v>1406</v>
      </c>
      <c r="Z44" s="868">
        <v>1415</v>
      </c>
      <c r="AA44" s="868">
        <v>1419</v>
      </c>
      <c r="AB44" s="868">
        <v>1419</v>
      </c>
      <c r="AC44" s="868">
        <v>1429</v>
      </c>
      <c r="AD44" s="867">
        <v>1440</v>
      </c>
      <c r="AE44" s="866" t="s">
        <v>153</v>
      </c>
    </row>
    <row r="45" spans="2:30" ht="44.25" customHeight="1">
      <c r="B45" s="1280" t="s">
        <v>295</v>
      </c>
      <c r="C45" s="1280"/>
      <c r="D45" s="1280"/>
      <c r="E45" s="1280"/>
      <c r="F45" s="1280"/>
      <c r="G45" s="1280"/>
      <c r="H45" s="1280"/>
      <c r="I45" s="1280"/>
      <c r="J45" s="1280"/>
      <c r="K45" s="1280"/>
      <c r="L45" s="1280"/>
      <c r="M45" s="1280"/>
      <c r="N45" s="1280"/>
      <c r="O45" s="1280"/>
      <c r="P45" s="1280"/>
      <c r="Q45" s="1280"/>
      <c r="R45" s="1280"/>
      <c r="S45" s="1280"/>
      <c r="T45" s="1280"/>
      <c r="U45" s="1280"/>
      <c r="V45" s="1280"/>
      <c r="W45" s="1280"/>
      <c r="X45" s="670"/>
      <c r="Y45" s="670"/>
      <c r="Z45" s="670"/>
      <c r="AA45" s="670"/>
      <c r="AB45" s="670"/>
      <c r="AC45" s="670"/>
      <c r="AD45" s="670"/>
    </row>
    <row r="46" spans="2:17" ht="12.75" customHeight="1">
      <c r="B46" s="679" t="s">
        <v>193</v>
      </c>
      <c r="C46" s="773"/>
      <c r="D46" s="773"/>
      <c r="E46" s="773"/>
      <c r="F46" s="773"/>
      <c r="G46" s="773"/>
      <c r="H46" s="773"/>
      <c r="I46" s="773"/>
      <c r="J46" s="773"/>
      <c r="K46" s="773"/>
      <c r="L46" s="773"/>
      <c r="M46" s="773"/>
      <c r="N46" s="773"/>
      <c r="O46" s="773"/>
      <c r="P46" s="773"/>
      <c r="Q46" s="773"/>
    </row>
    <row r="47" ht="12.75" customHeight="1">
      <c r="B47" s="770" t="s">
        <v>194</v>
      </c>
    </row>
    <row r="48" spans="2:50" ht="12.75" customHeight="1">
      <c r="B48" s="865" t="s">
        <v>195</v>
      </c>
      <c r="AF48" s="864">
        <v>1994</v>
      </c>
      <c r="AG48" s="864">
        <v>1995</v>
      </c>
      <c r="AH48" s="864">
        <v>1996</v>
      </c>
      <c r="AI48" s="864">
        <v>1997</v>
      </c>
      <c r="AJ48" s="864">
        <v>1998</v>
      </c>
      <c r="AK48" s="864">
        <v>1999</v>
      </c>
      <c r="AL48" s="864">
        <v>2000</v>
      </c>
      <c r="AM48" s="864">
        <v>2001</v>
      </c>
      <c r="AN48" s="864">
        <v>2002</v>
      </c>
      <c r="AO48" s="864">
        <v>2003</v>
      </c>
      <c r="AP48" s="864">
        <v>2004</v>
      </c>
      <c r="AQ48" s="864">
        <v>2005</v>
      </c>
      <c r="AR48" s="864">
        <v>2006</v>
      </c>
      <c r="AS48" s="864">
        <v>2007</v>
      </c>
      <c r="AT48" s="864">
        <v>2008</v>
      </c>
      <c r="AU48" s="864">
        <v>2009</v>
      </c>
      <c r="AV48" s="864">
        <v>2010</v>
      </c>
      <c r="AW48" s="864">
        <v>2011</v>
      </c>
      <c r="AX48" s="864">
        <v>2012</v>
      </c>
    </row>
    <row r="49" spans="2:50" ht="12.75" customHeight="1">
      <c r="B49" s="770" t="s">
        <v>196</v>
      </c>
      <c r="C49" s="864"/>
      <c r="D49" s="864"/>
      <c r="E49" s="864"/>
      <c r="F49" s="864"/>
      <c r="G49" s="864"/>
      <c r="H49" s="864"/>
      <c r="I49" s="864"/>
      <c r="J49" s="864"/>
      <c r="K49" s="864"/>
      <c r="L49" s="864"/>
      <c r="M49" s="864"/>
      <c r="N49" s="864"/>
      <c r="O49" s="864"/>
      <c r="P49" s="864"/>
      <c r="Q49" s="864"/>
      <c r="R49" s="864"/>
      <c r="S49" s="864"/>
      <c r="T49" s="864"/>
      <c r="U49" s="864"/>
      <c r="V49" s="864"/>
      <c r="AF49" s="573">
        <v>3269</v>
      </c>
      <c r="AG49" s="573">
        <v>3298</v>
      </c>
      <c r="AH49" s="573">
        <v>3378</v>
      </c>
      <c r="AI49" s="573">
        <v>3421</v>
      </c>
      <c r="AJ49" s="573">
        <v>3449</v>
      </c>
      <c r="AK49" s="573">
        <v>3467</v>
      </c>
      <c r="AL49" s="573">
        <v>3476</v>
      </c>
      <c r="AM49" s="573">
        <v>3478</v>
      </c>
      <c r="AN49" s="573">
        <v>3478</v>
      </c>
      <c r="AO49" s="573">
        <v>3523</v>
      </c>
      <c r="AP49" s="573">
        <v>3518.49</v>
      </c>
      <c r="AQ49" s="573">
        <v>3555.44</v>
      </c>
      <c r="AR49" s="573">
        <v>3559.44</v>
      </c>
      <c r="AS49" s="573">
        <v>3558.6</v>
      </c>
      <c r="AT49" s="573">
        <v>3559.7</v>
      </c>
      <c r="AU49" s="573">
        <v>3557.6</v>
      </c>
      <c r="AV49" s="573">
        <v>3570.2</v>
      </c>
      <c r="AW49" s="573">
        <v>3617.02</v>
      </c>
      <c r="AX49" s="573">
        <v>3641.12</v>
      </c>
    </row>
    <row r="50" spans="2:50" ht="12.75" customHeight="1">
      <c r="B50" s="770" t="s">
        <v>296</v>
      </c>
      <c r="C50" s="864"/>
      <c r="D50" s="864"/>
      <c r="E50" s="864"/>
      <c r="F50" s="864"/>
      <c r="G50" s="864"/>
      <c r="H50" s="864"/>
      <c r="I50" s="864"/>
      <c r="J50" s="864"/>
      <c r="K50" s="864"/>
      <c r="L50" s="864"/>
      <c r="M50" s="864"/>
      <c r="N50" s="864"/>
      <c r="O50" s="864"/>
      <c r="P50" s="864"/>
      <c r="Q50" s="864"/>
      <c r="R50" s="864"/>
      <c r="S50" s="864"/>
      <c r="T50" s="864"/>
      <c r="U50" s="864"/>
      <c r="V50" s="864"/>
      <c r="AF50" s="573">
        <v>110</v>
      </c>
      <c r="AG50" s="573">
        <v>110</v>
      </c>
      <c r="AH50" s="573">
        <v>110</v>
      </c>
      <c r="AI50" s="573">
        <v>110</v>
      </c>
      <c r="AJ50" s="573">
        <v>110</v>
      </c>
      <c r="AK50" s="573">
        <v>110</v>
      </c>
      <c r="AL50" s="573">
        <v>110</v>
      </c>
      <c r="AM50" s="573">
        <v>110</v>
      </c>
      <c r="AN50" s="573">
        <v>110</v>
      </c>
      <c r="AO50" s="573">
        <v>110</v>
      </c>
      <c r="AP50" s="573">
        <v>110</v>
      </c>
      <c r="AQ50" s="573">
        <v>110</v>
      </c>
      <c r="AR50" s="573">
        <v>110</v>
      </c>
      <c r="AS50" s="573">
        <v>114.2</v>
      </c>
      <c r="AT50" s="573">
        <v>114.2</v>
      </c>
      <c r="AU50" s="573">
        <v>114.2</v>
      </c>
      <c r="AV50" s="573">
        <v>115.4</v>
      </c>
      <c r="AW50" s="573">
        <v>115.5</v>
      </c>
      <c r="AX50" s="573">
        <v>114.9</v>
      </c>
    </row>
    <row r="51" spans="32:50" ht="11.25">
      <c r="AF51" s="573">
        <f aca="true" t="shared" si="0" ref="AF51:AX51">SUM(AF49:AF50)</f>
        <v>3379</v>
      </c>
      <c r="AG51" s="573">
        <f t="shared" si="0"/>
        <v>3408</v>
      </c>
      <c r="AH51" s="573">
        <f t="shared" si="0"/>
        <v>3488</v>
      </c>
      <c r="AI51" s="573">
        <f t="shared" si="0"/>
        <v>3531</v>
      </c>
      <c r="AJ51" s="573">
        <f t="shared" si="0"/>
        <v>3559</v>
      </c>
      <c r="AK51" s="573">
        <f t="shared" si="0"/>
        <v>3577</v>
      </c>
      <c r="AL51" s="573">
        <f t="shared" si="0"/>
        <v>3586</v>
      </c>
      <c r="AM51" s="573">
        <f t="shared" si="0"/>
        <v>3588</v>
      </c>
      <c r="AN51" s="573">
        <f t="shared" si="0"/>
        <v>3588</v>
      </c>
      <c r="AO51" s="573">
        <f t="shared" si="0"/>
        <v>3633</v>
      </c>
      <c r="AP51" s="573">
        <f t="shared" si="0"/>
        <v>3628.49</v>
      </c>
      <c r="AQ51" s="573">
        <f t="shared" si="0"/>
        <v>3665.44</v>
      </c>
      <c r="AR51" s="573">
        <f t="shared" si="0"/>
        <v>3669.44</v>
      </c>
      <c r="AS51" s="573">
        <f t="shared" si="0"/>
        <v>3672.7999999999997</v>
      </c>
      <c r="AT51" s="573">
        <f t="shared" si="0"/>
        <v>3673.8999999999996</v>
      </c>
      <c r="AU51" s="573">
        <f t="shared" si="0"/>
        <v>3671.7999999999997</v>
      </c>
      <c r="AV51" s="573">
        <f t="shared" si="0"/>
        <v>3685.6</v>
      </c>
      <c r="AW51" s="573">
        <f t="shared" si="0"/>
        <v>3732.52</v>
      </c>
      <c r="AX51" s="573">
        <f t="shared" si="0"/>
        <v>3756.02</v>
      </c>
    </row>
  </sheetData>
  <sheetProtection/>
  <mergeCells count="4">
    <mergeCell ref="B1:C1"/>
    <mergeCell ref="B45:W45"/>
    <mergeCell ref="B2:AE2"/>
    <mergeCell ref="B3:AE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92D050"/>
  </sheetPr>
  <dimension ref="A1:L72"/>
  <sheetViews>
    <sheetView zoomScalePageLayoutView="0" workbookViewId="0" topLeftCell="A1">
      <selection activeCell="H8" sqref="H8:H9"/>
    </sheetView>
  </sheetViews>
  <sheetFormatPr defaultColWidth="9.140625" defaultRowHeight="12.75"/>
  <cols>
    <col min="1" max="1" width="2.7109375" style="773" customWidth="1"/>
    <col min="2" max="2" width="4.28125" style="773" customWidth="1"/>
    <col min="3" max="6" width="10.7109375" style="773" customWidth="1"/>
    <col min="7" max="7" width="4.00390625" style="921" customWidth="1"/>
    <col min="8" max="16384" width="9.140625" style="773" customWidth="1"/>
  </cols>
  <sheetData>
    <row r="1" spans="2:7" ht="15" customHeight="1">
      <c r="B1" s="1287"/>
      <c r="C1" s="1287"/>
      <c r="D1" s="920"/>
      <c r="E1" s="920"/>
      <c r="F1" s="1288" t="s">
        <v>197</v>
      </c>
      <c r="G1" s="1289"/>
    </row>
    <row r="2" spans="2:7" ht="30" customHeight="1">
      <c r="B2" s="1290" t="s">
        <v>198</v>
      </c>
      <c r="C2" s="1290"/>
      <c r="D2" s="1290"/>
      <c r="E2" s="1290"/>
      <c r="F2" s="1290"/>
      <c r="G2" s="1290"/>
    </row>
    <row r="3" spans="3:7" ht="15" customHeight="1">
      <c r="C3" s="1291" t="s">
        <v>347</v>
      </c>
      <c r="D3" s="1291"/>
      <c r="E3" s="1291"/>
      <c r="F3" s="1291"/>
      <c r="G3" s="917"/>
    </row>
    <row r="4" spans="2:7" ht="12.75" customHeight="1">
      <c r="B4" s="921"/>
      <c r="C4" s="1292" t="s">
        <v>20</v>
      </c>
      <c r="D4" s="1292" t="s">
        <v>199</v>
      </c>
      <c r="E4" s="1292" t="s">
        <v>200</v>
      </c>
      <c r="F4" s="1292" t="s">
        <v>201</v>
      </c>
      <c r="G4" s="922"/>
    </row>
    <row r="5" spans="2:7" ht="12.75" customHeight="1">
      <c r="B5" s="921"/>
      <c r="C5" s="1293"/>
      <c r="D5" s="1293"/>
      <c r="E5" s="1293"/>
      <c r="F5" s="1293"/>
      <c r="G5" s="922"/>
    </row>
    <row r="6" spans="2:7" ht="12.75">
      <c r="B6" s="921"/>
      <c r="C6" s="1293"/>
      <c r="D6" s="1293"/>
      <c r="E6" s="1293"/>
      <c r="F6" s="1293"/>
      <c r="G6" s="922"/>
    </row>
    <row r="7" spans="2:7" ht="7.5" customHeight="1">
      <c r="B7" s="921"/>
      <c r="C7" s="1294"/>
      <c r="D7" s="1294"/>
      <c r="E7" s="1294"/>
      <c r="F7" s="1294"/>
      <c r="G7" s="922"/>
    </row>
    <row r="8" spans="2:8" ht="15" customHeight="1">
      <c r="B8" s="113" t="s">
        <v>250</v>
      </c>
      <c r="C8" s="310">
        <f>SUM(C10:C37)</f>
        <v>75820.3</v>
      </c>
      <c r="D8" s="310">
        <f>SUM(D10:D37)</f>
        <v>316510.856</v>
      </c>
      <c r="E8" s="310">
        <f>SUM(E10:E37)</f>
        <v>1508812.3909999998</v>
      </c>
      <c r="F8" s="310">
        <f>SUM(F10:F37)</f>
        <v>2995232.862</v>
      </c>
      <c r="G8" s="922"/>
      <c r="H8" s="311">
        <f>SUM(C8:E8)/1000</f>
        <v>1901.143547</v>
      </c>
    </row>
    <row r="9" spans="2:8" ht="15" customHeight="1">
      <c r="B9" s="114" t="s">
        <v>89</v>
      </c>
      <c r="C9" s="310">
        <f>C29+C10+C14+C13+C17+C18+C35+C19+C16+C21+C25+C28+C31+C36+C37</f>
        <v>46182.4</v>
      </c>
      <c r="D9" s="310">
        <f>D29+D10+D14+D13+D17+D18+D35+D19+D16+D21+D25+D28+D31+D36+D37</f>
        <v>161707.05599999998</v>
      </c>
      <c r="E9" s="310">
        <f>E29+E10+E14+E13+E17+E18+E35+E19+E16+E21+E25+E28+E31+E36+E37</f>
        <v>1066734.391</v>
      </c>
      <c r="F9" s="310">
        <f>F29+F10+F14+F13+F17+F18+F35+F19+F16+F21+F25+F28+F31+F36+F37</f>
        <v>2277922.762</v>
      </c>
      <c r="G9" s="922"/>
      <c r="H9" s="311">
        <f aca="true" t="shared" si="0" ref="H9:H37">SUM(C9:E9)/1000</f>
        <v>1274.623847</v>
      </c>
    </row>
    <row r="10" spans="1:8" ht="12.75" customHeight="1">
      <c r="A10" s="597"/>
      <c r="B10" s="833" t="s">
        <v>81</v>
      </c>
      <c r="C10" s="935">
        <v>1719</v>
      </c>
      <c r="D10" s="937">
        <v>10344.556</v>
      </c>
      <c r="E10" s="937">
        <v>23680.891</v>
      </c>
      <c r="F10" s="938">
        <v>102462.762</v>
      </c>
      <c r="G10" s="833" t="s">
        <v>81</v>
      </c>
      <c r="H10" s="311">
        <f>SUM(C10:E10)/1000</f>
        <v>35.744447</v>
      </c>
    </row>
    <row r="11" spans="1:8" ht="12.75" customHeight="1">
      <c r="A11" s="597"/>
      <c r="B11" s="610" t="s">
        <v>60</v>
      </c>
      <c r="C11" s="936">
        <v>1763</v>
      </c>
      <c r="D11" s="872">
        <v>13229</v>
      </c>
      <c r="E11" s="872">
        <v>1349</v>
      </c>
      <c r="F11" s="890">
        <v>138869</v>
      </c>
      <c r="G11" s="610" t="s">
        <v>60</v>
      </c>
      <c r="H11" s="311">
        <f t="shared" si="0"/>
        <v>16.341</v>
      </c>
    </row>
    <row r="12" spans="1:8" ht="12.75" customHeight="1">
      <c r="A12" s="597"/>
      <c r="B12" s="598" t="s">
        <v>101</v>
      </c>
      <c r="C12" s="888">
        <v>734</v>
      </c>
      <c r="D12" s="877">
        <v>2954</v>
      </c>
      <c r="E12" s="925">
        <v>4025</v>
      </c>
      <c r="F12" s="926">
        <v>12140</v>
      </c>
      <c r="G12" s="598" t="s">
        <v>101</v>
      </c>
      <c r="H12" s="311">
        <f t="shared" si="0"/>
        <v>7.713</v>
      </c>
    </row>
    <row r="13" spans="1:8" ht="12.75" customHeight="1">
      <c r="A13" s="597"/>
      <c r="B13" s="610" t="s">
        <v>71</v>
      </c>
      <c r="C13" s="874">
        <v>272</v>
      </c>
      <c r="D13" s="872">
        <f>2219</f>
        <v>2219</v>
      </c>
      <c r="E13" s="872">
        <f>1789+524</f>
        <v>2313</v>
      </c>
      <c r="F13" s="890">
        <f>4148+731+172</f>
        <v>5051</v>
      </c>
      <c r="G13" s="610" t="s">
        <v>71</v>
      </c>
      <c r="H13" s="311">
        <f t="shared" si="0"/>
        <v>4.804</v>
      </c>
    </row>
    <row r="14" spans="1:8" ht="12.75" customHeight="1">
      <c r="A14" s="597"/>
      <c r="B14" s="610" t="s">
        <v>61</v>
      </c>
      <c r="C14" s="874">
        <v>776</v>
      </c>
      <c r="D14" s="872">
        <v>6244.9</v>
      </c>
      <c r="E14" s="872">
        <f>14586.7+34129.9</f>
        <v>48716.600000000006</v>
      </c>
      <c r="F14" s="890">
        <v>74919</v>
      </c>
      <c r="G14" s="610" t="s">
        <v>61</v>
      </c>
      <c r="H14" s="311">
        <f t="shared" si="0"/>
        <v>55.737500000000004</v>
      </c>
    </row>
    <row r="15" spans="1:8" ht="12.75" customHeight="1">
      <c r="A15" s="597"/>
      <c r="B15" s="610" t="s">
        <v>63</v>
      </c>
      <c r="C15" s="874">
        <v>12993</v>
      </c>
      <c r="D15" s="872">
        <v>38303</v>
      </c>
      <c r="E15" s="872">
        <v>178786</v>
      </c>
      <c r="F15" s="891"/>
      <c r="G15" s="610" t="s">
        <v>63</v>
      </c>
      <c r="H15" s="311">
        <f t="shared" si="0"/>
        <v>230.082</v>
      </c>
    </row>
    <row r="16" spans="1:8" ht="12.75" customHeight="1">
      <c r="A16" s="597"/>
      <c r="B16" s="598" t="s">
        <v>14</v>
      </c>
      <c r="C16" s="888">
        <v>1237</v>
      </c>
      <c r="D16" s="877">
        <v>2613</v>
      </c>
      <c r="E16" s="932">
        <v>70646</v>
      </c>
      <c r="F16" s="933"/>
      <c r="G16" s="598" t="s">
        <v>14</v>
      </c>
      <c r="H16" s="311">
        <f t="shared" si="0"/>
        <v>74.496</v>
      </c>
    </row>
    <row r="17" spans="1:8" ht="12.75" customHeight="1">
      <c r="A17" s="597"/>
      <c r="B17" s="598" t="s">
        <v>64</v>
      </c>
      <c r="C17" s="888">
        <v>147</v>
      </c>
      <c r="D17" s="877">
        <f>1607-C17+2405</f>
        <v>3865</v>
      </c>
      <c r="E17" s="877">
        <f>12484+99</f>
        <v>12583</v>
      </c>
      <c r="F17" s="887">
        <f>58828-E17-D17-C17</f>
        <v>42233</v>
      </c>
      <c r="G17" s="598" t="s">
        <v>64</v>
      </c>
      <c r="H17" s="311">
        <f t="shared" si="0"/>
        <v>16.595</v>
      </c>
    </row>
    <row r="18" spans="1:8" ht="12.75" customHeight="1">
      <c r="A18" s="597"/>
      <c r="B18" s="598" t="s">
        <v>15</v>
      </c>
      <c r="C18" s="888">
        <v>1589.4</v>
      </c>
      <c r="D18" s="877">
        <v>9299</v>
      </c>
      <c r="E18" s="877">
        <v>30864</v>
      </c>
      <c r="F18" s="887">
        <v>75600</v>
      </c>
      <c r="G18" s="598" t="s">
        <v>15</v>
      </c>
      <c r="H18" s="311">
        <f t="shared" si="0"/>
        <v>41.7524</v>
      </c>
    </row>
    <row r="19" spans="1:8" ht="12.75" customHeight="1">
      <c r="A19" s="597"/>
      <c r="B19" s="610" t="s">
        <v>66</v>
      </c>
      <c r="C19" s="874">
        <v>15336</v>
      </c>
      <c r="D19" s="872">
        <f>14387+563</f>
        <v>14950</v>
      </c>
      <c r="E19" s="872">
        <f>67356+756+367+67238</f>
        <v>135717</v>
      </c>
      <c r="F19" s="891">
        <v>501053</v>
      </c>
      <c r="G19" s="610" t="s">
        <v>66</v>
      </c>
      <c r="H19" s="311">
        <f t="shared" si="0"/>
        <v>166.003</v>
      </c>
    </row>
    <row r="20" spans="1:8" ht="12.75" customHeight="1">
      <c r="A20" s="597"/>
      <c r="B20" s="598" t="s">
        <v>87</v>
      </c>
      <c r="C20" s="888">
        <v>881</v>
      </c>
      <c r="D20" s="877">
        <f>8605+4730-881</f>
        <v>12454</v>
      </c>
      <c r="E20" s="877">
        <v>13600</v>
      </c>
      <c r="F20" s="887">
        <v>51053</v>
      </c>
      <c r="G20" s="598" t="s">
        <v>87</v>
      </c>
      <c r="H20" s="311">
        <f t="shared" si="0"/>
        <v>26.935</v>
      </c>
    </row>
    <row r="21" spans="1:8" ht="12.75" customHeight="1">
      <c r="A21" s="597"/>
      <c r="B21" s="598" t="s">
        <v>67</v>
      </c>
      <c r="C21" s="888">
        <v>11599</v>
      </c>
      <c r="D21" s="877">
        <v>9633</v>
      </c>
      <c r="E21" s="877">
        <v>379725</v>
      </c>
      <c r="F21" s="887">
        <v>687789</v>
      </c>
      <c r="G21" s="598" t="s">
        <v>67</v>
      </c>
      <c r="H21" s="311">
        <f t="shared" si="0"/>
        <v>400.957</v>
      </c>
    </row>
    <row r="22" spans="1:8" ht="12.75" customHeight="1">
      <c r="A22" s="597"/>
      <c r="B22" s="610" t="s">
        <v>148</v>
      </c>
      <c r="C22" s="895">
        <v>1310</v>
      </c>
      <c r="D22" s="872">
        <v>6758</v>
      </c>
      <c r="E22" s="872">
        <v>9640</v>
      </c>
      <c r="F22" s="890">
        <v>8998</v>
      </c>
      <c r="G22" s="610" t="s">
        <v>148</v>
      </c>
      <c r="H22" s="311">
        <f t="shared" si="0"/>
        <v>17.708</v>
      </c>
    </row>
    <row r="23" spans="1:8" ht="12.75" customHeight="1">
      <c r="A23" s="597"/>
      <c r="B23" s="610" t="s">
        <v>77</v>
      </c>
      <c r="C23" s="874">
        <v>1883.9</v>
      </c>
      <c r="D23" s="934">
        <v>30040.8</v>
      </c>
      <c r="E23" s="934"/>
      <c r="F23" s="890">
        <v>172957.1</v>
      </c>
      <c r="G23" s="610" t="s">
        <v>77</v>
      </c>
      <c r="H23" s="311">
        <f t="shared" si="0"/>
        <v>31.9247</v>
      </c>
    </row>
    <row r="24" spans="1:8" ht="12.75" customHeight="1">
      <c r="A24" s="597"/>
      <c r="B24" s="610" t="s">
        <v>68</v>
      </c>
      <c r="C24" s="874">
        <v>916</v>
      </c>
      <c r="D24" s="872">
        <v>4390</v>
      </c>
      <c r="E24" s="872">
        <v>13120</v>
      </c>
      <c r="F24" s="890">
        <v>80472</v>
      </c>
      <c r="G24" s="610" t="s">
        <v>68</v>
      </c>
      <c r="H24" s="311">
        <f t="shared" si="0"/>
        <v>18.426</v>
      </c>
    </row>
    <row r="25" spans="1:8" ht="12.75" customHeight="1">
      <c r="A25" s="597"/>
      <c r="B25" s="598" t="s">
        <v>69</v>
      </c>
      <c r="C25" s="888">
        <v>6943</v>
      </c>
      <c r="D25" s="877">
        <v>21686</v>
      </c>
      <c r="E25" s="877">
        <v>155668</v>
      </c>
      <c r="F25" s="887">
        <v>74719</v>
      </c>
      <c r="G25" s="598" t="s">
        <v>69</v>
      </c>
      <c r="H25" s="311">
        <f t="shared" si="0"/>
        <v>184.297</v>
      </c>
    </row>
    <row r="26" spans="1:8" ht="12.75" customHeight="1">
      <c r="A26" s="597"/>
      <c r="B26" s="610" t="s">
        <v>73</v>
      </c>
      <c r="C26" s="874">
        <v>309</v>
      </c>
      <c r="D26" s="927">
        <f>1750+4926-309</f>
        <v>6367</v>
      </c>
      <c r="E26" s="927">
        <v>14574</v>
      </c>
      <c r="F26" s="928">
        <v>51467</v>
      </c>
      <c r="G26" s="610" t="s">
        <v>73</v>
      </c>
      <c r="H26" s="311">
        <f t="shared" si="0"/>
        <v>21.25</v>
      </c>
    </row>
    <row r="27" spans="1:8" ht="12.75" customHeight="1">
      <c r="A27" s="597"/>
      <c r="B27" s="598" t="s">
        <v>76</v>
      </c>
      <c r="C27" s="888">
        <v>161</v>
      </c>
      <c r="D27" s="877">
        <v>837</v>
      </c>
      <c r="E27" s="932">
        <v>1891</v>
      </c>
      <c r="F27" s="933"/>
      <c r="G27" s="598" t="s">
        <v>76</v>
      </c>
      <c r="H27" s="311">
        <f t="shared" si="0"/>
        <v>2.889</v>
      </c>
    </row>
    <row r="28" spans="1:8" ht="12.75" customHeight="1">
      <c r="A28" s="597"/>
      <c r="B28" s="598" t="s">
        <v>72</v>
      </c>
      <c r="C28" s="880">
        <v>0</v>
      </c>
      <c r="D28" s="877">
        <v>1675</v>
      </c>
      <c r="E28" s="877">
        <f>4517+956</f>
        <v>5473</v>
      </c>
      <c r="F28" s="887">
        <f>2709+10274+5675+32803+24+500+3000+8696</f>
        <v>63681</v>
      </c>
      <c r="G28" s="598" t="s">
        <v>72</v>
      </c>
      <c r="H28" s="311">
        <f t="shared" si="0"/>
        <v>7.148</v>
      </c>
    </row>
    <row r="29" spans="1:8" ht="12.75" customHeight="1">
      <c r="A29" s="597"/>
      <c r="B29" s="598" t="s">
        <v>78</v>
      </c>
      <c r="C29" s="880">
        <v>0</v>
      </c>
      <c r="D29" s="932">
        <v>2854</v>
      </c>
      <c r="E29" s="932"/>
      <c r="F29" s="933"/>
      <c r="G29" s="598" t="s">
        <v>78</v>
      </c>
      <c r="H29" s="311">
        <f t="shared" si="0"/>
        <v>2.854</v>
      </c>
    </row>
    <row r="30" spans="1:8" ht="12.75" customHeight="1">
      <c r="A30" s="597"/>
      <c r="B30" s="610" t="s">
        <v>16</v>
      </c>
      <c r="C30" s="874">
        <v>2756</v>
      </c>
      <c r="D30" s="872">
        <f>5340-C30</f>
        <v>2584</v>
      </c>
      <c r="E30" s="872">
        <v>7759</v>
      </c>
      <c r="F30" s="890">
        <v>126025</v>
      </c>
      <c r="G30" s="610" t="s">
        <v>16</v>
      </c>
      <c r="H30" s="311">
        <f t="shared" si="0"/>
        <v>13.099</v>
      </c>
    </row>
    <row r="31" spans="1:8" ht="12.75" customHeight="1">
      <c r="A31" s="597"/>
      <c r="B31" s="610" t="s">
        <v>80</v>
      </c>
      <c r="C31" s="874">
        <v>1559</v>
      </c>
      <c r="D31" s="872">
        <f>19293-C31</f>
        <v>17734</v>
      </c>
      <c r="E31" s="872">
        <v>154201</v>
      </c>
      <c r="F31" s="890">
        <v>246143</v>
      </c>
      <c r="G31" s="610" t="s">
        <v>80</v>
      </c>
      <c r="H31" s="311">
        <f t="shared" si="0"/>
        <v>173.494</v>
      </c>
    </row>
    <row r="32" spans="1:8" ht="12.75" customHeight="1">
      <c r="A32" s="597"/>
      <c r="B32" s="598" t="s">
        <v>92</v>
      </c>
      <c r="C32" s="888">
        <v>3065</v>
      </c>
      <c r="D32" s="877">
        <f>14310-4791-3065</f>
        <v>6454</v>
      </c>
      <c r="E32" s="877">
        <v>4791</v>
      </c>
      <c r="F32" s="930"/>
      <c r="G32" s="598" t="s">
        <v>92</v>
      </c>
      <c r="H32" s="311">
        <f t="shared" si="0"/>
        <v>14.31</v>
      </c>
    </row>
    <row r="33" spans="1:8" ht="12.75" customHeight="1">
      <c r="A33" s="597"/>
      <c r="B33" s="610" t="s">
        <v>102</v>
      </c>
      <c r="C33" s="874">
        <v>747</v>
      </c>
      <c r="D33" s="872">
        <v>16859</v>
      </c>
      <c r="E33" s="927">
        <v>35316</v>
      </c>
      <c r="F33" s="928">
        <v>33158</v>
      </c>
      <c r="G33" s="610" t="s">
        <v>102</v>
      </c>
      <c r="H33" s="311">
        <f t="shared" si="0"/>
        <v>52.922</v>
      </c>
    </row>
    <row r="34" spans="1:8" ht="12.75" customHeight="1">
      <c r="A34" s="597"/>
      <c r="B34" s="610" t="s">
        <v>88</v>
      </c>
      <c r="C34" s="874">
        <v>2119</v>
      </c>
      <c r="D34" s="872">
        <v>13574</v>
      </c>
      <c r="E34" s="872">
        <v>157227</v>
      </c>
      <c r="F34" s="890">
        <v>42171</v>
      </c>
      <c r="G34" s="610" t="s">
        <v>88</v>
      </c>
      <c r="H34" s="311">
        <f t="shared" si="0"/>
        <v>172.92</v>
      </c>
    </row>
    <row r="35" spans="1:8" ht="12.75" customHeight="1">
      <c r="A35" s="597"/>
      <c r="B35" s="598" t="s">
        <v>83</v>
      </c>
      <c r="C35" s="888">
        <v>773</v>
      </c>
      <c r="D35" s="877">
        <v>5942</v>
      </c>
      <c r="E35" s="877"/>
      <c r="F35" s="887">
        <v>32181</v>
      </c>
      <c r="G35" s="598" t="s">
        <v>83</v>
      </c>
      <c r="H35" s="311">
        <f t="shared" si="0"/>
        <v>6.715</v>
      </c>
    </row>
    <row r="36" spans="1:8" ht="12.75" customHeight="1">
      <c r="A36" s="597"/>
      <c r="B36" s="610" t="s">
        <v>85</v>
      </c>
      <c r="C36" s="874">
        <v>463.1</v>
      </c>
      <c r="D36" s="872">
        <v>3566.4</v>
      </c>
      <c r="E36" s="872">
        <f>18005-D36-C36</f>
        <v>13975.5</v>
      </c>
      <c r="F36" s="890">
        <v>36852</v>
      </c>
      <c r="G36" s="610" t="s">
        <v>85</v>
      </c>
      <c r="H36" s="311">
        <f t="shared" si="0"/>
        <v>18.005</v>
      </c>
    </row>
    <row r="37" spans="1:8" ht="12.75" customHeight="1">
      <c r="A37" s="597"/>
      <c r="B37" s="598" t="s">
        <v>13</v>
      </c>
      <c r="C37" s="888">
        <v>3768.9</v>
      </c>
      <c r="D37" s="877">
        <f>46776+209.1+2096.1</f>
        <v>49081.2</v>
      </c>
      <c r="E37" s="877">
        <f>30286+1.7+2883.7</f>
        <v>33171.4</v>
      </c>
      <c r="F37" s="887">
        <f>314988+1.3+4722.7+0.9+15526.1</f>
        <v>335239</v>
      </c>
      <c r="G37" s="598" t="s">
        <v>13</v>
      </c>
      <c r="H37" s="311">
        <f t="shared" si="0"/>
        <v>86.0215</v>
      </c>
    </row>
    <row r="38" spans="1:7" ht="12.75" customHeight="1">
      <c r="A38" s="597"/>
      <c r="B38" s="652" t="s">
        <v>289</v>
      </c>
      <c r="C38" s="923"/>
      <c r="D38" s="892"/>
      <c r="E38" s="892"/>
      <c r="F38" s="924"/>
      <c r="G38" s="652" t="s">
        <v>289</v>
      </c>
    </row>
    <row r="39" spans="1:7" ht="12.75" customHeight="1">
      <c r="A39" s="597"/>
      <c r="B39" s="598" t="s">
        <v>235</v>
      </c>
      <c r="C39" s="880" t="s">
        <v>146</v>
      </c>
      <c r="D39" s="1285">
        <f>8614-805</f>
        <v>7809</v>
      </c>
      <c r="E39" s="1285"/>
      <c r="F39" s="1286"/>
      <c r="G39" s="598" t="s">
        <v>235</v>
      </c>
    </row>
    <row r="40" spans="1:8" ht="12.75" customHeight="1">
      <c r="A40" s="597"/>
      <c r="B40" s="610" t="s">
        <v>149</v>
      </c>
      <c r="C40" s="874">
        <v>259</v>
      </c>
      <c r="D40" s="872">
        <f>908-C40</f>
        <v>649</v>
      </c>
      <c r="E40" s="872">
        <v>3778</v>
      </c>
      <c r="F40" s="890">
        <v>9570</v>
      </c>
      <c r="G40" s="610" t="s">
        <v>149</v>
      </c>
      <c r="H40" s="929"/>
    </row>
    <row r="41" spans="1:8" ht="12.75" customHeight="1">
      <c r="A41" s="597"/>
      <c r="B41" s="598" t="s">
        <v>236</v>
      </c>
      <c r="C41" s="888">
        <v>603</v>
      </c>
      <c r="D41" s="877">
        <v>4804</v>
      </c>
      <c r="E41" s="877">
        <v>10951</v>
      </c>
      <c r="F41" s="887">
        <v>29240</v>
      </c>
      <c r="G41" s="598" t="s">
        <v>236</v>
      </c>
      <c r="H41" s="929"/>
    </row>
    <row r="42" spans="1:7" ht="12.75">
      <c r="A42" s="597"/>
      <c r="B42" s="657" t="s">
        <v>150</v>
      </c>
      <c r="C42" s="885">
        <v>2159</v>
      </c>
      <c r="D42" s="883">
        <v>31280</v>
      </c>
      <c r="E42" s="883">
        <v>32474</v>
      </c>
      <c r="F42" s="882">
        <v>170762</v>
      </c>
      <c r="G42" s="657" t="s">
        <v>150</v>
      </c>
    </row>
    <row r="43" spans="1:7" ht="12.75" customHeight="1">
      <c r="A43" s="597"/>
      <c r="B43" s="833" t="s">
        <v>151</v>
      </c>
      <c r="C43" s="876">
        <v>11</v>
      </c>
      <c r="D43" s="877">
        <v>4919</v>
      </c>
      <c r="E43" s="877">
        <v>2950</v>
      </c>
      <c r="F43" s="877">
        <v>5010</v>
      </c>
      <c r="G43" s="833" t="s">
        <v>151</v>
      </c>
    </row>
    <row r="44" spans="1:7" ht="12.75" customHeight="1">
      <c r="A44" s="597"/>
      <c r="B44" s="610" t="s">
        <v>152</v>
      </c>
      <c r="C44" s="871">
        <v>392</v>
      </c>
      <c r="D44" s="872">
        <v>10666</v>
      </c>
      <c r="E44" s="872">
        <v>44497</v>
      </c>
      <c r="F44" s="872">
        <v>39287</v>
      </c>
      <c r="G44" s="610" t="s">
        <v>152</v>
      </c>
    </row>
    <row r="45" spans="1:7" ht="16.5" customHeight="1">
      <c r="A45" s="597"/>
      <c r="B45" s="604" t="s">
        <v>153</v>
      </c>
      <c r="C45" s="877">
        <v>1440</v>
      </c>
      <c r="D45" s="877">
        <f>1823-1440</f>
        <v>383</v>
      </c>
      <c r="E45" s="877">
        <v>17898</v>
      </c>
      <c r="F45" s="877">
        <v>51799</v>
      </c>
      <c r="G45" s="604" t="s">
        <v>153</v>
      </c>
    </row>
    <row r="46" spans="2:7" ht="30" customHeight="1">
      <c r="B46" s="1280" t="s">
        <v>297</v>
      </c>
      <c r="C46" s="1280"/>
      <c r="D46" s="1280"/>
      <c r="E46" s="1280"/>
      <c r="F46" s="1280"/>
      <c r="G46" s="1280"/>
    </row>
    <row r="47" spans="2:7" ht="12.75" customHeight="1">
      <c r="B47" s="1282" t="s">
        <v>173</v>
      </c>
      <c r="C47" s="1282"/>
      <c r="D47" s="1282"/>
      <c r="E47" s="1282"/>
      <c r="F47" s="1282"/>
      <c r="G47" s="1282"/>
    </row>
    <row r="48" spans="2:7" ht="23.25" customHeight="1">
      <c r="B48" s="1283" t="s">
        <v>202</v>
      </c>
      <c r="C48" s="1284"/>
      <c r="D48" s="1284"/>
      <c r="E48" s="1284"/>
      <c r="F48" s="1284"/>
      <c r="G48" s="1284"/>
    </row>
    <row r="49" spans="2:7" ht="12.75" customHeight="1">
      <c r="B49" s="1283" t="s">
        <v>203</v>
      </c>
      <c r="C49" s="1284"/>
      <c r="D49" s="1284"/>
      <c r="E49" s="1284"/>
      <c r="F49" s="1284"/>
      <c r="G49" s="1284"/>
    </row>
    <row r="50" ht="12.75" customHeight="1">
      <c r="B50" s="679" t="s">
        <v>348</v>
      </c>
    </row>
    <row r="51" ht="12.75">
      <c r="B51" s="679"/>
    </row>
    <row r="53" ht="12.75">
      <c r="E53" s="929"/>
    </row>
    <row r="54" ht="12.75">
      <c r="E54" s="929"/>
    </row>
    <row r="55" ht="12.75">
      <c r="E55" s="929"/>
    </row>
    <row r="56" ht="12.75">
      <c r="E56" s="929"/>
    </row>
    <row r="57" ht="12.75">
      <c r="E57" s="929"/>
    </row>
    <row r="58" ht="12.75">
      <c r="E58" s="929"/>
    </row>
    <row r="68" spans="11:12" ht="15">
      <c r="K68" s="931"/>
      <c r="L68" s="931"/>
    </row>
    <row r="72" spans="11:12" ht="15">
      <c r="K72" s="931"/>
      <c r="L72" s="931"/>
    </row>
  </sheetData>
  <sheetProtection/>
  <mergeCells count="13">
    <mergeCell ref="D4:D7"/>
    <mergeCell ref="E4:E7"/>
    <mergeCell ref="F4:F7"/>
    <mergeCell ref="B47:G47"/>
    <mergeCell ref="B48:G48"/>
    <mergeCell ref="B49:G49"/>
    <mergeCell ref="D39:F39"/>
    <mergeCell ref="B46:G46"/>
    <mergeCell ref="B1:C1"/>
    <mergeCell ref="F1:G1"/>
    <mergeCell ref="B2:G2"/>
    <mergeCell ref="C3:F3"/>
    <mergeCell ref="C4:C7"/>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AK52"/>
  <sheetViews>
    <sheetView zoomScalePageLayoutView="0" workbookViewId="0" topLeftCell="A1">
      <selection activeCell="Z6" sqref="Z6:Z7"/>
    </sheetView>
  </sheetViews>
  <sheetFormatPr defaultColWidth="9.140625" defaultRowHeight="12.75"/>
  <cols>
    <col min="1" max="1" width="2.7109375" style="573" customWidth="1"/>
    <col min="2" max="2" width="4.00390625" style="573" customWidth="1"/>
    <col min="3" max="4" width="6.7109375" style="573" hidden="1" customWidth="1"/>
    <col min="5" max="6" width="6.8515625" style="573" hidden="1" customWidth="1"/>
    <col min="7" max="7" width="6.7109375" style="573" hidden="1" customWidth="1"/>
    <col min="8" max="8" width="8.140625" style="573" hidden="1" customWidth="1"/>
    <col min="9" max="10" width="6.7109375" style="573" hidden="1" customWidth="1"/>
    <col min="11" max="16" width="6.8515625" style="573" hidden="1" customWidth="1"/>
    <col min="17" max="19" width="6.8515625" style="573" customWidth="1"/>
    <col min="20" max="26" width="6.7109375" style="573" customWidth="1"/>
    <col min="27" max="27" width="8.57421875" style="573" hidden="1" customWidth="1"/>
    <col min="28" max="28" width="7.00390625" style="573" hidden="1" customWidth="1"/>
    <col min="29" max="35" width="9.8515625" style="573" hidden="1" customWidth="1"/>
    <col min="36" max="36" width="7.00390625" style="573" hidden="1" customWidth="1"/>
    <col min="37" max="37" width="5.00390625" style="573" customWidth="1"/>
    <col min="38" max="16384" width="9.140625" style="573" customWidth="1"/>
  </cols>
  <sheetData>
    <row r="1" spans="2:37" ht="14.25" customHeight="1">
      <c r="B1" s="1279"/>
      <c r="C1" s="1279"/>
      <c r="D1" s="918"/>
      <c r="E1" s="777"/>
      <c r="F1" s="777"/>
      <c r="G1" s="777"/>
      <c r="H1" s="777"/>
      <c r="I1" s="777"/>
      <c r="J1" s="777"/>
      <c r="K1" s="777"/>
      <c r="L1" s="777"/>
      <c r="Z1" s="574" t="s">
        <v>130</v>
      </c>
      <c r="AD1" s="574"/>
      <c r="AE1" s="574"/>
      <c r="AF1" s="574"/>
      <c r="AG1" s="574"/>
      <c r="AH1" s="574"/>
      <c r="AI1" s="574"/>
      <c r="AK1" s="574"/>
    </row>
    <row r="2" spans="2:37" ht="30" customHeight="1">
      <c r="B2" s="1271" t="s">
        <v>204</v>
      </c>
      <c r="C2" s="1271"/>
      <c r="D2" s="1271"/>
      <c r="E2" s="1271"/>
      <c r="F2" s="1271"/>
      <c r="G2" s="1271"/>
      <c r="H2" s="1271"/>
      <c r="I2" s="1271"/>
      <c r="J2" s="1271"/>
      <c r="K2" s="1271"/>
      <c r="L2" s="1271"/>
      <c r="M2" s="1271"/>
      <c r="N2" s="1271"/>
      <c r="O2" s="1271"/>
      <c r="P2" s="1271"/>
      <c r="Q2" s="1271"/>
      <c r="R2" s="1271"/>
      <c r="S2" s="1271"/>
      <c r="T2" s="1271"/>
      <c r="U2" s="1271"/>
      <c r="V2" s="1271"/>
      <c r="W2" s="1271"/>
      <c r="X2" s="1271"/>
      <c r="Y2" s="1271"/>
      <c r="Z2" s="1271"/>
      <c r="AA2" s="1271"/>
      <c r="AB2" s="1271"/>
      <c r="AC2" s="1271"/>
      <c r="AD2" s="1271"/>
      <c r="AE2" s="1271"/>
      <c r="AF2" s="1271"/>
      <c r="AG2" s="1271"/>
      <c r="AH2" s="1271"/>
      <c r="AI2" s="1271"/>
      <c r="AJ2" s="1271"/>
      <c r="AK2" s="576"/>
    </row>
    <row r="3" spans="2:37" ht="12.75" customHeight="1">
      <c r="B3" s="585"/>
      <c r="C3" s="585"/>
      <c r="E3" s="916"/>
      <c r="F3" s="916"/>
      <c r="H3" s="939"/>
      <c r="I3" s="939"/>
      <c r="J3" s="939"/>
      <c r="K3" s="939"/>
      <c r="L3" s="939"/>
      <c r="M3" s="939"/>
      <c r="N3" s="939"/>
      <c r="O3" s="939"/>
      <c r="P3" s="939"/>
      <c r="Q3" s="939"/>
      <c r="R3" s="939"/>
      <c r="S3" s="939"/>
      <c r="T3" s="939"/>
      <c r="U3" s="939"/>
      <c r="V3" s="939"/>
      <c r="W3" s="939"/>
      <c r="X3" s="939"/>
      <c r="Y3" s="939"/>
      <c r="Z3" s="939"/>
      <c r="AB3" s="914"/>
      <c r="AC3" s="627"/>
      <c r="AD3" s="627"/>
      <c r="AE3" s="627"/>
      <c r="AF3" s="627"/>
      <c r="AG3" s="627"/>
      <c r="AH3" s="627"/>
      <c r="AI3" s="627"/>
      <c r="AJ3" s="627"/>
      <c r="AK3" s="627"/>
    </row>
    <row r="4" spans="2:37" ht="23.25" customHeight="1">
      <c r="B4" s="581"/>
      <c r="C4" s="940">
        <v>1970</v>
      </c>
      <c r="D4" s="583">
        <v>1980</v>
      </c>
      <c r="E4" s="583">
        <v>1990</v>
      </c>
      <c r="F4" s="583">
        <v>1995</v>
      </c>
      <c r="G4" s="583">
        <v>1996</v>
      </c>
      <c r="H4" s="583">
        <v>1997</v>
      </c>
      <c r="I4" s="583">
        <v>1998</v>
      </c>
      <c r="J4" s="583">
        <v>1999</v>
      </c>
      <c r="K4" s="583">
        <v>2000</v>
      </c>
      <c r="L4" s="583">
        <v>2001</v>
      </c>
      <c r="M4" s="583">
        <v>2002</v>
      </c>
      <c r="N4" s="583">
        <v>2003</v>
      </c>
      <c r="O4" s="583">
        <v>2004</v>
      </c>
      <c r="P4" s="583">
        <v>2005</v>
      </c>
      <c r="Q4" s="583">
        <v>2006</v>
      </c>
      <c r="R4" s="583">
        <v>2007</v>
      </c>
      <c r="S4" s="583">
        <v>2008</v>
      </c>
      <c r="T4" s="583">
        <v>2009</v>
      </c>
      <c r="U4" s="583">
        <v>2010</v>
      </c>
      <c r="V4" s="583">
        <v>2011</v>
      </c>
      <c r="W4" s="583">
        <v>2012</v>
      </c>
      <c r="X4" s="583">
        <v>2013</v>
      </c>
      <c r="Y4" s="583">
        <v>2014</v>
      </c>
      <c r="Z4" s="583">
        <v>2015</v>
      </c>
      <c r="AA4" s="941"/>
      <c r="AB4" s="942"/>
      <c r="AC4" s="942"/>
      <c r="AD4" s="942"/>
      <c r="AE4" s="942"/>
      <c r="AF4" s="942"/>
      <c r="AG4" s="942"/>
      <c r="AH4" s="942"/>
      <c r="AI4" s="942" t="s">
        <v>205</v>
      </c>
      <c r="AJ4" s="943"/>
      <c r="AK4" s="627"/>
    </row>
    <row r="5" spans="2:37" ht="12" customHeight="1">
      <c r="B5" s="586"/>
      <c r="C5" s="944"/>
      <c r="D5" s="588"/>
      <c r="E5" s="588"/>
      <c r="F5" s="588"/>
      <c r="G5" s="588"/>
      <c r="H5" s="588"/>
      <c r="I5" s="588"/>
      <c r="J5" s="588"/>
      <c r="K5" s="588"/>
      <c r="L5" s="588"/>
      <c r="M5" s="588"/>
      <c r="N5" s="588"/>
      <c r="O5" s="588"/>
      <c r="P5" s="588"/>
      <c r="Q5" s="588"/>
      <c r="R5" s="588"/>
      <c r="S5" s="588"/>
      <c r="T5" s="588"/>
      <c r="U5" s="588"/>
      <c r="V5" s="588"/>
      <c r="W5" s="588"/>
      <c r="X5" s="588"/>
      <c r="Y5" s="588"/>
      <c r="Z5" s="588"/>
      <c r="AA5" s="945">
        <v>2007</v>
      </c>
      <c r="AB5" s="946">
        <v>2008</v>
      </c>
      <c r="AC5" s="946">
        <v>2009</v>
      </c>
      <c r="AD5" s="946">
        <v>2010</v>
      </c>
      <c r="AE5" s="946">
        <v>2011</v>
      </c>
      <c r="AF5" s="946">
        <v>2012</v>
      </c>
      <c r="AG5" s="946">
        <v>2013</v>
      </c>
      <c r="AH5" s="946">
        <v>2014</v>
      </c>
      <c r="AI5" s="946">
        <v>2015</v>
      </c>
      <c r="AJ5" s="947" t="s">
        <v>147</v>
      </c>
      <c r="AK5" s="681"/>
    </row>
    <row r="6" spans="2:37" ht="12.75" customHeight="1">
      <c r="B6" s="591" t="s">
        <v>250</v>
      </c>
      <c r="C6" s="948">
        <v>248269</v>
      </c>
      <c r="D6" s="949">
        <v>240629</v>
      </c>
      <c r="E6" s="949">
        <v>237671</v>
      </c>
      <c r="F6" s="949">
        <v>229435</v>
      </c>
      <c r="G6" s="949">
        <v>220627</v>
      </c>
      <c r="H6" s="949">
        <v>218237</v>
      </c>
      <c r="I6" s="949">
        <v>216958</v>
      </c>
      <c r="J6" s="949">
        <v>213312</v>
      </c>
      <c r="K6" s="949">
        <v>220583</v>
      </c>
      <c r="L6" s="949">
        <v>217502</v>
      </c>
      <c r="M6" s="949">
        <v>217892</v>
      </c>
      <c r="N6" s="949">
        <v>219024</v>
      </c>
      <c r="O6" s="949">
        <v>216225</v>
      </c>
      <c r="P6" s="908">
        <v>215110</v>
      </c>
      <c r="Q6" s="908">
        <v>215378</v>
      </c>
      <c r="R6" s="908">
        <v>215651</v>
      </c>
      <c r="S6" s="908">
        <v>216018</v>
      </c>
      <c r="T6" s="908">
        <v>215892</v>
      </c>
      <c r="U6" s="908">
        <v>215840</v>
      </c>
      <c r="V6" s="908">
        <v>216191</v>
      </c>
      <c r="W6" s="908">
        <v>215489</v>
      </c>
      <c r="X6" s="950">
        <v>219205</v>
      </c>
      <c r="Y6" s="908">
        <v>219129</v>
      </c>
      <c r="Z6" s="908">
        <v>218181</v>
      </c>
      <c r="AA6" s="948">
        <v>111024</v>
      </c>
      <c r="AB6" s="949">
        <v>111778</v>
      </c>
      <c r="AC6" s="949">
        <v>112274</v>
      </c>
      <c r="AD6" s="949">
        <v>113113</v>
      </c>
      <c r="AE6" s="951">
        <v>114697</v>
      </c>
      <c r="AF6" s="951">
        <v>115049</v>
      </c>
      <c r="AG6" s="952">
        <v>115137.56</v>
      </c>
      <c r="AH6" s="949">
        <v>115393.04000000001</v>
      </c>
      <c r="AI6" s="951">
        <v>116086.26000000001</v>
      </c>
      <c r="AJ6" s="784">
        <v>53.206402024007595</v>
      </c>
      <c r="AK6" s="591" t="s">
        <v>250</v>
      </c>
    </row>
    <row r="7" spans="2:37" ht="12.75" customHeight="1">
      <c r="B7" s="598" t="s">
        <v>89</v>
      </c>
      <c r="C7" s="953">
        <v>175274</v>
      </c>
      <c r="D7" s="954">
        <v>168150</v>
      </c>
      <c r="E7" s="954">
        <v>162132</v>
      </c>
      <c r="F7" s="954">
        <v>160037</v>
      </c>
      <c r="G7" s="954">
        <v>159068</v>
      </c>
      <c r="H7" s="954">
        <v>156830</v>
      </c>
      <c r="I7" s="954">
        <v>156249</v>
      </c>
      <c r="J7" s="954">
        <v>153028</v>
      </c>
      <c r="K7" s="954">
        <v>152446</v>
      </c>
      <c r="L7" s="954">
        <v>152189</v>
      </c>
      <c r="M7" s="954">
        <v>152180</v>
      </c>
      <c r="N7" s="954">
        <v>152791</v>
      </c>
      <c r="O7" s="954">
        <v>150463</v>
      </c>
      <c r="P7" s="904">
        <v>150316</v>
      </c>
      <c r="Q7" s="904">
        <v>150849</v>
      </c>
      <c r="R7" s="904">
        <v>151356</v>
      </c>
      <c r="S7" s="904">
        <v>151572</v>
      </c>
      <c r="T7" s="904">
        <v>151070</v>
      </c>
      <c r="U7" s="904">
        <v>151127</v>
      </c>
      <c r="V7" s="904">
        <v>151514</v>
      </c>
      <c r="W7" s="904">
        <v>150950</v>
      </c>
      <c r="X7" s="955">
        <v>155391</v>
      </c>
      <c r="Y7" s="904">
        <v>155477</v>
      </c>
      <c r="Z7" s="904">
        <v>154837</v>
      </c>
      <c r="AA7" s="953">
        <v>82984</v>
      </c>
      <c r="AB7" s="954">
        <v>83620</v>
      </c>
      <c r="AC7" s="954">
        <v>83973</v>
      </c>
      <c r="AD7" s="954">
        <v>84710</v>
      </c>
      <c r="AE7" s="956">
        <v>86209</v>
      </c>
      <c r="AF7" s="956">
        <v>86490</v>
      </c>
      <c r="AG7" s="957">
        <v>86621.56</v>
      </c>
      <c r="AH7" s="954">
        <v>86942.04000000001</v>
      </c>
      <c r="AI7" s="956">
        <v>87563.26000000001</v>
      </c>
      <c r="AJ7" s="790">
        <v>56.55189651052398</v>
      </c>
      <c r="AK7" s="598" t="s">
        <v>89</v>
      </c>
    </row>
    <row r="8" spans="2:37" ht="12.75" customHeight="1">
      <c r="B8" s="604" t="s">
        <v>251</v>
      </c>
      <c r="C8" s="958">
        <v>72995</v>
      </c>
      <c r="D8" s="959">
        <v>72479</v>
      </c>
      <c r="E8" s="959">
        <v>71879</v>
      </c>
      <c r="F8" s="959">
        <v>69398</v>
      </c>
      <c r="G8" s="959">
        <v>61559</v>
      </c>
      <c r="H8" s="959">
        <v>61407</v>
      </c>
      <c r="I8" s="959">
        <v>60709</v>
      </c>
      <c r="J8" s="959">
        <v>60284</v>
      </c>
      <c r="K8" s="959">
        <v>68137</v>
      </c>
      <c r="L8" s="959">
        <v>65313</v>
      </c>
      <c r="M8" s="959">
        <v>65712</v>
      </c>
      <c r="N8" s="959">
        <v>66233</v>
      </c>
      <c r="O8" s="959">
        <v>65762</v>
      </c>
      <c r="P8" s="900">
        <v>64794</v>
      </c>
      <c r="Q8" s="900">
        <v>64529</v>
      </c>
      <c r="R8" s="900">
        <v>64295</v>
      </c>
      <c r="S8" s="900">
        <v>64446</v>
      </c>
      <c r="T8" s="900">
        <v>64822</v>
      </c>
      <c r="U8" s="900">
        <v>64713</v>
      </c>
      <c r="V8" s="900">
        <v>64677</v>
      </c>
      <c r="W8" s="900">
        <v>64539</v>
      </c>
      <c r="X8" s="900">
        <v>63814</v>
      </c>
      <c r="Y8" s="900">
        <v>63652</v>
      </c>
      <c r="Z8" s="900">
        <v>63344</v>
      </c>
      <c r="AA8" s="958">
        <v>28040</v>
      </c>
      <c r="AB8" s="959">
        <v>28158</v>
      </c>
      <c r="AC8" s="959">
        <v>28301</v>
      </c>
      <c r="AD8" s="959">
        <v>28403</v>
      </c>
      <c r="AE8" s="959">
        <v>28488</v>
      </c>
      <c r="AF8" s="959">
        <v>28559</v>
      </c>
      <c r="AG8" s="959">
        <v>28516</v>
      </c>
      <c r="AH8" s="959">
        <v>28451</v>
      </c>
      <c r="AI8" s="959">
        <v>28523</v>
      </c>
      <c r="AJ8" s="960">
        <v>45.02873200303107</v>
      </c>
      <c r="AK8" s="604" t="s">
        <v>251</v>
      </c>
    </row>
    <row r="9" spans="1:37" ht="12.75" customHeight="1">
      <c r="A9" s="597"/>
      <c r="B9" s="591" t="s">
        <v>81</v>
      </c>
      <c r="C9" s="992">
        <v>5901</v>
      </c>
      <c r="D9" s="993">
        <v>5857</v>
      </c>
      <c r="E9" s="993">
        <v>5624</v>
      </c>
      <c r="F9" s="993">
        <v>5672</v>
      </c>
      <c r="G9" s="993">
        <v>5672</v>
      </c>
      <c r="H9" s="993">
        <v>5672</v>
      </c>
      <c r="I9" s="993">
        <v>5643</v>
      </c>
      <c r="J9" s="993">
        <v>5643</v>
      </c>
      <c r="K9" s="993">
        <v>5665</v>
      </c>
      <c r="L9" s="993">
        <v>5697</v>
      </c>
      <c r="M9" s="993">
        <v>5779</v>
      </c>
      <c r="N9" s="993">
        <v>5787</v>
      </c>
      <c r="O9" s="993">
        <v>5675</v>
      </c>
      <c r="P9" s="877">
        <v>5691</v>
      </c>
      <c r="Q9" s="925">
        <f>5702+25+91</f>
        <v>5818</v>
      </c>
      <c r="R9" s="877">
        <f>5702+91+25</f>
        <v>5818</v>
      </c>
      <c r="S9" s="877">
        <v>5664</v>
      </c>
      <c r="T9" s="877">
        <v>5356</v>
      </c>
      <c r="U9" s="877">
        <v>5039</v>
      </c>
      <c r="V9" s="877">
        <v>5021</v>
      </c>
      <c r="W9" s="877">
        <v>4894</v>
      </c>
      <c r="X9" s="877">
        <v>4894</v>
      </c>
      <c r="Y9" s="877">
        <f>4967+91</f>
        <v>5058</v>
      </c>
      <c r="Z9" s="877">
        <f>4846+91</f>
        <v>4937</v>
      </c>
      <c r="AA9" s="967">
        <f>3520+25</f>
        <v>3545</v>
      </c>
      <c r="AB9" s="925">
        <v>3510</v>
      </c>
      <c r="AC9" s="925">
        <v>3518</v>
      </c>
      <c r="AD9" s="925">
        <v>3427</v>
      </c>
      <c r="AE9" s="925">
        <v>3416</v>
      </c>
      <c r="AF9" s="925">
        <v>3468</v>
      </c>
      <c r="AG9" s="925">
        <v>3468</v>
      </c>
      <c r="AH9" s="925">
        <f>3527</f>
        <v>3527</v>
      </c>
      <c r="AI9" s="925">
        <v>3517</v>
      </c>
      <c r="AJ9" s="972">
        <f>AI9/Z9*100</f>
        <v>71.2375936803727</v>
      </c>
      <c r="AK9" s="591" t="s">
        <v>81</v>
      </c>
    </row>
    <row r="10" spans="1:37" ht="12.75" customHeight="1">
      <c r="A10" s="597"/>
      <c r="B10" s="610" t="s">
        <v>60</v>
      </c>
      <c r="C10" s="968">
        <v>4605</v>
      </c>
      <c r="D10" s="927">
        <v>3971</v>
      </c>
      <c r="E10" s="927">
        <v>3479</v>
      </c>
      <c r="F10" s="927">
        <v>3368</v>
      </c>
      <c r="G10" s="927">
        <v>3380</v>
      </c>
      <c r="H10" s="927">
        <v>3422</v>
      </c>
      <c r="I10" s="927">
        <v>3470</v>
      </c>
      <c r="J10" s="927">
        <v>3472</v>
      </c>
      <c r="K10" s="927">
        <v>3471</v>
      </c>
      <c r="L10" s="927">
        <v>3454</v>
      </c>
      <c r="M10" s="927">
        <v>3518</v>
      </c>
      <c r="N10" s="927">
        <v>3521</v>
      </c>
      <c r="O10" s="927">
        <v>3536</v>
      </c>
      <c r="P10" s="872">
        <v>3544</v>
      </c>
      <c r="Q10" s="927">
        <v>3500</v>
      </c>
      <c r="R10" s="872">
        <v>3374</v>
      </c>
      <c r="S10" s="872">
        <v>3513</v>
      </c>
      <c r="T10" s="872">
        <v>3578</v>
      </c>
      <c r="U10" s="872">
        <v>3582</v>
      </c>
      <c r="V10" s="872">
        <v>3582</v>
      </c>
      <c r="W10" s="872">
        <v>3582</v>
      </c>
      <c r="X10" s="872">
        <v>3595</v>
      </c>
      <c r="Y10" s="872">
        <v>3631</v>
      </c>
      <c r="Z10" s="872">
        <v>3607</v>
      </c>
      <c r="AA10" s="963">
        <v>3002</v>
      </c>
      <c r="AB10" s="964">
        <v>2955</v>
      </c>
      <c r="AC10" s="964">
        <v>3005</v>
      </c>
      <c r="AD10" s="964">
        <v>3064</v>
      </c>
      <c r="AE10" s="965">
        <v>3064</v>
      </c>
      <c r="AF10" s="965">
        <v>3064</v>
      </c>
      <c r="AG10" s="965">
        <v>3064</v>
      </c>
      <c r="AH10" s="964">
        <f>Y10*85/100</f>
        <v>3086.35</v>
      </c>
      <c r="AI10" s="965">
        <v>3086</v>
      </c>
      <c r="AJ10" s="966">
        <f>AI10/Z10*100</f>
        <v>85.55586359855836</v>
      </c>
      <c r="AK10" s="610" t="s">
        <v>60</v>
      </c>
    </row>
    <row r="11" spans="1:37" ht="12.75" customHeight="1">
      <c r="A11" s="597"/>
      <c r="B11" s="598" t="s">
        <v>101</v>
      </c>
      <c r="C11" s="967">
        <v>4196</v>
      </c>
      <c r="D11" s="925">
        <v>4341</v>
      </c>
      <c r="E11" s="925">
        <v>4299</v>
      </c>
      <c r="F11" s="925">
        <v>4294</v>
      </c>
      <c r="G11" s="925">
        <v>4293</v>
      </c>
      <c r="H11" s="925">
        <v>4292</v>
      </c>
      <c r="I11" s="925">
        <v>4090</v>
      </c>
      <c r="J11" s="925">
        <v>4090</v>
      </c>
      <c r="K11" s="925">
        <v>4320</v>
      </c>
      <c r="L11" s="925">
        <v>4320</v>
      </c>
      <c r="M11" s="925">
        <v>4318</v>
      </c>
      <c r="N11" s="877">
        <v>4316</v>
      </c>
      <c r="O11" s="877">
        <v>4259</v>
      </c>
      <c r="P11" s="877">
        <v>4154</v>
      </c>
      <c r="Q11" s="877">
        <v>4146</v>
      </c>
      <c r="R11" s="877">
        <v>4143</v>
      </c>
      <c r="S11" s="877">
        <v>4144</v>
      </c>
      <c r="T11" s="877">
        <v>4150</v>
      </c>
      <c r="U11" s="877">
        <v>4097</v>
      </c>
      <c r="V11" s="877">
        <v>4072</v>
      </c>
      <c r="W11" s="877">
        <v>4070</v>
      </c>
      <c r="X11" s="877">
        <v>4032</v>
      </c>
      <c r="Y11" s="877">
        <v>4023</v>
      </c>
      <c r="Z11" s="877">
        <v>4019</v>
      </c>
      <c r="AA11" s="967">
        <v>2806</v>
      </c>
      <c r="AB11" s="925">
        <v>2827</v>
      </c>
      <c r="AC11" s="925">
        <v>2833</v>
      </c>
      <c r="AD11" s="925">
        <v>2785</v>
      </c>
      <c r="AE11" s="925">
        <v>2862</v>
      </c>
      <c r="AF11" s="925">
        <v>2862</v>
      </c>
      <c r="AG11" s="925">
        <v>2869</v>
      </c>
      <c r="AH11" s="925">
        <v>2861</v>
      </c>
      <c r="AI11" s="925">
        <v>2859</v>
      </c>
      <c r="AJ11" s="615">
        <f>AI11/Z11*100</f>
        <v>71.13709878079123</v>
      </c>
      <c r="AK11" s="598" t="s">
        <v>101</v>
      </c>
    </row>
    <row r="12" spans="1:37" ht="12.75" customHeight="1">
      <c r="A12" s="597"/>
      <c r="B12" s="610" t="s">
        <v>71</v>
      </c>
      <c r="C12" s="874" t="s">
        <v>146</v>
      </c>
      <c r="D12" s="872" t="s">
        <v>146</v>
      </c>
      <c r="E12" s="872" t="s">
        <v>146</v>
      </c>
      <c r="F12" s="872" t="s">
        <v>146</v>
      </c>
      <c r="G12" s="872" t="s">
        <v>146</v>
      </c>
      <c r="H12" s="872" t="s">
        <v>146</v>
      </c>
      <c r="I12" s="872" t="s">
        <v>146</v>
      </c>
      <c r="J12" s="872" t="s">
        <v>146</v>
      </c>
      <c r="K12" s="872" t="s">
        <v>146</v>
      </c>
      <c r="L12" s="872" t="s">
        <v>146</v>
      </c>
      <c r="M12" s="872" t="s">
        <v>146</v>
      </c>
      <c r="N12" s="872" t="s">
        <v>146</v>
      </c>
      <c r="O12" s="872" t="s">
        <v>146</v>
      </c>
      <c r="P12" s="872" t="s">
        <v>146</v>
      </c>
      <c r="Q12" s="872" t="s">
        <v>146</v>
      </c>
      <c r="R12" s="872" t="s">
        <v>146</v>
      </c>
      <c r="S12" s="872" t="s">
        <v>146</v>
      </c>
      <c r="T12" s="872" t="s">
        <v>146</v>
      </c>
      <c r="U12" s="872" t="s">
        <v>146</v>
      </c>
      <c r="V12" s="872" t="s">
        <v>146</v>
      </c>
      <c r="W12" s="872" t="s">
        <v>146</v>
      </c>
      <c r="X12" s="872" t="s">
        <v>146</v>
      </c>
      <c r="Y12" s="872" t="s">
        <v>146</v>
      </c>
      <c r="Z12" s="872" t="s">
        <v>146</v>
      </c>
      <c r="AA12" s="973" t="s">
        <v>146</v>
      </c>
      <c r="AB12" s="974" t="s">
        <v>146</v>
      </c>
      <c r="AC12" s="974" t="s">
        <v>146</v>
      </c>
      <c r="AD12" s="974" t="s">
        <v>146</v>
      </c>
      <c r="AE12" s="974" t="s">
        <v>146</v>
      </c>
      <c r="AF12" s="974" t="s">
        <v>146</v>
      </c>
      <c r="AG12" s="974" t="s">
        <v>146</v>
      </c>
      <c r="AH12" s="974" t="s">
        <v>146</v>
      </c>
      <c r="AI12" s="974" t="s">
        <v>146</v>
      </c>
      <c r="AJ12" s="622" t="s">
        <v>146</v>
      </c>
      <c r="AK12" s="610" t="s">
        <v>71</v>
      </c>
    </row>
    <row r="13" spans="1:37" ht="12.75" customHeight="1">
      <c r="A13" s="597"/>
      <c r="B13" s="610" t="s">
        <v>61</v>
      </c>
      <c r="C13" s="968"/>
      <c r="D13" s="927"/>
      <c r="E13" s="927"/>
      <c r="F13" s="927">
        <v>9430</v>
      </c>
      <c r="G13" s="927">
        <v>9430</v>
      </c>
      <c r="H13" s="927">
        <v>9430</v>
      </c>
      <c r="I13" s="927">
        <v>9430</v>
      </c>
      <c r="J13" s="927">
        <v>9444</v>
      </c>
      <c r="K13" s="927">
        <v>9444</v>
      </c>
      <c r="L13" s="927">
        <v>9523</v>
      </c>
      <c r="M13" s="927">
        <v>9600</v>
      </c>
      <c r="N13" s="927">
        <v>9602</v>
      </c>
      <c r="O13" s="927">
        <v>9612</v>
      </c>
      <c r="P13" s="872">
        <v>9614</v>
      </c>
      <c r="Q13" s="927">
        <v>9597</v>
      </c>
      <c r="R13" s="872">
        <v>9588</v>
      </c>
      <c r="S13" s="872">
        <v>9486</v>
      </c>
      <c r="T13" s="872">
        <v>9477</v>
      </c>
      <c r="U13" s="872">
        <v>9468</v>
      </c>
      <c r="V13" s="872">
        <v>9470</v>
      </c>
      <c r="W13" s="872">
        <v>9469</v>
      </c>
      <c r="X13" s="969">
        <v>9459</v>
      </c>
      <c r="Y13" s="872">
        <v>9456</v>
      </c>
      <c r="Z13" s="872">
        <v>9466</v>
      </c>
      <c r="AA13" s="963">
        <v>3060</v>
      </c>
      <c r="AB13" s="964">
        <v>3078</v>
      </c>
      <c r="AC13" s="964">
        <v>3152</v>
      </c>
      <c r="AD13" s="964">
        <v>3210</v>
      </c>
      <c r="AE13" s="964">
        <v>3208</v>
      </c>
      <c r="AF13" s="964">
        <v>3217</v>
      </c>
      <c r="AG13" s="970">
        <v>3216</v>
      </c>
      <c r="AH13" s="964">
        <v>3215</v>
      </c>
      <c r="AI13" s="964">
        <v>3217</v>
      </c>
      <c r="AJ13" s="966">
        <f aca="true" t="shared" si="0" ref="AJ13:AJ27">AI13/Z13*100</f>
        <v>33.98478766110289</v>
      </c>
      <c r="AK13" s="610" t="s">
        <v>61</v>
      </c>
    </row>
    <row r="14" spans="1:37" ht="12.75" customHeight="1">
      <c r="A14" s="597"/>
      <c r="B14" s="610" t="s">
        <v>63</v>
      </c>
      <c r="C14" s="968">
        <v>43777</v>
      </c>
      <c r="D14" s="927">
        <v>42765</v>
      </c>
      <c r="E14" s="927">
        <v>40981</v>
      </c>
      <c r="F14" s="927">
        <v>41718</v>
      </c>
      <c r="G14" s="927">
        <v>40826</v>
      </c>
      <c r="H14" s="927">
        <v>38450</v>
      </c>
      <c r="I14" s="927">
        <v>38126</v>
      </c>
      <c r="J14" s="927">
        <v>37525</v>
      </c>
      <c r="K14" s="927">
        <v>36588</v>
      </c>
      <c r="L14" s="927">
        <v>35986</v>
      </c>
      <c r="M14" s="927">
        <v>35814</v>
      </c>
      <c r="N14" s="927">
        <v>36054</v>
      </c>
      <c r="O14" s="927">
        <v>34732</v>
      </c>
      <c r="P14" s="872">
        <v>34221</v>
      </c>
      <c r="Q14" s="927">
        <v>34122</v>
      </c>
      <c r="R14" s="872">
        <v>33890</v>
      </c>
      <c r="S14" s="872">
        <v>33855</v>
      </c>
      <c r="T14" s="969">
        <v>33714</v>
      </c>
      <c r="U14" s="872">
        <v>33707</v>
      </c>
      <c r="V14" s="872">
        <v>33576</v>
      </c>
      <c r="W14" s="872">
        <v>33509</v>
      </c>
      <c r="X14" s="872">
        <v>38703</v>
      </c>
      <c r="Y14" s="872">
        <v>38836</v>
      </c>
      <c r="Z14" s="872">
        <v>38828</v>
      </c>
      <c r="AA14" s="963">
        <v>19544</v>
      </c>
      <c r="AB14" s="964">
        <v>19645</v>
      </c>
      <c r="AC14" s="964">
        <v>19701</v>
      </c>
      <c r="AD14" s="964">
        <v>19819</v>
      </c>
      <c r="AE14" s="964">
        <v>19826</v>
      </c>
      <c r="AF14" s="964">
        <v>19830</v>
      </c>
      <c r="AG14" s="964">
        <f>X14*52/100</f>
        <v>20125.56</v>
      </c>
      <c r="AH14" s="964">
        <f>Y14*52/100</f>
        <v>20194.72</v>
      </c>
      <c r="AI14" s="964">
        <f>Z14*52.4/100</f>
        <v>20345.872</v>
      </c>
      <c r="AJ14" s="966">
        <f t="shared" si="0"/>
        <v>52.400000000000006</v>
      </c>
      <c r="AK14" s="610" t="s">
        <v>63</v>
      </c>
    </row>
    <row r="15" spans="1:37" ht="12.75" customHeight="1">
      <c r="A15" s="597"/>
      <c r="B15" s="598" t="s">
        <v>14</v>
      </c>
      <c r="C15" s="967">
        <v>2352</v>
      </c>
      <c r="D15" s="925">
        <v>2015</v>
      </c>
      <c r="E15" s="925">
        <v>2838</v>
      </c>
      <c r="F15" s="925">
        <v>2863</v>
      </c>
      <c r="G15" s="925">
        <v>2863</v>
      </c>
      <c r="H15" s="925">
        <v>2762</v>
      </c>
      <c r="I15" s="925">
        <v>2779</v>
      </c>
      <c r="J15" s="925">
        <v>2775</v>
      </c>
      <c r="K15" s="925">
        <v>2787</v>
      </c>
      <c r="L15" s="925">
        <v>2787</v>
      </c>
      <c r="M15" s="925">
        <v>2787</v>
      </c>
      <c r="N15" s="925">
        <v>2787</v>
      </c>
      <c r="O15" s="925">
        <v>2646</v>
      </c>
      <c r="P15" s="877">
        <v>2646</v>
      </c>
      <c r="Q15" s="877">
        <v>2646</v>
      </c>
      <c r="R15" s="971">
        <v>2606</v>
      </c>
      <c r="S15" s="877">
        <v>2606</v>
      </c>
      <c r="T15" s="877">
        <v>2606</v>
      </c>
      <c r="U15" s="877">
        <v>2606</v>
      </c>
      <c r="V15" s="877">
        <v>2615</v>
      </c>
      <c r="W15" s="877">
        <v>2615</v>
      </c>
      <c r="X15" s="877">
        <v>2615</v>
      </c>
      <c r="Y15" s="877">
        <f>2633-21</f>
        <v>2612</v>
      </c>
      <c r="Z15" s="877">
        <f>2573-21</f>
        <v>2552</v>
      </c>
      <c r="AA15" s="967">
        <v>619</v>
      </c>
      <c r="AB15" s="925">
        <v>621</v>
      </c>
      <c r="AC15" s="925">
        <v>621</v>
      </c>
      <c r="AD15" s="925">
        <f>642-21</f>
        <v>621</v>
      </c>
      <c r="AE15" s="925">
        <v>621</v>
      </c>
      <c r="AF15" s="925">
        <f>642-21</f>
        <v>621</v>
      </c>
      <c r="AG15" s="925">
        <v>621</v>
      </c>
      <c r="AH15" s="925">
        <v>621</v>
      </c>
      <c r="AI15" s="925">
        <v>621</v>
      </c>
      <c r="AJ15" s="615">
        <f t="shared" si="0"/>
        <v>24.33385579937304</v>
      </c>
      <c r="AK15" s="598" t="s">
        <v>14</v>
      </c>
    </row>
    <row r="16" spans="1:37" ht="12.75" customHeight="1">
      <c r="A16" s="597"/>
      <c r="B16" s="598" t="s">
        <v>64</v>
      </c>
      <c r="C16" s="967">
        <v>1227</v>
      </c>
      <c r="D16" s="925">
        <v>993</v>
      </c>
      <c r="E16" s="925">
        <v>1026</v>
      </c>
      <c r="F16" s="925">
        <v>1021</v>
      </c>
      <c r="G16" s="925">
        <v>1021</v>
      </c>
      <c r="H16" s="925">
        <v>966</v>
      </c>
      <c r="I16" s="925">
        <v>966</v>
      </c>
      <c r="J16" s="925">
        <v>968</v>
      </c>
      <c r="K16" s="925">
        <v>968</v>
      </c>
      <c r="L16" s="925">
        <v>967</v>
      </c>
      <c r="M16" s="925">
        <v>963</v>
      </c>
      <c r="N16" s="925">
        <v>967</v>
      </c>
      <c r="O16" s="925">
        <v>971</v>
      </c>
      <c r="P16" s="877">
        <v>968</v>
      </c>
      <c r="Q16" s="925">
        <v>968</v>
      </c>
      <c r="R16" s="877">
        <v>816</v>
      </c>
      <c r="S16" s="877">
        <v>919</v>
      </c>
      <c r="T16" s="877">
        <v>1539</v>
      </c>
      <c r="U16" s="877">
        <v>1540</v>
      </c>
      <c r="V16" s="877">
        <v>1540</v>
      </c>
      <c r="W16" s="877">
        <v>1540</v>
      </c>
      <c r="X16" s="877">
        <v>1510</v>
      </c>
      <c r="Y16" s="877">
        <v>1510</v>
      </c>
      <c r="Z16" s="877">
        <v>1510</v>
      </c>
      <c r="AA16" s="967">
        <v>131</v>
      </c>
      <c r="AB16" s="925">
        <v>131</v>
      </c>
      <c r="AC16" s="925">
        <v>132</v>
      </c>
      <c r="AD16" s="925">
        <v>132</v>
      </c>
      <c r="AE16" s="925">
        <v>132</v>
      </c>
      <c r="AF16" s="925">
        <v>132</v>
      </c>
      <c r="AG16" s="925">
        <v>132</v>
      </c>
      <c r="AH16" s="925">
        <v>132</v>
      </c>
      <c r="AI16" s="925">
        <v>132</v>
      </c>
      <c r="AJ16" s="972">
        <f t="shared" si="0"/>
        <v>8.741721854304636</v>
      </c>
      <c r="AK16" s="598" t="s">
        <v>64</v>
      </c>
    </row>
    <row r="17" spans="1:37" ht="12.75" customHeight="1">
      <c r="A17" s="597"/>
      <c r="B17" s="598" t="s">
        <v>15</v>
      </c>
      <c r="C17" s="967">
        <v>2602</v>
      </c>
      <c r="D17" s="925">
        <v>2461</v>
      </c>
      <c r="E17" s="994">
        <v>2484</v>
      </c>
      <c r="F17" s="925">
        <v>2474</v>
      </c>
      <c r="G17" s="925">
        <v>2474</v>
      </c>
      <c r="H17" s="925">
        <v>2503</v>
      </c>
      <c r="I17" s="925">
        <v>2299</v>
      </c>
      <c r="J17" s="925">
        <v>2299</v>
      </c>
      <c r="K17" s="925">
        <v>2385</v>
      </c>
      <c r="L17" s="925">
        <v>2377</v>
      </c>
      <c r="M17" s="925">
        <v>2383</v>
      </c>
      <c r="N17" s="925">
        <v>2414</v>
      </c>
      <c r="O17" s="925">
        <v>2449</v>
      </c>
      <c r="P17" s="877">
        <v>2576</v>
      </c>
      <c r="Q17" s="925">
        <v>2509</v>
      </c>
      <c r="R17" s="877">
        <v>2551</v>
      </c>
      <c r="S17" s="877">
        <v>2552</v>
      </c>
      <c r="T17" s="877">
        <v>2552</v>
      </c>
      <c r="U17" s="877">
        <v>2552</v>
      </c>
      <c r="V17" s="877">
        <v>2554</v>
      </c>
      <c r="W17" s="877">
        <v>2554</v>
      </c>
      <c r="X17" s="877">
        <v>2265</v>
      </c>
      <c r="Y17" s="877">
        <v>2238</v>
      </c>
      <c r="Z17" s="877">
        <v>2239</v>
      </c>
      <c r="AA17" s="967">
        <v>199</v>
      </c>
      <c r="AB17" s="925">
        <v>264</v>
      </c>
      <c r="AC17" s="925">
        <v>264</v>
      </c>
      <c r="AD17" s="925">
        <v>368</v>
      </c>
      <c r="AE17" s="925">
        <v>438</v>
      </c>
      <c r="AF17" s="925">
        <v>438</v>
      </c>
      <c r="AG17" s="925">
        <v>437</v>
      </c>
      <c r="AH17" s="925">
        <v>494</v>
      </c>
      <c r="AI17" s="925">
        <v>525</v>
      </c>
      <c r="AJ17" s="972">
        <f t="shared" si="0"/>
        <v>23.44796784278696</v>
      </c>
      <c r="AK17" s="598" t="s">
        <v>15</v>
      </c>
    </row>
    <row r="18" spans="1:37" ht="12.75" customHeight="1">
      <c r="A18" s="597"/>
      <c r="B18" s="610" t="s">
        <v>66</v>
      </c>
      <c r="C18" s="968">
        <v>15850</v>
      </c>
      <c r="D18" s="927">
        <v>15724</v>
      </c>
      <c r="E18" s="927">
        <v>14539</v>
      </c>
      <c r="F18" s="927">
        <f>6717+7591</f>
        <v>14308</v>
      </c>
      <c r="G18" s="927">
        <f>6717+7564</f>
        <v>14281</v>
      </c>
      <c r="H18" s="927">
        <f>6654+7654</f>
        <v>14308</v>
      </c>
      <c r="I18" s="927">
        <f>6575+7714</f>
        <v>14289</v>
      </c>
      <c r="J18" s="927">
        <f>6571+7790</f>
        <v>14361</v>
      </c>
      <c r="K18" s="927">
        <f>6559+7788</f>
        <v>14347</v>
      </c>
      <c r="L18" s="927">
        <f>6559+7788</f>
        <v>14347</v>
      </c>
      <c r="M18" s="927">
        <f>6499+7927</f>
        <v>14426</v>
      </c>
      <c r="N18" s="927">
        <f>6432+8477</f>
        <v>14909</v>
      </c>
      <c r="O18" s="927">
        <f>6447+8338</f>
        <v>14785</v>
      </c>
      <c r="P18" s="872">
        <f>6537+8478</f>
        <v>15015</v>
      </c>
      <c r="Q18" s="927">
        <f>6486+8726</f>
        <v>15212</v>
      </c>
      <c r="R18" s="872">
        <f>6455+9099</f>
        <v>15554</v>
      </c>
      <c r="S18" s="872">
        <f>6434+9116</f>
        <v>15550</v>
      </c>
      <c r="T18" s="969">
        <f>6394+8936</f>
        <v>15330</v>
      </c>
      <c r="U18" s="872">
        <f>6398+9439</f>
        <v>15837</v>
      </c>
      <c r="V18" s="872">
        <f>15932</f>
        <v>15932</v>
      </c>
      <c r="W18" s="872">
        <f>6268+9654</f>
        <v>15922</v>
      </c>
      <c r="X18" s="872">
        <f>9768+6169</f>
        <v>15937</v>
      </c>
      <c r="Y18" s="872">
        <f>9717+6184</f>
        <v>15901</v>
      </c>
      <c r="Z18" s="872">
        <f>10211+5845</f>
        <v>16056</v>
      </c>
      <c r="AA18" s="963">
        <f>9099</f>
        <v>9099</v>
      </c>
      <c r="AB18" s="964">
        <v>9116</v>
      </c>
      <c r="AC18" s="970">
        <v>8936</v>
      </c>
      <c r="AD18" s="964">
        <v>9439</v>
      </c>
      <c r="AE18" s="964">
        <v>9615</v>
      </c>
      <c r="AF18" s="964">
        <v>9654</v>
      </c>
      <c r="AG18" s="964">
        <v>9768</v>
      </c>
      <c r="AH18" s="964">
        <v>9717</v>
      </c>
      <c r="AI18" s="964">
        <v>10211</v>
      </c>
      <c r="AJ18" s="966">
        <f t="shared" si="0"/>
        <v>63.596163428001994</v>
      </c>
      <c r="AK18" s="610" t="s">
        <v>66</v>
      </c>
    </row>
    <row r="19" spans="1:37" ht="12.75" customHeight="1">
      <c r="A19" s="597"/>
      <c r="B19" s="598" t="s">
        <v>87</v>
      </c>
      <c r="C19" s="967">
        <v>5804</v>
      </c>
      <c r="D19" s="925">
        <v>6075</v>
      </c>
      <c r="E19" s="925">
        <v>5867</v>
      </c>
      <c r="F19" s="925">
        <v>5880</v>
      </c>
      <c r="G19" s="925">
        <v>5859</v>
      </c>
      <c r="H19" s="925">
        <v>5865</v>
      </c>
      <c r="I19" s="925">
        <v>5867</v>
      </c>
      <c r="J19" s="925">
        <v>5836</v>
      </c>
      <c r="K19" s="925">
        <v>5854</v>
      </c>
      <c r="L19" s="925">
        <v>5850</v>
      </c>
      <c r="M19" s="925">
        <v>5850</v>
      </c>
      <c r="N19" s="925">
        <v>5851</v>
      </c>
      <c r="O19" s="925">
        <v>5741</v>
      </c>
      <c r="P19" s="877">
        <v>5732</v>
      </c>
      <c r="Q19" s="925">
        <v>5905</v>
      </c>
      <c r="R19" s="877">
        <v>5899</v>
      </c>
      <c r="S19" s="877">
        <v>5919</v>
      </c>
      <c r="T19" s="877">
        <v>5919</v>
      </c>
      <c r="U19" s="877">
        <v>5919</v>
      </c>
      <c r="V19" s="877">
        <v>5944</v>
      </c>
      <c r="W19" s="877">
        <v>5944</v>
      </c>
      <c r="X19" s="877">
        <v>5944</v>
      </c>
      <c r="Y19" s="877">
        <v>5944</v>
      </c>
      <c r="Z19" s="877">
        <v>5923</v>
      </c>
      <c r="AA19" s="967">
        <v>3047</v>
      </c>
      <c r="AB19" s="925">
        <v>3067</v>
      </c>
      <c r="AC19" s="925">
        <v>3067</v>
      </c>
      <c r="AD19" s="925">
        <v>3073</v>
      </c>
      <c r="AE19" s="925">
        <v>3172</v>
      </c>
      <c r="AF19" s="925">
        <v>3172</v>
      </c>
      <c r="AG19" s="925">
        <v>3172</v>
      </c>
      <c r="AH19" s="925">
        <v>3256</v>
      </c>
      <c r="AI19" s="925">
        <v>3262</v>
      </c>
      <c r="AJ19" s="972">
        <f t="shared" si="0"/>
        <v>55.07344251224042</v>
      </c>
      <c r="AK19" s="598" t="s">
        <v>87</v>
      </c>
    </row>
    <row r="20" spans="1:37" ht="12.75" customHeight="1">
      <c r="A20" s="597"/>
      <c r="B20" s="598" t="s">
        <v>67</v>
      </c>
      <c r="C20" s="967">
        <v>37582</v>
      </c>
      <c r="D20" s="925">
        <v>34362</v>
      </c>
      <c r="E20" s="925">
        <v>34070</v>
      </c>
      <c r="F20" s="925">
        <v>31939</v>
      </c>
      <c r="G20" s="925">
        <v>31852</v>
      </c>
      <c r="H20" s="925">
        <v>31821</v>
      </c>
      <c r="I20" s="925">
        <v>31735</v>
      </c>
      <c r="J20" s="925">
        <v>29113</v>
      </c>
      <c r="K20" s="925">
        <v>29272</v>
      </c>
      <c r="L20" s="925">
        <v>29445</v>
      </c>
      <c r="M20" s="925">
        <v>29352</v>
      </c>
      <c r="N20" s="925">
        <v>29269</v>
      </c>
      <c r="O20" s="925">
        <v>29246</v>
      </c>
      <c r="P20" s="877">
        <v>29286</v>
      </c>
      <c r="Q20" s="925">
        <v>29463</v>
      </c>
      <c r="R20" s="877">
        <v>29918</v>
      </c>
      <c r="S20" s="877">
        <v>29901</v>
      </c>
      <c r="T20" s="877">
        <v>29698</v>
      </c>
      <c r="U20" s="877">
        <v>29504</v>
      </c>
      <c r="V20" s="877">
        <v>29656</v>
      </c>
      <c r="W20" s="877">
        <v>29588</v>
      </c>
      <c r="X20" s="877">
        <v>29243</v>
      </c>
      <c r="Y20" s="877">
        <v>29386</v>
      </c>
      <c r="Z20" s="877">
        <v>28765</v>
      </c>
      <c r="AA20" s="967">
        <v>15133</v>
      </c>
      <c r="AB20" s="925">
        <v>15401</v>
      </c>
      <c r="AC20" s="925">
        <v>15469</v>
      </c>
      <c r="AD20" s="925">
        <v>15519</v>
      </c>
      <c r="AE20" s="925">
        <v>16016</v>
      </c>
      <c r="AF20" s="925">
        <v>16116</v>
      </c>
      <c r="AG20" s="925">
        <v>15737</v>
      </c>
      <c r="AH20" s="925">
        <v>16087</v>
      </c>
      <c r="AI20" s="925">
        <v>15976</v>
      </c>
      <c r="AJ20" s="972">
        <f t="shared" si="0"/>
        <v>55.53971840778724</v>
      </c>
      <c r="AK20" s="598" t="s">
        <v>67</v>
      </c>
    </row>
    <row r="21" spans="1:37" ht="12.75" customHeight="1">
      <c r="A21" s="597"/>
      <c r="B21" s="610" t="s">
        <v>148</v>
      </c>
      <c r="C21" s="968">
        <v>2411</v>
      </c>
      <c r="D21" s="927">
        <v>2437</v>
      </c>
      <c r="E21" s="927">
        <v>2429</v>
      </c>
      <c r="F21" s="927">
        <v>2296</v>
      </c>
      <c r="G21" s="927">
        <v>2726</v>
      </c>
      <c r="H21" s="927">
        <v>2726</v>
      </c>
      <c r="I21" s="927">
        <v>2726</v>
      </c>
      <c r="J21" s="927">
        <v>2726</v>
      </c>
      <c r="K21" s="927">
        <v>2726</v>
      </c>
      <c r="L21" s="927">
        <v>2726</v>
      </c>
      <c r="M21" s="927">
        <v>2726</v>
      </c>
      <c r="N21" s="927">
        <v>2726</v>
      </c>
      <c r="O21" s="927">
        <v>2726</v>
      </c>
      <c r="P21" s="872">
        <v>2726</v>
      </c>
      <c r="Q21" s="927">
        <v>2722</v>
      </c>
      <c r="R21" s="872">
        <v>2722</v>
      </c>
      <c r="S21" s="872">
        <v>2722</v>
      </c>
      <c r="T21" s="872">
        <v>2722</v>
      </c>
      <c r="U21" s="872">
        <v>2722</v>
      </c>
      <c r="V21" s="872">
        <v>2722</v>
      </c>
      <c r="W21" s="872">
        <v>2722</v>
      </c>
      <c r="X21" s="872">
        <v>2722</v>
      </c>
      <c r="Y21" s="872">
        <v>2604</v>
      </c>
      <c r="Z21" s="872">
        <v>2604</v>
      </c>
      <c r="AA21" s="968">
        <v>980</v>
      </c>
      <c r="AB21" s="927">
        <v>985</v>
      </c>
      <c r="AC21" s="927">
        <v>984</v>
      </c>
      <c r="AD21" s="927">
        <v>984</v>
      </c>
      <c r="AE21" s="927">
        <v>984</v>
      </c>
      <c r="AF21" s="927">
        <v>984</v>
      </c>
      <c r="AG21" s="927">
        <v>985</v>
      </c>
      <c r="AH21" s="927">
        <v>970</v>
      </c>
      <c r="AI21" s="927">
        <v>970</v>
      </c>
      <c r="AJ21" s="966">
        <f t="shared" si="0"/>
        <v>37.25038402457757</v>
      </c>
      <c r="AK21" s="610" t="s">
        <v>148</v>
      </c>
    </row>
    <row r="22" spans="1:37" ht="12.75" customHeight="1">
      <c r="A22" s="597"/>
      <c r="B22" s="610" t="s">
        <v>77</v>
      </c>
      <c r="C22" s="895">
        <v>8487</v>
      </c>
      <c r="D22" s="894">
        <v>7836</v>
      </c>
      <c r="E22" s="894">
        <v>7838</v>
      </c>
      <c r="F22" s="894">
        <v>7714</v>
      </c>
      <c r="G22" s="894"/>
      <c r="H22" s="894"/>
      <c r="I22" s="894"/>
      <c r="J22" s="894"/>
      <c r="K22" s="894">
        <v>8005</v>
      </c>
      <c r="L22" s="894">
        <v>7736</v>
      </c>
      <c r="M22" s="894">
        <v>7949</v>
      </c>
      <c r="N22" s="894">
        <v>7950</v>
      </c>
      <c r="O22" s="894">
        <v>7950</v>
      </c>
      <c r="P22" s="894">
        <v>7950</v>
      </c>
      <c r="Q22" s="894">
        <f>7676+284</f>
        <v>7960</v>
      </c>
      <c r="R22" s="894">
        <f>7658+284</f>
        <v>7942</v>
      </c>
      <c r="S22" s="894">
        <v>7892</v>
      </c>
      <c r="T22" s="894">
        <f>284+7608</f>
        <v>7892</v>
      </c>
      <c r="U22" s="894">
        <f>7609+284</f>
        <v>7893</v>
      </c>
      <c r="V22" s="894">
        <f>7397+509</f>
        <v>7906</v>
      </c>
      <c r="W22" s="894">
        <f>7385+492</f>
        <v>7877</v>
      </c>
      <c r="X22" s="894">
        <f>7389+509</f>
        <v>7898</v>
      </c>
      <c r="Y22" s="894">
        <f>7384+508</f>
        <v>7892</v>
      </c>
      <c r="Z22" s="894">
        <f>7385+509</f>
        <v>7894</v>
      </c>
      <c r="AA22" s="975">
        <f>2573+220</f>
        <v>2793</v>
      </c>
      <c r="AB22" s="976">
        <v>2848</v>
      </c>
      <c r="AC22" s="976">
        <f>220+2628</f>
        <v>2848</v>
      </c>
      <c r="AD22" s="976">
        <f>2727+220</f>
        <v>2947</v>
      </c>
      <c r="AE22" s="976">
        <f>2679+317</f>
        <v>2996</v>
      </c>
      <c r="AF22" s="976">
        <f>2697+317</f>
        <v>3014</v>
      </c>
      <c r="AG22" s="976">
        <f>313+2697</f>
        <v>3010</v>
      </c>
      <c r="AH22" s="976">
        <f>2696+316</f>
        <v>3012</v>
      </c>
      <c r="AI22" s="976">
        <f>2701+378</f>
        <v>3079</v>
      </c>
      <c r="AJ22" s="977">
        <f t="shared" si="0"/>
        <v>39.00430706865974</v>
      </c>
      <c r="AK22" s="610" t="s">
        <v>77</v>
      </c>
    </row>
    <row r="23" spans="1:37" ht="12.75" customHeight="1">
      <c r="A23" s="597"/>
      <c r="B23" s="610" t="s">
        <v>68</v>
      </c>
      <c r="C23" s="968">
        <v>2189</v>
      </c>
      <c r="D23" s="927">
        <v>1987</v>
      </c>
      <c r="E23" s="927">
        <v>1944</v>
      </c>
      <c r="F23" s="927">
        <v>1954</v>
      </c>
      <c r="G23" s="927">
        <v>1954</v>
      </c>
      <c r="H23" s="927">
        <v>1945</v>
      </c>
      <c r="I23" s="927">
        <v>1909</v>
      </c>
      <c r="J23" s="927">
        <v>1909</v>
      </c>
      <c r="K23" s="927">
        <v>1919</v>
      </c>
      <c r="L23" s="927">
        <v>1919</v>
      </c>
      <c r="M23" s="927">
        <v>1919</v>
      </c>
      <c r="N23" s="927">
        <v>1919</v>
      </c>
      <c r="O23" s="927">
        <v>1919</v>
      </c>
      <c r="P23" s="872">
        <v>1919</v>
      </c>
      <c r="Q23" s="927">
        <v>1919</v>
      </c>
      <c r="R23" s="872">
        <v>1894</v>
      </c>
      <c r="S23" s="872">
        <v>1894</v>
      </c>
      <c r="T23" s="872">
        <v>1894</v>
      </c>
      <c r="U23" s="872">
        <v>1894</v>
      </c>
      <c r="V23" s="872">
        <v>1894</v>
      </c>
      <c r="W23" s="872">
        <v>1894</v>
      </c>
      <c r="X23" s="872">
        <v>1894</v>
      </c>
      <c r="Y23" s="872">
        <v>1894</v>
      </c>
      <c r="Z23" s="872">
        <v>1894</v>
      </c>
      <c r="AA23" s="963">
        <v>52</v>
      </c>
      <c r="AB23" s="964">
        <v>52</v>
      </c>
      <c r="AC23" s="964">
        <v>52</v>
      </c>
      <c r="AD23" s="964">
        <v>52</v>
      </c>
      <c r="AE23" s="964">
        <v>52</v>
      </c>
      <c r="AF23" s="964">
        <v>52</v>
      </c>
      <c r="AG23" s="964">
        <v>52</v>
      </c>
      <c r="AH23" s="964">
        <v>52</v>
      </c>
      <c r="AI23" s="965">
        <v>52</v>
      </c>
      <c r="AJ23" s="966">
        <f t="shared" si="0"/>
        <v>2.7455121436114043</v>
      </c>
      <c r="AK23" s="610" t="s">
        <v>68</v>
      </c>
    </row>
    <row r="24" spans="1:37" ht="12.75" customHeight="1">
      <c r="A24" s="597"/>
      <c r="B24" s="598" t="s">
        <v>69</v>
      </c>
      <c r="C24" s="880">
        <v>16073</v>
      </c>
      <c r="D24" s="879">
        <v>16138</v>
      </c>
      <c r="E24" s="879">
        <v>16066</v>
      </c>
      <c r="F24" s="879">
        <v>16003</v>
      </c>
      <c r="G24" s="879">
        <v>16014</v>
      </c>
      <c r="H24" s="879">
        <v>16030</v>
      </c>
      <c r="I24" s="879">
        <v>16080</v>
      </c>
      <c r="J24" s="879">
        <v>16092</v>
      </c>
      <c r="K24" s="879">
        <v>16187</v>
      </c>
      <c r="L24" s="879">
        <v>16357</v>
      </c>
      <c r="M24" s="879">
        <v>16307</v>
      </c>
      <c r="N24" s="879">
        <v>16287</v>
      </c>
      <c r="O24" s="879">
        <v>16236</v>
      </c>
      <c r="P24" s="879">
        <f>320+16225</f>
        <v>16545</v>
      </c>
      <c r="Q24" s="879">
        <f>16295+332</f>
        <v>16627</v>
      </c>
      <c r="R24" s="879">
        <f>16335+332</f>
        <v>16667</v>
      </c>
      <c r="S24" s="879">
        <v>16861</v>
      </c>
      <c r="T24" s="879">
        <f>318+16686</f>
        <v>17004</v>
      </c>
      <c r="U24" s="879">
        <f>318+16704</f>
        <v>17022</v>
      </c>
      <c r="V24" s="879">
        <f>16727+318</f>
        <v>17045</v>
      </c>
      <c r="W24" s="879">
        <v>17060</v>
      </c>
      <c r="X24" s="879">
        <f>16752+318</f>
        <v>17070</v>
      </c>
      <c r="Y24" s="879">
        <f>16721+316</f>
        <v>17037</v>
      </c>
      <c r="Z24" s="879">
        <f>16723+318</f>
        <v>17041</v>
      </c>
      <c r="AA24" s="880">
        <f>11531+200</f>
        <v>11731</v>
      </c>
      <c r="AB24" s="879">
        <v>11927</v>
      </c>
      <c r="AC24" s="879">
        <f>195+11887</f>
        <v>12082</v>
      </c>
      <c r="AD24" s="879">
        <f>11906+122</f>
        <v>12028</v>
      </c>
      <c r="AE24" s="879">
        <f>11925+195</f>
        <v>12120</v>
      </c>
      <c r="AF24" s="879">
        <f>11931+195</f>
        <v>12126</v>
      </c>
      <c r="AG24" s="879">
        <f>11969+195</f>
        <v>12164</v>
      </c>
      <c r="AH24" s="879">
        <f>11939+194</f>
        <v>12133</v>
      </c>
      <c r="AI24" s="879">
        <f>11941+195</f>
        <v>12136</v>
      </c>
      <c r="AJ24" s="721">
        <f t="shared" si="0"/>
        <v>71.21647790622616</v>
      </c>
      <c r="AK24" s="598" t="s">
        <v>69</v>
      </c>
    </row>
    <row r="25" spans="1:37" ht="12.75" customHeight="1">
      <c r="A25" s="597"/>
      <c r="B25" s="610" t="s">
        <v>73</v>
      </c>
      <c r="C25" s="968">
        <v>2015</v>
      </c>
      <c r="D25" s="927">
        <v>2008</v>
      </c>
      <c r="E25" s="927">
        <v>2007</v>
      </c>
      <c r="F25" s="927">
        <v>2002</v>
      </c>
      <c r="G25" s="927">
        <v>1997</v>
      </c>
      <c r="H25" s="927">
        <v>1998</v>
      </c>
      <c r="I25" s="927">
        <v>1998</v>
      </c>
      <c r="J25" s="927">
        <v>1905</v>
      </c>
      <c r="K25" s="927">
        <v>1905</v>
      </c>
      <c r="L25" s="927">
        <v>1696</v>
      </c>
      <c r="M25" s="927">
        <v>1775</v>
      </c>
      <c r="N25" s="927">
        <v>1774</v>
      </c>
      <c r="O25" s="927">
        <v>1782</v>
      </c>
      <c r="P25" s="872">
        <f>1771</f>
        <v>1771</v>
      </c>
      <c r="Q25" s="927">
        <v>1771</v>
      </c>
      <c r="R25" s="872">
        <v>1766</v>
      </c>
      <c r="S25" s="872">
        <v>1765</v>
      </c>
      <c r="T25" s="872">
        <v>1767</v>
      </c>
      <c r="U25" s="872">
        <f>1767</f>
        <v>1767</v>
      </c>
      <c r="V25" s="872">
        <v>1767</v>
      </c>
      <c r="W25" s="872">
        <v>1767</v>
      </c>
      <c r="X25" s="872">
        <v>1767</v>
      </c>
      <c r="Y25" s="872">
        <v>1767</v>
      </c>
      <c r="Z25" s="872">
        <v>1877</v>
      </c>
      <c r="AA25" s="963">
        <v>122</v>
      </c>
      <c r="AB25" s="964">
        <v>122</v>
      </c>
      <c r="AC25" s="964">
        <v>122</v>
      </c>
      <c r="AD25" s="964">
        <v>122</v>
      </c>
      <c r="AE25" s="964">
        <v>122</v>
      </c>
      <c r="AF25" s="964">
        <v>122</v>
      </c>
      <c r="AG25" s="964">
        <v>122</v>
      </c>
      <c r="AH25" s="964">
        <v>122</v>
      </c>
      <c r="AI25" s="964">
        <v>122</v>
      </c>
      <c r="AJ25" s="966">
        <f t="shared" si="0"/>
        <v>6.4997336174746945</v>
      </c>
      <c r="AK25" s="610" t="s">
        <v>73</v>
      </c>
    </row>
    <row r="26" spans="1:37" ht="12.75" customHeight="1">
      <c r="A26" s="597"/>
      <c r="B26" s="598" t="s">
        <v>76</v>
      </c>
      <c r="C26" s="967">
        <v>271</v>
      </c>
      <c r="D26" s="925">
        <v>270</v>
      </c>
      <c r="E26" s="925">
        <v>271</v>
      </c>
      <c r="F26" s="925">
        <v>275</v>
      </c>
      <c r="G26" s="877">
        <v>274</v>
      </c>
      <c r="H26" s="877">
        <v>274</v>
      </c>
      <c r="I26" s="877">
        <v>274</v>
      </c>
      <c r="J26" s="877">
        <v>274</v>
      </c>
      <c r="K26" s="925">
        <v>274</v>
      </c>
      <c r="L26" s="877">
        <v>274</v>
      </c>
      <c r="M26" s="877">
        <v>274</v>
      </c>
      <c r="N26" s="877">
        <v>275</v>
      </c>
      <c r="O26" s="877">
        <v>275</v>
      </c>
      <c r="P26" s="877">
        <v>275</v>
      </c>
      <c r="Q26" s="925">
        <v>275</v>
      </c>
      <c r="R26" s="877">
        <v>275</v>
      </c>
      <c r="S26" s="877">
        <v>275</v>
      </c>
      <c r="T26" s="877">
        <v>275</v>
      </c>
      <c r="U26" s="877">
        <v>275</v>
      </c>
      <c r="V26" s="877">
        <v>275</v>
      </c>
      <c r="W26" s="877">
        <v>275</v>
      </c>
      <c r="X26" s="877">
        <v>275</v>
      </c>
      <c r="Y26" s="877">
        <v>275</v>
      </c>
      <c r="Z26" s="877">
        <v>275</v>
      </c>
      <c r="AA26" s="967">
        <v>262</v>
      </c>
      <c r="AB26" s="925">
        <v>262</v>
      </c>
      <c r="AC26" s="925">
        <v>262</v>
      </c>
      <c r="AD26" s="925">
        <v>262</v>
      </c>
      <c r="AE26" s="925">
        <v>262</v>
      </c>
      <c r="AF26" s="925">
        <v>262</v>
      </c>
      <c r="AG26" s="925">
        <v>262</v>
      </c>
      <c r="AH26" s="925">
        <v>262</v>
      </c>
      <c r="AI26" s="925">
        <v>262</v>
      </c>
      <c r="AJ26" s="972">
        <f t="shared" si="0"/>
        <v>95.27272727272728</v>
      </c>
      <c r="AK26" s="598" t="s">
        <v>76</v>
      </c>
    </row>
    <row r="27" spans="1:37" ht="12.75" customHeight="1">
      <c r="A27" s="597"/>
      <c r="B27" s="598" t="s">
        <v>72</v>
      </c>
      <c r="C27" s="967">
        <v>2606</v>
      </c>
      <c r="D27" s="925">
        <v>2384</v>
      </c>
      <c r="E27" s="925">
        <v>2397</v>
      </c>
      <c r="F27" s="925">
        <v>2413</v>
      </c>
      <c r="G27" s="925">
        <v>2413</v>
      </c>
      <c r="H27" s="925">
        <v>2413</v>
      </c>
      <c r="I27" s="925">
        <v>2413</v>
      </c>
      <c r="J27" s="925">
        <v>2413</v>
      </c>
      <c r="K27" s="925">
        <v>2331</v>
      </c>
      <c r="L27" s="925">
        <v>2305</v>
      </c>
      <c r="M27" s="925">
        <v>2270</v>
      </c>
      <c r="N27" s="925">
        <v>2270</v>
      </c>
      <c r="O27" s="925">
        <v>2270</v>
      </c>
      <c r="P27" s="877">
        <v>2270</v>
      </c>
      <c r="Q27" s="925">
        <v>2269</v>
      </c>
      <c r="R27" s="877">
        <v>2265</v>
      </c>
      <c r="S27" s="877">
        <v>2263</v>
      </c>
      <c r="T27" s="877">
        <v>1884</v>
      </c>
      <c r="U27" s="877">
        <v>1897</v>
      </c>
      <c r="V27" s="877">
        <v>1865</v>
      </c>
      <c r="W27" s="877">
        <v>1860</v>
      </c>
      <c r="X27" s="877">
        <v>1859</v>
      </c>
      <c r="Y27" s="877">
        <v>1853</v>
      </c>
      <c r="Z27" s="877">
        <v>1859</v>
      </c>
      <c r="AA27" s="967">
        <v>257</v>
      </c>
      <c r="AB27" s="925">
        <v>257</v>
      </c>
      <c r="AC27" s="925">
        <v>257</v>
      </c>
      <c r="AD27" s="925">
        <v>257</v>
      </c>
      <c r="AE27" s="925">
        <v>257</v>
      </c>
      <c r="AF27" s="925">
        <v>250</v>
      </c>
      <c r="AG27" s="925">
        <v>250</v>
      </c>
      <c r="AH27" s="925">
        <v>245</v>
      </c>
      <c r="AI27" s="925">
        <v>250</v>
      </c>
      <c r="AJ27" s="972">
        <f t="shared" si="0"/>
        <v>13.448090371167295</v>
      </c>
      <c r="AK27" s="598" t="s">
        <v>72</v>
      </c>
    </row>
    <row r="28" spans="1:37" ht="12.75" customHeight="1">
      <c r="A28" s="597"/>
      <c r="B28" s="598" t="s">
        <v>78</v>
      </c>
      <c r="C28" s="888" t="s">
        <v>146</v>
      </c>
      <c r="D28" s="877" t="s">
        <v>146</v>
      </c>
      <c r="E28" s="877" t="s">
        <v>146</v>
      </c>
      <c r="F28" s="877" t="s">
        <v>146</v>
      </c>
      <c r="G28" s="877" t="s">
        <v>146</v>
      </c>
      <c r="H28" s="877" t="s">
        <v>146</v>
      </c>
      <c r="I28" s="877" t="s">
        <v>146</v>
      </c>
      <c r="J28" s="877" t="s">
        <v>146</v>
      </c>
      <c r="K28" s="877" t="s">
        <v>146</v>
      </c>
      <c r="L28" s="877" t="s">
        <v>146</v>
      </c>
      <c r="M28" s="877" t="s">
        <v>146</v>
      </c>
      <c r="N28" s="877" t="s">
        <v>146</v>
      </c>
      <c r="O28" s="877" t="s">
        <v>146</v>
      </c>
      <c r="P28" s="877" t="s">
        <v>146</v>
      </c>
      <c r="Q28" s="877" t="s">
        <v>146</v>
      </c>
      <c r="R28" s="877" t="s">
        <v>146</v>
      </c>
      <c r="S28" s="877" t="s">
        <v>146</v>
      </c>
      <c r="T28" s="877" t="s">
        <v>146</v>
      </c>
      <c r="U28" s="877" t="s">
        <v>146</v>
      </c>
      <c r="V28" s="877" t="s">
        <v>146</v>
      </c>
      <c r="W28" s="877" t="s">
        <v>146</v>
      </c>
      <c r="X28" s="877" t="s">
        <v>146</v>
      </c>
      <c r="Y28" s="877" t="s">
        <v>146</v>
      </c>
      <c r="Z28" s="877" t="s">
        <v>146</v>
      </c>
      <c r="AA28" s="888" t="s">
        <v>146</v>
      </c>
      <c r="AB28" s="877" t="s">
        <v>146</v>
      </c>
      <c r="AC28" s="877" t="s">
        <v>146</v>
      </c>
      <c r="AD28" s="877" t="s">
        <v>146</v>
      </c>
      <c r="AE28" s="877" t="s">
        <v>146</v>
      </c>
      <c r="AF28" s="877" t="s">
        <v>146</v>
      </c>
      <c r="AG28" s="877" t="s">
        <v>146</v>
      </c>
      <c r="AH28" s="877" t="s">
        <v>146</v>
      </c>
      <c r="AI28" s="877" t="s">
        <v>146</v>
      </c>
      <c r="AJ28" s="615" t="s">
        <v>146</v>
      </c>
      <c r="AK28" s="598" t="s">
        <v>78</v>
      </c>
    </row>
    <row r="29" spans="1:37" ht="12.75" customHeight="1">
      <c r="A29" s="597"/>
      <c r="B29" s="610" t="s">
        <v>16</v>
      </c>
      <c r="C29" s="968">
        <v>3147</v>
      </c>
      <c r="D29" s="927">
        <v>2880</v>
      </c>
      <c r="E29" s="927">
        <v>2798</v>
      </c>
      <c r="F29" s="927">
        <v>2739</v>
      </c>
      <c r="G29" s="927">
        <v>2739</v>
      </c>
      <c r="H29" s="927">
        <v>2805</v>
      </c>
      <c r="I29" s="927">
        <v>2808</v>
      </c>
      <c r="J29" s="927">
        <v>2808</v>
      </c>
      <c r="K29" s="927">
        <v>2802</v>
      </c>
      <c r="L29" s="927">
        <v>2809</v>
      </c>
      <c r="M29" s="927">
        <v>2806</v>
      </c>
      <c r="N29" s="927">
        <v>2811</v>
      </c>
      <c r="O29" s="927">
        <v>2810</v>
      </c>
      <c r="P29" s="872">
        <v>2797</v>
      </c>
      <c r="Q29" s="927">
        <v>2801</v>
      </c>
      <c r="R29" s="872">
        <v>2888</v>
      </c>
      <c r="S29" s="872">
        <v>2896</v>
      </c>
      <c r="T29" s="978">
        <v>3013</v>
      </c>
      <c r="U29" s="978">
        <v>3013</v>
      </c>
      <c r="V29" s="978">
        <v>3013</v>
      </c>
      <c r="W29" s="978">
        <v>3013</v>
      </c>
      <c r="X29" s="978">
        <v>3032</v>
      </c>
      <c r="Y29" s="978">
        <v>3031</v>
      </c>
      <c r="Z29" s="978">
        <v>3058</v>
      </c>
      <c r="AA29" s="963">
        <v>2155</v>
      </c>
      <c r="AB29" s="964">
        <v>2155</v>
      </c>
      <c r="AC29" s="964">
        <v>2266</v>
      </c>
      <c r="AD29" s="964">
        <v>2266</v>
      </c>
      <c r="AE29" s="964">
        <v>2266</v>
      </c>
      <c r="AF29" s="964">
        <v>2266</v>
      </c>
      <c r="AG29" s="964">
        <v>2307</v>
      </c>
      <c r="AH29" s="964">
        <v>2302</v>
      </c>
      <c r="AI29" s="964">
        <v>2314</v>
      </c>
      <c r="AJ29" s="966">
        <f aca="true" t="shared" si="1" ref="AJ29:AJ41">AI29/Z29*100</f>
        <v>75.67037279267495</v>
      </c>
      <c r="AK29" s="610" t="s">
        <v>16</v>
      </c>
    </row>
    <row r="30" spans="1:37" ht="12.75" customHeight="1">
      <c r="A30" s="597"/>
      <c r="B30" s="610" t="s">
        <v>80</v>
      </c>
      <c r="C30" s="968">
        <v>26678</v>
      </c>
      <c r="D30" s="927">
        <v>27181</v>
      </c>
      <c r="E30" s="927">
        <v>26228</v>
      </c>
      <c r="F30" s="927">
        <v>23986</v>
      </c>
      <c r="G30" s="927">
        <v>23420</v>
      </c>
      <c r="H30" s="927">
        <v>23328</v>
      </c>
      <c r="I30" s="927">
        <v>23210</v>
      </c>
      <c r="J30" s="927">
        <v>22891</v>
      </c>
      <c r="K30" s="927">
        <v>22560</v>
      </c>
      <c r="L30" s="927">
        <v>20134</v>
      </c>
      <c r="M30" s="927">
        <v>20223</v>
      </c>
      <c r="N30" s="927">
        <v>20665</v>
      </c>
      <c r="O30" s="927">
        <v>20250</v>
      </c>
      <c r="P30" s="872">
        <v>19507</v>
      </c>
      <c r="Q30" s="927">
        <v>19429</v>
      </c>
      <c r="R30" s="872">
        <v>19419</v>
      </c>
      <c r="S30" s="872">
        <v>19627</v>
      </c>
      <c r="T30" s="872">
        <v>19764</v>
      </c>
      <c r="U30" s="872">
        <v>19702</v>
      </c>
      <c r="V30" s="872">
        <v>19725</v>
      </c>
      <c r="W30" s="872">
        <v>19617</v>
      </c>
      <c r="X30" s="872">
        <v>18959</v>
      </c>
      <c r="Y30" s="872">
        <v>18942</v>
      </c>
      <c r="Z30" s="872">
        <v>18510</v>
      </c>
      <c r="AA30" s="963">
        <v>11831</v>
      </c>
      <c r="AB30" s="964">
        <v>11856</v>
      </c>
      <c r="AC30" s="964">
        <v>11891</v>
      </c>
      <c r="AD30" s="964">
        <v>11854</v>
      </c>
      <c r="AE30" s="964">
        <v>11817</v>
      </c>
      <c r="AF30" s="964">
        <v>11860</v>
      </c>
      <c r="AG30" s="964">
        <v>11817</v>
      </c>
      <c r="AH30" s="964">
        <v>11779</v>
      </c>
      <c r="AI30" s="964">
        <v>11777</v>
      </c>
      <c r="AJ30" s="966">
        <f t="shared" si="1"/>
        <v>63.625067531064296</v>
      </c>
      <c r="AK30" s="610" t="s">
        <v>80</v>
      </c>
    </row>
    <row r="31" spans="1:37" ht="12.75" customHeight="1">
      <c r="A31" s="597"/>
      <c r="B31" s="598" t="s">
        <v>92</v>
      </c>
      <c r="C31" s="967">
        <v>3588</v>
      </c>
      <c r="D31" s="925">
        <v>3609</v>
      </c>
      <c r="E31" s="925">
        <v>3064</v>
      </c>
      <c r="F31" s="925">
        <v>2850</v>
      </c>
      <c r="G31" s="925">
        <v>2850</v>
      </c>
      <c r="H31" s="925">
        <v>2856</v>
      </c>
      <c r="I31" s="925">
        <v>2794</v>
      </c>
      <c r="J31" s="925">
        <v>2813</v>
      </c>
      <c r="K31" s="925">
        <v>2814</v>
      </c>
      <c r="L31" s="925">
        <v>2814</v>
      </c>
      <c r="M31" s="925">
        <v>2818</v>
      </c>
      <c r="N31" s="925">
        <v>2818</v>
      </c>
      <c r="O31" s="925">
        <v>2849</v>
      </c>
      <c r="P31" s="877">
        <v>2844</v>
      </c>
      <c r="Q31" s="925">
        <v>2839</v>
      </c>
      <c r="R31" s="877">
        <v>2838</v>
      </c>
      <c r="S31" s="877">
        <v>2842</v>
      </c>
      <c r="T31" s="877">
        <v>2842</v>
      </c>
      <c r="U31" s="877">
        <v>2842</v>
      </c>
      <c r="V31" s="877">
        <v>2793</v>
      </c>
      <c r="W31" s="877">
        <v>2541</v>
      </c>
      <c r="X31" s="877">
        <v>2544</v>
      </c>
      <c r="Y31" s="877">
        <v>2544</v>
      </c>
      <c r="Z31" s="877">
        <v>2545</v>
      </c>
      <c r="AA31" s="967">
        <v>1435</v>
      </c>
      <c r="AB31" s="925">
        <v>1460</v>
      </c>
      <c r="AC31" s="925">
        <v>1460</v>
      </c>
      <c r="AD31" s="925">
        <v>1487</v>
      </c>
      <c r="AE31" s="925">
        <v>1629</v>
      </c>
      <c r="AF31" s="925">
        <v>1630</v>
      </c>
      <c r="AG31" s="925">
        <v>1630</v>
      </c>
      <c r="AH31" s="925">
        <v>1629</v>
      </c>
      <c r="AI31" s="925">
        <v>1639</v>
      </c>
      <c r="AJ31" s="972">
        <f t="shared" si="1"/>
        <v>64.4007858546169</v>
      </c>
      <c r="AK31" s="598" t="s">
        <v>92</v>
      </c>
    </row>
    <row r="32" spans="1:37" ht="12.75" customHeight="1">
      <c r="A32" s="597"/>
      <c r="B32" s="610" t="s">
        <v>102</v>
      </c>
      <c r="C32" s="968">
        <v>11012</v>
      </c>
      <c r="D32" s="927">
        <v>11110</v>
      </c>
      <c r="E32" s="927">
        <v>11348</v>
      </c>
      <c r="F32" s="927">
        <v>11376</v>
      </c>
      <c r="G32" s="927">
        <v>11385</v>
      </c>
      <c r="H32" s="927">
        <v>11380</v>
      </c>
      <c r="I32" s="927">
        <v>11010</v>
      </c>
      <c r="J32" s="927">
        <v>10981</v>
      </c>
      <c r="K32" s="927">
        <v>11015</v>
      </c>
      <c r="L32" s="927">
        <v>11015</v>
      </c>
      <c r="M32" s="927">
        <v>11002</v>
      </c>
      <c r="N32" s="927">
        <v>11077</v>
      </c>
      <c r="O32" s="927">
        <v>11053</v>
      </c>
      <c r="P32" s="872">
        <v>10948</v>
      </c>
      <c r="Q32" s="927">
        <v>10781</v>
      </c>
      <c r="R32" s="872">
        <v>10777</v>
      </c>
      <c r="S32" s="872">
        <v>10777</v>
      </c>
      <c r="T32" s="872">
        <v>10776</v>
      </c>
      <c r="U32" s="872">
        <v>10777</v>
      </c>
      <c r="V32" s="872">
        <v>10777</v>
      </c>
      <c r="W32" s="872">
        <v>10777</v>
      </c>
      <c r="X32" s="872">
        <v>10768</v>
      </c>
      <c r="Y32" s="872">
        <v>10770</v>
      </c>
      <c r="Z32" s="872">
        <v>10770</v>
      </c>
      <c r="AA32" s="963">
        <v>3979</v>
      </c>
      <c r="AB32" s="964">
        <v>3974</v>
      </c>
      <c r="AC32" s="964">
        <v>4002</v>
      </c>
      <c r="AD32" s="964">
        <v>4031</v>
      </c>
      <c r="AE32" s="964">
        <v>4032</v>
      </c>
      <c r="AF32" s="964">
        <v>4032</v>
      </c>
      <c r="AG32" s="964">
        <v>4029</v>
      </c>
      <c r="AH32" s="964">
        <v>4029</v>
      </c>
      <c r="AI32" s="964">
        <v>4030</v>
      </c>
      <c r="AJ32" s="966">
        <f t="shared" si="1"/>
        <v>37.41875580315692</v>
      </c>
      <c r="AK32" s="610" t="s">
        <v>102</v>
      </c>
    </row>
    <row r="33" spans="1:37" ht="12.75" customHeight="1">
      <c r="A33" s="597"/>
      <c r="B33" s="610" t="s">
        <v>88</v>
      </c>
      <c r="C33" s="968">
        <v>12203</v>
      </c>
      <c r="D33" s="927">
        <v>12006</v>
      </c>
      <c r="E33" s="927">
        <v>11193</v>
      </c>
      <c r="F33" s="927">
        <v>10925</v>
      </c>
      <c r="G33" s="927">
        <v>10964</v>
      </c>
      <c r="H33" s="927">
        <v>10941</v>
      </c>
      <c r="I33" s="927">
        <v>10997</v>
      </c>
      <c r="J33" s="927">
        <v>11044</v>
      </c>
      <c r="K33" s="927">
        <v>11037</v>
      </c>
      <c r="L33" s="927">
        <v>11021</v>
      </c>
      <c r="M33" s="927">
        <v>11095</v>
      </c>
      <c r="N33" s="927">
        <v>11037</v>
      </c>
      <c r="O33" s="927">
        <v>11050</v>
      </c>
      <c r="P33" s="872">
        <v>11017</v>
      </c>
      <c r="Q33" s="927">
        <v>11020</v>
      </c>
      <c r="R33" s="872">
        <v>10972</v>
      </c>
      <c r="S33" s="872">
        <v>11032</v>
      </c>
      <c r="T33" s="872">
        <v>11138</v>
      </c>
      <c r="U33" s="872">
        <v>11160</v>
      </c>
      <c r="V33" s="872">
        <v>11206</v>
      </c>
      <c r="W33" s="872">
        <v>11136</v>
      </c>
      <c r="X33" s="872">
        <v>10957</v>
      </c>
      <c r="Y33" s="872">
        <v>10881</v>
      </c>
      <c r="Z33" s="872">
        <v>10908</v>
      </c>
      <c r="AA33" s="968">
        <v>7848</v>
      </c>
      <c r="AB33" s="927">
        <v>7867</v>
      </c>
      <c r="AC33" s="927">
        <v>7963</v>
      </c>
      <c r="AD33" s="927">
        <v>7965</v>
      </c>
      <c r="AE33" s="927">
        <v>8119</v>
      </c>
      <c r="AF33" s="927">
        <v>8194</v>
      </c>
      <c r="AG33" s="927">
        <v>8214</v>
      </c>
      <c r="AH33" s="927">
        <v>8232</v>
      </c>
      <c r="AI33" s="927">
        <v>8235</v>
      </c>
      <c r="AJ33" s="966">
        <f t="shared" si="1"/>
        <v>75.4950495049505</v>
      </c>
      <c r="AK33" s="610" t="s">
        <v>88</v>
      </c>
    </row>
    <row r="34" spans="1:37" ht="12.75" customHeight="1">
      <c r="A34" s="597"/>
      <c r="B34" s="598" t="s">
        <v>83</v>
      </c>
      <c r="C34" s="967">
        <v>1055</v>
      </c>
      <c r="D34" s="925">
        <v>1058</v>
      </c>
      <c r="E34" s="925">
        <v>1196</v>
      </c>
      <c r="F34" s="877">
        <v>1201</v>
      </c>
      <c r="G34" s="877">
        <v>1201</v>
      </c>
      <c r="H34" s="877">
        <v>1201</v>
      </c>
      <c r="I34" s="877">
        <v>1201</v>
      </c>
      <c r="J34" s="877">
        <v>1201</v>
      </c>
      <c r="K34" s="877">
        <v>1201</v>
      </c>
      <c r="L34" s="877">
        <v>1229</v>
      </c>
      <c r="M34" s="877">
        <v>1229</v>
      </c>
      <c r="N34" s="877">
        <v>1229</v>
      </c>
      <c r="O34" s="877">
        <v>1229</v>
      </c>
      <c r="P34" s="877">
        <v>1228</v>
      </c>
      <c r="Q34" s="877">
        <v>1228</v>
      </c>
      <c r="R34" s="877">
        <v>1228</v>
      </c>
      <c r="S34" s="877">
        <v>1228</v>
      </c>
      <c r="T34" s="877">
        <v>1228</v>
      </c>
      <c r="U34" s="877">
        <v>1228</v>
      </c>
      <c r="V34" s="877">
        <v>1209</v>
      </c>
      <c r="W34" s="877">
        <v>1209</v>
      </c>
      <c r="X34" s="877">
        <v>1209</v>
      </c>
      <c r="Y34" s="877">
        <v>1208</v>
      </c>
      <c r="Z34" s="877">
        <v>1209</v>
      </c>
      <c r="AA34" s="967">
        <v>503</v>
      </c>
      <c r="AB34" s="925">
        <v>503</v>
      </c>
      <c r="AC34" s="925">
        <v>503</v>
      </c>
      <c r="AD34" s="925">
        <v>503</v>
      </c>
      <c r="AE34" s="925">
        <v>500</v>
      </c>
      <c r="AF34" s="925">
        <v>500</v>
      </c>
      <c r="AG34" s="925">
        <v>500</v>
      </c>
      <c r="AH34" s="925">
        <v>500</v>
      </c>
      <c r="AI34" s="925">
        <v>500</v>
      </c>
      <c r="AJ34" s="972">
        <f t="shared" si="1"/>
        <v>41.3564929693962</v>
      </c>
      <c r="AK34" s="598" t="s">
        <v>83</v>
      </c>
    </row>
    <row r="35" spans="1:37" ht="12.75" customHeight="1">
      <c r="A35" s="597"/>
      <c r="B35" s="610" t="s">
        <v>85</v>
      </c>
      <c r="C35" s="968"/>
      <c r="D35" s="927"/>
      <c r="E35" s="927">
        <v>3660</v>
      </c>
      <c r="F35" s="927">
        <v>3665</v>
      </c>
      <c r="G35" s="927">
        <v>3673</v>
      </c>
      <c r="H35" s="927">
        <v>3673</v>
      </c>
      <c r="I35" s="927">
        <v>3665</v>
      </c>
      <c r="J35" s="927">
        <v>3665</v>
      </c>
      <c r="K35" s="927">
        <v>3662</v>
      </c>
      <c r="L35" s="927">
        <v>3662</v>
      </c>
      <c r="M35" s="927">
        <v>3657</v>
      </c>
      <c r="N35" s="927">
        <v>3657</v>
      </c>
      <c r="O35" s="927">
        <v>3660</v>
      </c>
      <c r="P35" s="872">
        <v>3658</v>
      </c>
      <c r="Q35" s="927">
        <v>3658</v>
      </c>
      <c r="R35" s="872">
        <v>3629</v>
      </c>
      <c r="S35" s="872">
        <v>3623</v>
      </c>
      <c r="T35" s="872">
        <v>3623</v>
      </c>
      <c r="U35" s="872">
        <v>3622</v>
      </c>
      <c r="V35" s="872">
        <v>3624</v>
      </c>
      <c r="W35" s="872">
        <v>3631</v>
      </c>
      <c r="X35" s="872">
        <v>3631</v>
      </c>
      <c r="Y35" s="872">
        <v>3627</v>
      </c>
      <c r="Z35" s="872">
        <v>3626</v>
      </c>
      <c r="AA35" s="963">
        <v>1578</v>
      </c>
      <c r="AB35" s="964">
        <v>1577</v>
      </c>
      <c r="AC35" s="964">
        <v>1577</v>
      </c>
      <c r="AD35" s="964">
        <v>1578</v>
      </c>
      <c r="AE35" s="964">
        <v>1578</v>
      </c>
      <c r="AF35" s="964">
        <v>1586</v>
      </c>
      <c r="AG35" s="964">
        <v>1586</v>
      </c>
      <c r="AH35" s="964">
        <v>1586</v>
      </c>
      <c r="AI35" s="964">
        <v>1587</v>
      </c>
      <c r="AJ35" s="966">
        <f t="shared" si="1"/>
        <v>43.76723662437948</v>
      </c>
      <c r="AK35" s="610" t="s">
        <v>85</v>
      </c>
    </row>
    <row r="36" spans="1:37" ht="12.75" customHeight="1">
      <c r="A36" s="597"/>
      <c r="B36" s="598" t="s">
        <v>13</v>
      </c>
      <c r="C36" s="979">
        <v>19330</v>
      </c>
      <c r="D36" s="980">
        <v>18030</v>
      </c>
      <c r="E36" s="980">
        <v>16914</v>
      </c>
      <c r="F36" s="980">
        <v>17069</v>
      </c>
      <c r="G36" s="980">
        <v>17066</v>
      </c>
      <c r="H36" s="980">
        <v>17176</v>
      </c>
      <c r="I36" s="980">
        <v>17179</v>
      </c>
      <c r="J36" s="980">
        <v>17064</v>
      </c>
      <c r="K36" s="980">
        <v>17044</v>
      </c>
      <c r="L36" s="980">
        <v>17052</v>
      </c>
      <c r="M36" s="980">
        <v>17052</v>
      </c>
      <c r="N36" s="980">
        <v>17052</v>
      </c>
      <c r="O36" s="980">
        <f>58+340+16116</f>
        <v>16514</v>
      </c>
      <c r="P36" s="877">
        <f>58+340+15810</f>
        <v>16208</v>
      </c>
      <c r="Q36" s="980">
        <f>15795+340+58</f>
        <v>16193</v>
      </c>
      <c r="R36" s="877">
        <f>15814+340+58</f>
        <v>16212</v>
      </c>
      <c r="S36" s="877">
        <f>15814+340+58</f>
        <v>16212</v>
      </c>
      <c r="T36" s="877">
        <f>58+15753+340</f>
        <v>16151</v>
      </c>
      <c r="U36" s="877">
        <f>15777+340+58</f>
        <v>16175</v>
      </c>
      <c r="V36" s="877">
        <f>15738+58+338+274</f>
        <v>16408</v>
      </c>
      <c r="W36" s="877">
        <f>15753+338+274+58</f>
        <v>16423</v>
      </c>
      <c r="X36" s="877">
        <f>15753+274+58+338</f>
        <v>16423</v>
      </c>
      <c r="Y36" s="877">
        <v>16209</v>
      </c>
      <c r="Z36" s="877">
        <v>16209</v>
      </c>
      <c r="AA36" s="979">
        <f>5255+58</f>
        <v>5313</v>
      </c>
      <c r="AB36" s="980">
        <v>5318</v>
      </c>
      <c r="AC36" s="980">
        <f>58+5249</f>
        <v>5307</v>
      </c>
      <c r="AD36" s="980">
        <f>5262+58</f>
        <v>5320</v>
      </c>
      <c r="AE36" s="980">
        <f>5261+58+274</f>
        <v>5593</v>
      </c>
      <c r="AF36" s="980">
        <f>5265+274+58</f>
        <v>5597</v>
      </c>
      <c r="AG36" s="980">
        <f>5268+274+58</f>
        <v>5600</v>
      </c>
      <c r="AH36" s="980">
        <f>Y36*33/100</f>
        <v>5348.97</v>
      </c>
      <c r="AI36" s="980">
        <f>Z36*33.2/100</f>
        <v>5381.388000000001</v>
      </c>
      <c r="AJ36" s="981">
        <f t="shared" si="1"/>
        <v>33.20000000000001</v>
      </c>
      <c r="AK36" s="598" t="s">
        <v>13</v>
      </c>
    </row>
    <row r="37" spans="1:37" ht="12.75" customHeight="1">
      <c r="A37" s="597"/>
      <c r="B37" s="652" t="s">
        <v>289</v>
      </c>
      <c r="C37" s="961"/>
      <c r="D37" s="962"/>
      <c r="E37" s="962"/>
      <c r="F37" s="962"/>
      <c r="G37" s="962"/>
      <c r="H37" s="962"/>
      <c r="I37" s="962"/>
      <c r="J37" s="962"/>
      <c r="K37" s="962"/>
      <c r="L37" s="962"/>
      <c r="M37" s="962"/>
      <c r="N37" s="962"/>
      <c r="O37" s="962"/>
      <c r="P37" s="892"/>
      <c r="Q37" s="962"/>
      <c r="R37" s="892"/>
      <c r="S37" s="892"/>
      <c r="T37" s="892">
        <v>423</v>
      </c>
      <c r="U37" s="898">
        <v>423</v>
      </c>
      <c r="V37" s="898">
        <v>423</v>
      </c>
      <c r="W37" s="898">
        <v>423</v>
      </c>
      <c r="X37" s="898">
        <v>423</v>
      </c>
      <c r="Y37" s="898">
        <v>423</v>
      </c>
      <c r="Z37" s="898">
        <v>423</v>
      </c>
      <c r="AA37" s="961"/>
      <c r="AB37" s="962"/>
      <c r="AC37" s="962">
        <v>0</v>
      </c>
      <c r="AD37" s="982">
        <v>0</v>
      </c>
      <c r="AE37" s="982">
        <v>0</v>
      </c>
      <c r="AF37" s="982">
        <v>0</v>
      </c>
      <c r="AG37" s="982">
        <v>0</v>
      </c>
      <c r="AH37" s="982">
        <v>0</v>
      </c>
      <c r="AI37" s="982">
        <v>0</v>
      </c>
      <c r="AJ37" s="983">
        <f t="shared" si="1"/>
        <v>0</v>
      </c>
      <c r="AK37" s="652" t="s">
        <v>289</v>
      </c>
    </row>
    <row r="38" spans="1:37" ht="12.75" customHeight="1">
      <c r="A38" s="597"/>
      <c r="B38" s="598" t="s">
        <v>235</v>
      </c>
      <c r="C38" s="979"/>
      <c r="D38" s="980"/>
      <c r="E38" s="980"/>
      <c r="F38" s="980"/>
      <c r="G38" s="980"/>
      <c r="H38" s="980"/>
      <c r="I38" s="980"/>
      <c r="J38" s="980"/>
      <c r="K38" s="980"/>
      <c r="L38" s="980"/>
      <c r="M38" s="980"/>
      <c r="N38" s="980"/>
      <c r="O38" s="980">
        <v>249</v>
      </c>
      <c r="P38" s="877">
        <v>248</v>
      </c>
      <c r="Q38" s="980">
        <v>248</v>
      </c>
      <c r="R38" s="877">
        <v>248</v>
      </c>
      <c r="S38" s="877">
        <v>249</v>
      </c>
      <c r="T38" s="877">
        <v>249</v>
      </c>
      <c r="U38" s="877">
        <v>249</v>
      </c>
      <c r="V38" s="877">
        <v>249</v>
      </c>
      <c r="W38" s="877">
        <v>248.76</v>
      </c>
      <c r="X38" s="877">
        <v>248.76</v>
      </c>
      <c r="Y38" s="877">
        <v>250</v>
      </c>
      <c r="Z38" s="877">
        <v>250</v>
      </c>
      <c r="AA38" s="979">
        <v>167</v>
      </c>
      <c r="AB38" s="980">
        <v>168</v>
      </c>
      <c r="AC38" s="980">
        <v>168</v>
      </c>
      <c r="AD38" s="980">
        <v>168</v>
      </c>
      <c r="AE38" s="980">
        <v>224.06</v>
      </c>
      <c r="AF38" s="980">
        <v>224.06</v>
      </c>
      <c r="AG38" s="980">
        <v>224.06</v>
      </c>
      <c r="AH38" s="980">
        <v>224</v>
      </c>
      <c r="AI38" s="980">
        <v>224</v>
      </c>
      <c r="AJ38" s="981">
        <f t="shared" si="1"/>
        <v>89.60000000000001</v>
      </c>
      <c r="AK38" s="598" t="s">
        <v>235</v>
      </c>
    </row>
    <row r="39" spans="1:37" ht="12.75" customHeight="1">
      <c r="A39" s="597"/>
      <c r="B39" s="610" t="s">
        <v>149</v>
      </c>
      <c r="C39" s="968"/>
      <c r="D39" s="927">
        <v>673</v>
      </c>
      <c r="E39" s="927">
        <v>696</v>
      </c>
      <c r="F39" s="927">
        <v>699</v>
      </c>
      <c r="G39" s="927">
        <v>699</v>
      </c>
      <c r="H39" s="927">
        <v>699</v>
      </c>
      <c r="I39" s="927">
        <v>699</v>
      </c>
      <c r="J39" s="927">
        <v>699</v>
      </c>
      <c r="K39" s="927">
        <v>699</v>
      </c>
      <c r="L39" s="927">
        <v>699</v>
      </c>
      <c r="M39" s="927">
        <v>699</v>
      </c>
      <c r="N39" s="927">
        <v>699</v>
      </c>
      <c r="O39" s="927">
        <v>699</v>
      </c>
      <c r="P39" s="872">
        <v>699</v>
      </c>
      <c r="Q39" s="927">
        <v>699</v>
      </c>
      <c r="R39" s="872">
        <v>699</v>
      </c>
      <c r="S39" s="872">
        <v>699</v>
      </c>
      <c r="T39" s="872">
        <v>699</v>
      </c>
      <c r="U39" s="872">
        <v>699</v>
      </c>
      <c r="V39" s="872">
        <v>699</v>
      </c>
      <c r="W39" s="872">
        <v>699</v>
      </c>
      <c r="X39" s="872">
        <v>699</v>
      </c>
      <c r="Y39" s="872">
        <v>699</v>
      </c>
      <c r="Z39" s="872">
        <v>699</v>
      </c>
      <c r="AA39" s="968">
        <v>234</v>
      </c>
      <c r="AB39" s="927">
        <v>234</v>
      </c>
      <c r="AC39" s="927">
        <v>234</v>
      </c>
      <c r="AD39" s="927">
        <v>234</v>
      </c>
      <c r="AE39" s="927">
        <v>234</v>
      </c>
      <c r="AF39" s="927">
        <v>234</v>
      </c>
      <c r="AG39" s="927">
        <v>234</v>
      </c>
      <c r="AH39" s="927">
        <v>234</v>
      </c>
      <c r="AI39" s="927">
        <v>234</v>
      </c>
      <c r="AJ39" s="966">
        <f t="shared" si="1"/>
        <v>33.47639484978541</v>
      </c>
      <c r="AK39" s="610" t="s">
        <v>149</v>
      </c>
    </row>
    <row r="40" spans="1:37" ht="12.75" customHeight="1">
      <c r="A40" s="597"/>
      <c r="B40" s="598" t="s">
        <v>236</v>
      </c>
      <c r="C40" s="979"/>
      <c r="D40" s="980"/>
      <c r="E40" s="980"/>
      <c r="F40" s="980"/>
      <c r="G40" s="980"/>
      <c r="H40" s="980"/>
      <c r="I40" s="980"/>
      <c r="J40" s="980"/>
      <c r="K40" s="980"/>
      <c r="L40" s="980"/>
      <c r="M40" s="980"/>
      <c r="N40" s="980">
        <v>3809</v>
      </c>
      <c r="O40" s="877">
        <v>3809</v>
      </c>
      <c r="P40" s="877">
        <v>3809</v>
      </c>
      <c r="Q40" s="980">
        <v>3809</v>
      </c>
      <c r="R40" s="877">
        <v>3809</v>
      </c>
      <c r="S40" s="877">
        <v>3809</v>
      </c>
      <c r="T40" s="877">
        <v>3809</v>
      </c>
      <c r="U40" s="877">
        <v>3809</v>
      </c>
      <c r="V40" s="877">
        <v>3809</v>
      </c>
      <c r="W40" s="877">
        <v>3809</v>
      </c>
      <c r="X40" s="877">
        <v>3809</v>
      </c>
      <c r="Y40" s="877">
        <v>3809</v>
      </c>
      <c r="Z40" s="877">
        <v>3809</v>
      </c>
      <c r="AA40" s="979">
        <v>1254</v>
      </c>
      <c r="AB40" s="980">
        <v>1254</v>
      </c>
      <c r="AC40" s="980">
        <v>1254</v>
      </c>
      <c r="AD40" s="980">
        <v>1278</v>
      </c>
      <c r="AE40" s="980">
        <v>1279</v>
      </c>
      <c r="AF40" s="980">
        <v>1279</v>
      </c>
      <c r="AG40" s="980">
        <v>1275</v>
      </c>
      <c r="AH40" s="980">
        <v>1275</v>
      </c>
      <c r="AI40" s="980">
        <v>1275</v>
      </c>
      <c r="AJ40" s="981">
        <f t="shared" si="1"/>
        <v>33.47335258598057</v>
      </c>
      <c r="AK40" s="598" t="s">
        <v>236</v>
      </c>
    </row>
    <row r="41" spans="1:37" ht="12.75" customHeight="1">
      <c r="A41" s="597"/>
      <c r="B41" s="657" t="s">
        <v>150</v>
      </c>
      <c r="C41" s="984">
        <v>7985</v>
      </c>
      <c r="D41" s="985">
        <v>8387</v>
      </c>
      <c r="E41" s="985">
        <v>8429</v>
      </c>
      <c r="F41" s="985">
        <v>8549</v>
      </c>
      <c r="G41" s="985">
        <v>8607</v>
      </c>
      <c r="H41" s="985">
        <v>8607</v>
      </c>
      <c r="I41" s="985">
        <v>8607</v>
      </c>
      <c r="J41" s="985">
        <v>8682</v>
      </c>
      <c r="K41" s="985">
        <v>8671</v>
      </c>
      <c r="L41" s="985">
        <v>8671</v>
      </c>
      <c r="M41" s="985">
        <v>8671</v>
      </c>
      <c r="N41" s="985">
        <v>8697</v>
      </c>
      <c r="O41" s="985">
        <v>8697</v>
      </c>
      <c r="P41" s="883">
        <v>8697</v>
      </c>
      <c r="Q41" s="985">
        <v>8697</v>
      </c>
      <c r="R41" s="883">
        <v>8697</v>
      </c>
      <c r="S41" s="883">
        <v>8699</v>
      </c>
      <c r="T41" s="883">
        <v>9080</v>
      </c>
      <c r="U41" s="872">
        <v>9594</v>
      </c>
      <c r="V41" s="872">
        <v>9642</v>
      </c>
      <c r="W41" s="872">
        <v>9642</v>
      </c>
      <c r="X41" s="872">
        <v>9718</v>
      </c>
      <c r="Y41" s="872">
        <v>10087</v>
      </c>
      <c r="Z41" s="872">
        <v>10131</v>
      </c>
      <c r="AA41" s="968">
        <v>1920</v>
      </c>
      <c r="AB41" s="927">
        <v>1928</v>
      </c>
      <c r="AC41" s="927">
        <v>2313</v>
      </c>
      <c r="AD41" s="927">
        <v>2791</v>
      </c>
      <c r="AE41" s="927">
        <v>2789</v>
      </c>
      <c r="AF41" s="927">
        <v>2840</v>
      </c>
      <c r="AG41" s="927">
        <v>2922</v>
      </c>
      <c r="AH41" s="927">
        <v>3330</v>
      </c>
      <c r="AI41" s="927">
        <v>3423</v>
      </c>
      <c r="AJ41" s="966">
        <f t="shared" si="1"/>
        <v>33.7873852531833</v>
      </c>
      <c r="AK41" s="657" t="s">
        <v>150</v>
      </c>
    </row>
    <row r="42" spans="1:37" ht="12.75" customHeight="1">
      <c r="A42" s="597"/>
      <c r="B42" s="598" t="s">
        <v>151</v>
      </c>
      <c r="C42" s="880" t="s">
        <v>146</v>
      </c>
      <c r="D42" s="879" t="s">
        <v>146</v>
      </c>
      <c r="E42" s="986" t="s">
        <v>146</v>
      </c>
      <c r="F42" s="986" t="s">
        <v>146</v>
      </c>
      <c r="G42" s="879" t="s">
        <v>146</v>
      </c>
      <c r="H42" s="879" t="s">
        <v>146</v>
      </c>
      <c r="I42" s="879" t="s">
        <v>146</v>
      </c>
      <c r="J42" s="879" t="s">
        <v>146</v>
      </c>
      <c r="K42" s="879" t="s">
        <v>146</v>
      </c>
      <c r="L42" s="879" t="s">
        <v>146</v>
      </c>
      <c r="M42" s="879" t="s">
        <v>146</v>
      </c>
      <c r="N42" s="879" t="s">
        <v>146</v>
      </c>
      <c r="O42" s="986" t="s">
        <v>146</v>
      </c>
      <c r="P42" s="986" t="s">
        <v>146</v>
      </c>
      <c r="Q42" s="986" t="s">
        <v>146</v>
      </c>
      <c r="R42" s="986" t="s">
        <v>146</v>
      </c>
      <c r="S42" s="986" t="s">
        <v>146</v>
      </c>
      <c r="T42" s="986" t="s">
        <v>146</v>
      </c>
      <c r="U42" s="986" t="s">
        <v>146</v>
      </c>
      <c r="V42" s="986" t="s">
        <v>146</v>
      </c>
      <c r="W42" s="986" t="s">
        <v>146</v>
      </c>
      <c r="X42" s="986" t="s">
        <v>146</v>
      </c>
      <c r="Y42" s="986" t="s">
        <v>146</v>
      </c>
      <c r="Z42" s="986" t="s">
        <v>146</v>
      </c>
      <c r="AA42" s="987" t="s">
        <v>146</v>
      </c>
      <c r="AB42" s="986" t="s">
        <v>146</v>
      </c>
      <c r="AC42" s="986" t="s">
        <v>146</v>
      </c>
      <c r="AD42" s="986" t="s">
        <v>146</v>
      </c>
      <c r="AE42" s="986" t="s">
        <v>146</v>
      </c>
      <c r="AF42" s="986" t="s">
        <v>146</v>
      </c>
      <c r="AG42" s="986" t="s">
        <v>146</v>
      </c>
      <c r="AH42" s="986" t="s">
        <v>146</v>
      </c>
      <c r="AI42" s="986" t="s">
        <v>146</v>
      </c>
      <c r="AJ42" s="988" t="s">
        <v>146</v>
      </c>
      <c r="AK42" s="598" t="s">
        <v>151</v>
      </c>
    </row>
    <row r="43" spans="1:37" ht="12.75" customHeight="1">
      <c r="A43" s="597"/>
      <c r="B43" s="610" t="s">
        <v>152</v>
      </c>
      <c r="C43" s="968">
        <v>4242</v>
      </c>
      <c r="D43" s="927">
        <v>4242</v>
      </c>
      <c r="E43" s="927">
        <v>4044</v>
      </c>
      <c r="F43" s="927">
        <v>4023</v>
      </c>
      <c r="G43" s="927">
        <v>4152</v>
      </c>
      <c r="H43" s="927">
        <v>4152</v>
      </c>
      <c r="I43" s="927">
        <v>4152</v>
      </c>
      <c r="J43" s="927">
        <v>4021</v>
      </c>
      <c r="K43" s="927">
        <v>4413</v>
      </c>
      <c r="L43" s="927">
        <v>4425</v>
      </c>
      <c r="M43" s="927">
        <v>4324</v>
      </c>
      <c r="N43" s="927">
        <v>4334</v>
      </c>
      <c r="O43" s="927">
        <v>4334</v>
      </c>
      <c r="P43" s="872">
        <v>4334</v>
      </c>
      <c r="Q43" s="927">
        <v>4338</v>
      </c>
      <c r="R43" s="872">
        <v>4374</v>
      </c>
      <c r="S43" s="872">
        <v>4341</v>
      </c>
      <c r="T43" s="872">
        <v>4151</v>
      </c>
      <c r="U43" s="872">
        <v>4199</v>
      </c>
      <c r="V43" s="872">
        <v>4154</v>
      </c>
      <c r="W43" s="969">
        <f>4230-339</f>
        <v>3891</v>
      </c>
      <c r="X43" s="872">
        <f>4224-327</f>
        <v>3897</v>
      </c>
      <c r="Y43" s="872">
        <f>4219-352</f>
        <v>3867</v>
      </c>
      <c r="Z43" s="872">
        <v>3857</v>
      </c>
      <c r="AA43" s="968">
        <v>2792</v>
      </c>
      <c r="AB43" s="927">
        <v>2779</v>
      </c>
      <c r="AC43" s="927">
        <v>2746</v>
      </c>
      <c r="AD43" s="927">
        <v>2765</v>
      </c>
      <c r="AE43" s="927">
        <v>2500</v>
      </c>
      <c r="AF43" s="927">
        <v>2489</v>
      </c>
      <c r="AG43" s="927">
        <v>2500</v>
      </c>
      <c r="AH43" s="927">
        <v>2470</v>
      </c>
      <c r="AI43" s="927">
        <f>Z43*63.8/100</f>
        <v>2460.7659999999996</v>
      </c>
      <c r="AJ43" s="966">
        <f>AI43/Z43*100</f>
        <v>63.79999999999999</v>
      </c>
      <c r="AK43" s="610" t="s">
        <v>152</v>
      </c>
    </row>
    <row r="44" spans="1:37" ht="12.75" customHeight="1">
      <c r="A44" s="597"/>
      <c r="B44" s="604" t="s">
        <v>153</v>
      </c>
      <c r="C44" s="989">
        <v>3161</v>
      </c>
      <c r="D44" s="990">
        <v>3178</v>
      </c>
      <c r="E44" s="990">
        <v>3215</v>
      </c>
      <c r="F44" s="990">
        <v>3232</v>
      </c>
      <c r="G44" s="990">
        <v>3234</v>
      </c>
      <c r="H44" s="990">
        <v>3184</v>
      </c>
      <c r="I44" s="990">
        <v>3151</v>
      </c>
      <c r="J44" s="990">
        <v>3143</v>
      </c>
      <c r="K44" s="990">
        <v>3216</v>
      </c>
      <c r="L44" s="990">
        <v>3225</v>
      </c>
      <c r="M44" s="990">
        <v>3222</v>
      </c>
      <c r="N44" s="990">
        <f>2990+241</f>
        <v>3231</v>
      </c>
      <c r="O44" s="990">
        <v>3381</v>
      </c>
      <c r="P44" s="868">
        <f>241+3158</f>
        <v>3399</v>
      </c>
      <c r="Q44" s="990">
        <f>3158+405</f>
        <v>3563</v>
      </c>
      <c r="R44" s="868">
        <f>3158+405</f>
        <v>3563</v>
      </c>
      <c r="S44" s="868">
        <v>3557</v>
      </c>
      <c r="T44" s="868">
        <f>460+3139</f>
        <v>3599</v>
      </c>
      <c r="U44" s="868">
        <f>3137+460</f>
        <v>3597</v>
      </c>
      <c r="V44" s="868">
        <v>3574</v>
      </c>
      <c r="W44" s="868">
        <f>3138+413</f>
        <v>3551</v>
      </c>
      <c r="X44" s="868">
        <f>3175+413</f>
        <v>3588</v>
      </c>
      <c r="Y44" s="868">
        <f>3171+436</f>
        <v>3607</v>
      </c>
      <c r="Z44" s="868">
        <f>3172+420</f>
        <v>3592</v>
      </c>
      <c r="AA44" s="989">
        <f>3158+405</f>
        <v>3563</v>
      </c>
      <c r="AB44" s="990">
        <v>3557</v>
      </c>
      <c r="AC44" s="990">
        <f>460+3139</f>
        <v>3599</v>
      </c>
      <c r="AD44" s="990">
        <f>3137+436</f>
        <v>3573</v>
      </c>
      <c r="AE44" s="990">
        <f>3137+436</f>
        <v>3573</v>
      </c>
      <c r="AF44" s="990">
        <f>3137+413</f>
        <v>3550</v>
      </c>
      <c r="AG44" s="990">
        <f>3174+413</f>
        <v>3587</v>
      </c>
      <c r="AH44" s="990">
        <f>3171+436</f>
        <v>3607</v>
      </c>
      <c r="AI44" s="990">
        <f>3171+420</f>
        <v>3591</v>
      </c>
      <c r="AJ44" s="991">
        <f>AI44/Z44*100</f>
        <v>99.97216035634744</v>
      </c>
      <c r="AK44" s="604" t="s">
        <v>153</v>
      </c>
    </row>
    <row r="45" spans="2:37" ht="25.5" customHeight="1">
      <c r="B45" s="1280" t="s">
        <v>349</v>
      </c>
      <c r="C45" s="1280"/>
      <c r="D45" s="1280"/>
      <c r="E45" s="1280"/>
      <c r="F45" s="1280"/>
      <c r="G45" s="1280"/>
      <c r="H45" s="1280"/>
      <c r="I45" s="1280"/>
      <c r="J45" s="1280"/>
      <c r="K45" s="1280"/>
      <c r="L45" s="1280"/>
      <c r="M45" s="1280"/>
      <c r="N45" s="1280"/>
      <c r="O45" s="1280"/>
      <c r="P45" s="1280"/>
      <c r="Q45" s="1280"/>
      <c r="R45" s="1280"/>
      <c r="S45" s="1280"/>
      <c r="T45" s="1280"/>
      <c r="U45" s="1280"/>
      <c r="V45" s="1280"/>
      <c r="W45" s="1280"/>
      <c r="X45" s="1280"/>
      <c r="Y45" s="1280"/>
      <c r="Z45" s="1280"/>
      <c r="AA45" s="1280"/>
      <c r="AB45" s="1280"/>
      <c r="AC45" s="1280"/>
      <c r="AD45" s="670"/>
      <c r="AE45" s="670"/>
      <c r="AF45" s="670"/>
      <c r="AG45" s="670"/>
      <c r="AH45" s="670"/>
      <c r="AI45" s="670"/>
      <c r="AJ45" s="670"/>
      <c r="AK45" s="670"/>
    </row>
    <row r="46" spans="2:37" ht="12.75" customHeight="1">
      <c r="B46" s="679" t="s">
        <v>173</v>
      </c>
      <c r="D46" s="679"/>
      <c r="E46" s="679"/>
      <c r="F46" s="679"/>
      <c r="G46" s="679"/>
      <c r="H46" s="679"/>
      <c r="I46" s="679"/>
      <c r="J46" s="679"/>
      <c r="K46" s="679"/>
      <c r="L46" s="679"/>
      <c r="M46" s="679"/>
      <c r="N46" s="679"/>
      <c r="O46" s="679"/>
      <c r="P46" s="627"/>
      <c r="Q46" s="627"/>
      <c r="R46" s="627"/>
      <c r="S46" s="627"/>
      <c r="AC46" s="627"/>
      <c r="AD46" s="627"/>
      <c r="AE46" s="627"/>
      <c r="AF46" s="627"/>
      <c r="AG46" s="627"/>
      <c r="AH46" s="627"/>
      <c r="AI46" s="627"/>
      <c r="AJ46" s="627"/>
      <c r="AK46" s="627"/>
    </row>
    <row r="47" ht="11.25">
      <c r="B47" s="770" t="s">
        <v>350</v>
      </c>
    </row>
    <row r="48" ht="11.25">
      <c r="B48" s="770" t="s">
        <v>351</v>
      </c>
    </row>
    <row r="49" ht="11.25">
      <c r="B49" s="573" t="s">
        <v>320</v>
      </c>
    </row>
    <row r="50" ht="11.25">
      <c r="F50" s="679"/>
    </row>
    <row r="51" spans="10:21" ht="12.75">
      <c r="J51" s="773"/>
      <c r="K51" s="773"/>
      <c r="L51" s="773"/>
      <c r="M51" s="773"/>
      <c r="N51" s="773"/>
      <c r="O51" s="773"/>
      <c r="P51" s="773"/>
      <c r="Q51" s="773"/>
      <c r="R51" s="773"/>
      <c r="S51" s="773"/>
      <c r="T51" s="773"/>
      <c r="U51" s="773"/>
    </row>
    <row r="52" spans="10:21" ht="12.75">
      <c r="J52" s="773"/>
      <c r="K52" s="773"/>
      <c r="L52" s="773"/>
      <c r="M52" s="773"/>
      <c r="N52" s="773"/>
      <c r="O52" s="773"/>
      <c r="P52" s="773"/>
      <c r="Q52" s="773"/>
      <c r="R52" s="773"/>
      <c r="S52" s="773"/>
      <c r="T52" s="773"/>
      <c r="U52" s="773"/>
    </row>
  </sheetData>
  <sheetProtection/>
  <mergeCells count="3">
    <mergeCell ref="B1:C1"/>
    <mergeCell ref="B2:AJ2"/>
    <mergeCell ref="B45:AC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AG71"/>
  <sheetViews>
    <sheetView zoomScalePageLayoutView="0" workbookViewId="0" topLeftCell="A1">
      <selection activeCell="AG7" sqref="AG7:AG8"/>
    </sheetView>
  </sheetViews>
  <sheetFormatPr defaultColWidth="9.140625" defaultRowHeight="12.75"/>
  <cols>
    <col min="1" max="1" width="2.7109375" style="573" customWidth="1"/>
    <col min="2" max="2" width="4.00390625" style="573" customWidth="1"/>
    <col min="3" max="9" width="6.7109375" style="573" hidden="1" customWidth="1"/>
    <col min="10" max="10" width="7.57421875" style="573" hidden="1" customWidth="1"/>
    <col min="11" max="15" width="6.7109375" style="573" hidden="1" customWidth="1"/>
    <col min="16" max="16" width="6.7109375" style="999" hidden="1" customWidth="1"/>
    <col min="17" max="17" width="6.7109375" style="1000" hidden="1" customWidth="1"/>
    <col min="18" max="20" width="6.7109375" style="569" hidden="1" customWidth="1"/>
    <col min="21" max="25" width="7.28125" style="569" customWidth="1"/>
    <col min="26" max="26" width="6.7109375" style="573" customWidth="1"/>
    <col min="27" max="27" width="7.8515625" style="573" customWidth="1"/>
    <col min="28" max="28" width="6.7109375" style="573" customWidth="1"/>
    <col min="29" max="29" width="6.7109375" style="680" customWidth="1"/>
    <col min="30" max="30" width="7.00390625" style="573" customWidth="1"/>
    <col min="31" max="31" width="6.7109375" style="573" customWidth="1"/>
    <col min="32" max="32" width="4.7109375" style="573" customWidth="1"/>
    <col min="33" max="16384" width="9.140625" style="573" customWidth="1"/>
  </cols>
  <sheetData>
    <row r="1" spans="2:32" ht="14.25" customHeight="1">
      <c r="B1" s="777"/>
      <c r="C1" s="777"/>
      <c r="D1" s="777"/>
      <c r="E1" s="777"/>
      <c r="F1" s="777"/>
      <c r="G1" s="777"/>
      <c r="H1" s="777"/>
      <c r="I1" s="777"/>
      <c r="J1" s="777"/>
      <c r="K1" s="777"/>
      <c r="L1" s="777"/>
      <c r="M1" s="777"/>
      <c r="N1" s="777"/>
      <c r="O1" s="777"/>
      <c r="P1" s="996"/>
      <c r="Q1" s="997"/>
      <c r="R1" s="998"/>
      <c r="S1" s="998"/>
      <c r="AF1" s="574" t="s">
        <v>206</v>
      </c>
    </row>
    <row r="2" spans="2:32" s="577" customFormat="1" ht="30" customHeight="1">
      <c r="B2" s="1271" t="s">
        <v>207</v>
      </c>
      <c r="C2" s="1271"/>
      <c r="D2" s="1271"/>
      <c r="E2" s="1271"/>
      <c r="F2" s="1271"/>
      <c r="G2" s="1271"/>
      <c r="H2" s="1271"/>
      <c r="I2" s="1271"/>
      <c r="J2" s="1271"/>
      <c r="K2" s="1271"/>
      <c r="L2" s="1271"/>
      <c r="M2" s="1271"/>
      <c r="N2" s="1271"/>
      <c r="O2" s="1271"/>
      <c r="P2" s="1271"/>
      <c r="Q2" s="1271"/>
      <c r="R2" s="1271"/>
      <c r="S2" s="1271"/>
      <c r="T2" s="1271"/>
      <c r="U2" s="1271"/>
      <c r="V2" s="1271"/>
      <c r="W2" s="1271"/>
      <c r="X2" s="1271"/>
      <c r="Y2" s="1271"/>
      <c r="Z2" s="1271"/>
      <c r="AA2" s="1271"/>
      <c r="AB2" s="1271"/>
      <c r="AC2" s="1271"/>
      <c r="AD2" s="1271"/>
      <c r="AE2" s="1271"/>
      <c r="AF2" s="1271"/>
    </row>
    <row r="3" spans="2:32" ht="19.5" customHeight="1">
      <c r="B3" s="1295" t="s">
        <v>208</v>
      </c>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c r="AC3" s="1295"/>
      <c r="AD3" s="1295"/>
      <c r="AE3" s="1295"/>
      <c r="AF3" s="1295"/>
    </row>
    <row r="4" spans="23:25" ht="12.75" customHeight="1">
      <c r="W4" s="1001"/>
      <c r="X4" s="1001" t="s">
        <v>209</v>
      </c>
      <c r="Y4" s="1001"/>
    </row>
    <row r="5" spans="2:32" ht="19.5" customHeight="1">
      <c r="B5" s="581"/>
      <c r="C5" s="582">
        <v>1970</v>
      </c>
      <c r="D5" s="582">
        <v>1980</v>
      </c>
      <c r="E5" s="940">
        <v>1990</v>
      </c>
      <c r="F5" s="583">
        <v>1991</v>
      </c>
      <c r="G5" s="583">
        <v>1992</v>
      </c>
      <c r="H5" s="583">
        <v>1993</v>
      </c>
      <c r="I5" s="583">
        <v>1994</v>
      </c>
      <c r="J5" s="583">
        <v>1995</v>
      </c>
      <c r="K5" s="583">
        <v>1996</v>
      </c>
      <c r="L5" s="583">
        <v>1997</v>
      </c>
      <c r="M5" s="583">
        <v>1998</v>
      </c>
      <c r="N5" s="583">
        <v>1999</v>
      </c>
      <c r="O5" s="583">
        <v>2000</v>
      </c>
      <c r="P5" s="583">
        <v>2001</v>
      </c>
      <c r="Q5" s="583">
        <v>2002</v>
      </c>
      <c r="R5" s="583">
        <v>2003</v>
      </c>
      <c r="S5" s="583">
        <v>2004</v>
      </c>
      <c r="T5" s="583">
        <v>2005</v>
      </c>
      <c r="U5" s="583">
        <v>2006</v>
      </c>
      <c r="V5" s="583">
        <v>2007</v>
      </c>
      <c r="W5" s="583">
        <v>2008</v>
      </c>
      <c r="X5" s="583">
        <v>2009</v>
      </c>
      <c r="Y5" s="583">
        <v>2010</v>
      </c>
      <c r="Z5" s="583">
        <v>2011</v>
      </c>
      <c r="AA5" s="583">
        <v>2012</v>
      </c>
      <c r="AB5" s="583">
        <v>2013</v>
      </c>
      <c r="AC5" s="583">
        <v>2014</v>
      </c>
      <c r="AD5" s="583">
        <v>2015</v>
      </c>
      <c r="AE5" s="1002" t="s">
        <v>331</v>
      </c>
      <c r="AF5" s="680"/>
    </row>
    <row r="6" spans="2:33" ht="9.75" customHeight="1">
      <c r="B6" s="581"/>
      <c r="C6" s="682"/>
      <c r="D6" s="682"/>
      <c r="E6" s="1003"/>
      <c r="F6" s="589"/>
      <c r="G6" s="589"/>
      <c r="H6" s="589"/>
      <c r="I6" s="589"/>
      <c r="J6" s="589"/>
      <c r="K6" s="589"/>
      <c r="L6" s="589"/>
      <c r="M6" s="589"/>
      <c r="N6" s="589"/>
      <c r="O6" s="589"/>
      <c r="P6" s="589"/>
      <c r="Q6" s="589"/>
      <c r="R6" s="589"/>
      <c r="S6" s="589"/>
      <c r="T6" s="589"/>
      <c r="U6" s="589"/>
      <c r="V6" s="589"/>
      <c r="W6" s="589"/>
      <c r="X6" s="589"/>
      <c r="Y6" s="1004"/>
      <c r="Z6" s="1005"/>
      <c r="AA6" s="1005"/>
      <c r="AB6" s="1005"/>
      <c r="AC6" s="1005"/>
      <c r="AD6" s="1005"/>
      <c r="AE6" s="1006" t="s">
        <v>147</v>
      </c>
      <c r="AF6" s="680"/>
      <c r="AG6" s="305" t="s">
        <v>328</v>
      </c>
    </row>
    <row r="7" spans="2:33" ht="12.75" customHeight="1">
      <c r="B7" s="833" t="s">
        <v>250</v>
      </c>
      <c r="C7" s="1007"/>
      <c r="D7" s="1007"/>
      <c r="E7" s="1008">
        <v>160106.357</v>
      </c>
      <c r="F7" s="1008">
        <v>164975.90199999997</v>
      </c>
      <c r="G7" s="1008">
        <v>169329.84900000002</v>
      </c>
      <c r="H7" s="1008">
        <v>172499.268</v>
      </c>
      <c r="I7" s="1008">
        <v>176104.738</v>
      </c>
      <c r="J7" s="1009">
        <v>179690.021</v>
      </c>
      <c r="K7" s="1009">
        <v>184242.024</v>
      </c>
      <c r="L7" s="1009">
        <v>184303.21699999998</v>
      </c>
      <c r="M7" s="1009">
        <v>189473.42500000002</v>
      </c>
      <c r="N7" s="1009">
        <v>195244.98400000003</v>
      </c>
      <c r="O7" s="1009">
        <v>200245.12099999998</v>
      </c>
      <c r="P7" s="1009">
        <v>205127.61099999998</v>
      </c>
      <c r="Q7" s="1009">
        <v>209460.707</v>
      </c>
      <c r="R7" s="1009">
        <v>212757.86899999995</v>
      </c>
      <c r="S7" s="1009">
        <v>216600.8559999999</v>
      </c>
      <c r="T7" s="1009">
        <v>221210.85999999993</v>
      </c>
      <c r="U7" s="1009">
        <v>225288.59</v>
      </c>
      <c r="V7" s="1009">
        <v>230277.99099999995</v>
      </c>
      <c r="W7" s="1009">
        <v>235121.61599999998</v>
      </c>
      <c r="X7" s="1009">
        <v>237228.39399999997</v>
      </c>
      <c r="Y7" s="1009">
        <v>240069.577</v>
      </c>
      <c r="Z7" s="1009">
        <v>243246.37399999998</v>
      </c>
      <c r="AA7" s="1009">
        <v>245375.178</v>
      </c>
      <c r="AB7" s="1009">
        <v>247404.44199999998</v>
      </c>
      <c r="AC7" s="1009">
        <v>249789.65500000006</v>
      </c>
      <c r="AD7" s="1009">
        <v>254234.55600000004</v>
      </c>
      <c r="AE7" s="1010">
        <v>1.7794576000354994</v>
      </c>
      <c r="AF7" s="833" t="s">
        <v>250</v>
      </c>
      <c r="AG7" s="1030">
        <f>AD7/1000</f>
        <v>254.23455600000005</v>
      </c>
    </row>
    <row r="8" spans="2:33" ht="12.75" customHeight="1">
      <c r="B8" s="598" t="s">
        <v>89</v>
      </c>
      <c r="C8" s="1011">
        <v>62477.114</v>
      </c>
      <c r="D8" s="1011">
        <v>104314.42300000001</v>
      </c>
      <c r="E8" s="1012">
        <v>144518.968</v>
      </c>
      <c r="F8" s="1012">
        <v>148010.452</v>
      </c>
      <c r="G8" s="1012">
        <v>151461.275</v>
      </c>
      <c r="H8" s="1012">
        <v>153573.189</v>
      </c>
      <c r="I8" s="1012">
        <v>156256.94100000002</v>
      </c>
      <c r="J8" s="1013">
        <v>158766.86400000003</v>
      </c>
      <c r="K8" s="1013">
        <v>162079.055</v>
      </c>
      <c r="L8" s="1013">
        <v>160897.335</v>
      </c>
      <c r="M8" s="1013">
        <v>165121.279</v>
      </c>
      <c r="N8" s="1013">
        <v>169997.49</v>
      </c>
      <c r="O8" s="1013">
        <v>173765.024</v>
      </c>
      <c r="P8" s="1013">
        <v>177672.84000000003</v>
      </c>
      <c r="Q8" s="1013">
        <v>180851.76299999995</v>
      </c>
      <c r="R8" s="1013">
        <v>183222.79399999997</v>
      </c>
      <c r="S8" s="1013">
        <v>185829.15</v>
      </c>
      <c r="T8" s="1013">
        <v>189214.379</v>
      </c>
      <c r="U8" s="1013">
        <v>192161.685</v>
      </c>
      <c r="V8" s="1013">
        <v>195182.68199999997</v>
      </c>
      <c r="W8" s="1013">
        <v>197215.74699999997</v>
      </c>
      <c r="X8" s="1013">
        <v>198517.98799999998</v>
      </c>
      <c r="Y8" s="1013">
        <v>200596.39</v>
      </c>
      <c r="Z8" s="1013">
        <v>202591.314</v>
      </c>
      <c r="AA8" s="1013">
        <v>203610.18300000002</v>
      </c>
      <c r="AB8" s="1013">
        <v>204444.12200000003</v>
      </c>
      <c r="AC8" s="1013">
        <v>206169.85800000004</v>
      </c>
      <c r="AD8" s="1013">
        <v>208906.42600000004</v>
      </c>
      <c r="AE8" s="1014">
        <v>1.327336608050615</v>
      </c>
      <c r="AF8" s="598" t="s">
        <v>89</v>
      </c>
      <c r="AG8" s="1030">
        <f>AD8/1000</f>
        <v>208.90642600000004</v>
      </c>
    </row>
    <row r="9" spans="2:33" ht="12.75" customHeight="1">
      <c r="B9" s="604" t="s">
        <v>251</v>
      </c>
      <c r="C9" s="1015"/>
      <c r="D9" s="1015"/>
      <c r="E9" s="1016">
        <v>15587.388999999996</v>
      </c>
      <c r="F9" s="1017">
        <v>16965.449999999983</v>
      </c>
      <c r="G9" s="1017">
        <v>17868.574000000022</v>
      </c>
      <c r="H9" s="1017">
        <v>18926.078999999998</v>
      </c>
      <c r="I9" s="1017">
        <v>19847.79699999999</v>
      </c>
      <c r="J9" s="1017">
        <v>20923.156999999977</v>
      </c>
      <c r="K9" s="1017">
        <v>22162.969000000012</v>
      </c>
      <c r="L9" s="1017">
        <v>23405.881999999983</v>
      </c>
      <c r="M9" s="1017">
        <v>24352.146000000008</v>
      </c>
      <c r="N9" s="1017">
        <v>25247.494000000035</v>
      </c>
      <c r="O9" s="1017">
        <v>26480.09699999998</v>
      </c>
      <c r="P9" s="1017">
        <v>27454.77099999995</v>
      </c>
      <c r="Q9" s="1017">
        <v>28608.944000000047</v>
      </c>
      <c r="R9" s="1017">
        <v>29535.074999999983</v>
      </c>
      <c r="S9" s="1017">
        <v>30771.70599999992</v>
      </c>
      <c r="T9" s="1017">
        <v>31996.48099999994</v>
      </c>
      <c r="U9" s="1017">
        <v>33126.905</v>
      </c>
      <c r="V9" s="1017">
        <v>35095.30899999998</v>
      </c>
      <c r="W9" s="1017">
        <v>37905.869000000006</v>
      </c>
      <c r="X9" s="1017">
        <v>38710.40599999999</v>
      </c>
      <c r="Y9" s="1017">
        <v>39473.186999999976</v>
      </c>
      <c r="Z9" s="1017">
        <v>40655.05999999997</v>
      </c>
      <c r="AA9" s="1017">
        <v>41764.994999999995</v>
      </c>
      <c r="AB9" s="1017">
        <v>42960.31999999995</v>
      </c>
      <c r="AC9" s="1017">
        <v>43619.79700000002</v>
      </c>
      <c r="AD9" s="1017">
        <v>45328.130000000005</v>
      </c>
      <c r="AE9" s="1018">
        <v>3.9164166674136</v>
      </c>
      <c r="AF9" s="604" t="s">
        <v>251</v>
      </c>
      <c r="AG9" s="1030"/>
    </row>
    <row r="10" spans="1:33" ht="12.75" customHeight="1">
      <c r="A10" s="597"/>
      <c r="B10" s="598" t="s">
        <v>81</v>
      </c>
      <c r="C10" s="1020">
        <v>1197</v>
      </c>
      <c r="D10" s="1020">
        <v>2247</v>
      </c>
      <c r="E10" s="877">
        <v>2991</v>
      </c>
      <c r="F10" s="877">
        <v>3100</v>
      </c>
      <c r="G10" s="877">
        <v>3245</v>
      </c>
      <c r="H10" s="877">
        <v>3367.626</v>
      </c>
      <c r="I10" s="877">
        <v>3479.595</v>
      </c>
      <c r="J10" s="877">
        <v>3593.588</v>
      </c>
      <c r="K10" s="877">
        <v>3690.692</v>
      </c>
      <c r="L10" s="877">
        <v>3782.543</v>
      </c>
      <c r="M10" s="877">
        <v>3887.174</v>
      </c>
      <c r="N10" s="877">
        <v>4009.604</v>
      </c>
      <c r="O10" s="877">
        <v>4097.145</v>
      </c>
      <c r="P10" s="877">
        <v>4182.027</v>
      </c>
      <c r="Q10" s="877">
        <v>3987.093</v>
      </c>
      <c r="R10" s="877">
        <v>4054.308</v>
      </c>
      <c r="S10" s="877">
        <v>4109.129</v>
      </c>
      <c r="T10" s="877">
        <v>4156.743</v>
      </c>
      <c r="U10" s="877">
        <v>4204.969</v>
      </c>
      <c r="V10" s="877">
        <v>4245.583</v>
      </c>
      <c r="W10" s="877">
        <v>4284.919</v>
      </c>
      <c r="X10" s="877">
        <v>4359.944</v>
      </c>
      <c r="Y10" s="877">
        <v>4441.027</v>
      </c>
      <c r="Z10" s="877">
        <v>4513.421</v>
      </c>
      <c r="AA10" s="877">
        <v>4584.202</v>
      </c>
      <c r="AB10" s="877">
        <v>4641.308</v>
      </c>
      <c r="AC10" s="877">
        <v>4694.921</v>
      </c>
      <c r="AD10" s="877">
        <v>4748.048</v>
      </c>
      <c r="AE10" s="665">
        <f aca="true" t="shared" si="0" ref="AE10:AE46">AD10/AC10*100-100</f>
        <v>1.1315845357142251</v>
      </c>
      <c r="AF10" s="598" t="s">
        <v>81</v>
      </c>
      <c r="AG10" s="1030">
        <f>AD10/1000</f>
        <v>4.748048</v>
      </c>
    </row>
    <row r="11" spans="1:33" ht="12.75" customHeight="1">
      <c r="A11" s="597"/>
      <c r="B11" s="610" t="s">
        <v>60</v>
      </c>
      <c r="C11" s="1019">
        <v>2059.616</v>
      </c>
      <c r="D11" s="1019">
        <v>3158.737</v>
      </c>
      <c r="E11" s="872">
        <v>3864.159</v>
      </c>
      <c r="F11" s="872">
        <v>3970</v>
      </c>
      <c r="G11" s="872">
        <v>4021</v>
      </c>
      <c r="H11" s="872">
        <v>4109.601</v>
      </c>
      <c r="I11" s="872">
        <v>4210.197</v>
      </c>
      <c r="J11" s="872">
        <v>4273.451</v>
      </c>
      <c r="K11" s="872">
        <v>4339.231</v>
      </c>
      <c r="L11" s="872">
        <v>4415.343</v>
      </c>
      <c r="M11" s="872">
        <v>4491.734</v>
      </c>
      <c r="N11" s="872">
        <v>4583.615</v>
      </c>
      <c r="O11" s="872">
        <v>4678.376</v>
      </c>
      <c r="P11" s="872">
        <v>4739.85</v>
      </c>
      <c r="Q11" s="872">
        <v>4787.359</v>
      </c>
      <c r="R11" s="872">
        <v>4820.868</v>
      </c>
      <c r="S11" s="872">
        <v>4874.426</v>
      </c>
      <c r="T11" s="1022">
        <v>4918.544</v>
      </c>
      <c r="U11" s="872">
        <v>4976.286</v>
      </c>
      <c r="V11" s="872">
        <v>5042.095</v>
      </c>
      <c r="W11" s="872">
        <v>5123.972</v>
      </c>
      <c r="X11" s="872">
        <v>5191.714</v>
      </c>
      <c r="Y11" s="872">
        <v>5275.61</v>
      </c>
      <c r="Z11" s="872">
        <v>5406.362</v>
      </c>
      <c r="AA11" s="872">
        <v>5440.754</v>
      </c>
      <c r="AB11" s="872">
        <v>5504.809</v>
      </c>
      <c r="AC11" s="872">
        <v>5572.573</v>
      </c>
      <c r="AD11" s="872">
        <v>5661.742</v>
      </c>
      <c r="AE11" s="632">
        <f t="shared" si="0"/>
        <v>1.600140545489495</v>
      </c>
      <c r="AF11" s="610" t="s">
        <v>60</v>
      </c>
      <c r="AG11" s="1030">
        <f aca="true" t="shared" si="1" ref="AG11:AG37">AD11/1000</f>
        <v>5.661742</v>
      </c>
    </row>
    <row r="12" spans="1:33" ht="12.75" customHeight="1">
      <c r="A12" s="597"/>
      <c r="B12" s="598" t="s">
        <v>101</v>
      </c>
      <c r="C12" s="1020">
        <v>160</v>
      </c>
      <c r="D12" s="1020">
        <v>820</v>
      </c>
      <c r="E12" s="877">
        <v>1317.4</v>
      </c>
      <c r="F12" s="877">
        <v>1359</v>
      </c>
      <c r="G12" s="877">
        <v>1411.3</v>
      </c>
      <c r="H12" s="877">
        <v>1505.451</v>
      </c>
      <c r="I12" s="877">
        <v>1587.873</v>
      </c>
      <c r="J12" s="877">
        <v>1647.571</v>
      </c>
      <c r="K12" s="877">
        <v>1707.023</v>
      </c>
      <c r="L12" s="877">
        <v>1730.506</v>
      </c>
      <c r="M12" s="877">
        <v>1809.35</v>
      </c>
      <c r="N12" s="877">
        <v>1908.4</v>
      </c>
      <c r="O12" s="877">
        <v>1992.7</v>
      </c>
      <c r="P12" s="877">
        <v>2085.7</v>
      </c>
      <c r="Q12" s="877">
        <v>2174.1</v>
      </c>
      <c r="R12" s="877">
        <v>2309.3</v>
      </c>
      <c r="S12" s="877">
        <v>2438.4</v>
      </c>
      <c r="T12" s="877">
        <v>2538.092</v>
      </c>
      <c r="U12" s="877">
        <v>1767.742</v>
      </c>
      <c r="V12" s="877">
        <v>2081.517</v>
      </c>
      <c r="W12" s="877">
        <v>2366.196</v>
      </c>
      <c r="X12" s="877">
        <v>2502</v>
      </c>
      <c r="Y12" s="877">
        <v>2602.4</v>
      </c>
      <c r="Z12" s="877">
        <v>2695</v>
      </c>
      <c r="AA12" s="877">
        <v>2807</v>
      </c>
      <c r="AB12" s="877">
        <v>2910.2</v>
      </c>
      <c r="AC12" s="877">
        <v>3013.9</v>
      </c>
      <c r="AD12" s="877">
        <v>3162</v>
      </c>
      <c r="AE12" s="640">
        <f t="shared" si="0"/>
        <v>4.913898934934792</v>
      </c>
      <c r="AF12" s="598" t="s">
        <v>101</v>
      </c>
      <c r="AG12" s="1030">
        <f t="shared" si="1"/>
        <v>3.162</v>
      </c>
    </row>
    <row r="13" spans="1:33" ht="12.75" customHeight="1">
      <c r="A13" s="597"/>
      <c r="B13" s="610" t="s">
        <v>71</v>
      </c>
      <c r="C13" s="1019">
        <v>60</v>
      </c>
      <c r="D13" s="1019">
        <v>90</v>
      </c>
      <c r="E13" s="872">
        <v>178.602</v>
      </c>
      <c r="F13" s="872">
        <v>190</v>
      </c>
      <c r="G13" s="872">
        <v>200</v>
      </c>
      <c r="H13" s="872">
        <v>203.61</v>
      </c>
      <c r="I13" s="872">
        <v>210.365</v>
      </c>
      <c r="J13" s="872">
        <v>219.749</v>
      </c>
      <c r="K13" s="872">
        <v>226.832</v>
      </c>
      <c r="L13" s="872">
        <v>234.976</v>
      </c>
      <c r="M13" s="872">
        <v>249.225</v>
      </c>
      <c r="N13" s="872">
        <v>256.989</v>
      </c>
      <c r="O13" s="872">
        <v>267.589</v>
      </c>
      <c r="P13" s="872">
        <v>280.069</v>
      </c>
      <c r="Q13" s="872">
        <v>287.622</v>
      </c>
      <c r="R13" s="872">
        <v>302.501</v>
      </c>
      <c r="S13" s="872">
        <v>335.634</v>
      </c>
      <c r="T13" s="872">
        <v>355.134</v>
      </c>
      <c r="U13" s="872">
        <v>372.945</v>
      </c>
      <c r="V13" s="872">
        <v>410.936</v>
      </c>
      <c r="W13" s="872">
        <v>443.517</v>
      </c>
      <c r="X13" s="872">
        <v>460.504</v>
      </c>
      <c r="Y13" s="872">
        <v>462.652</v>
      </c>
      <c r="Z13" s="872">
        <v>470</v>
      </c>
      <c r="AA13" s="872">
        <v>475.462</v>
      </c>
      <c r="AB13" s="872">
        <v>474.561</v>
      </c>
      <c r="AC13" s="872">
        <v>478.492</v>
      </c>
      <c r="AD13" s="872">
        <v>487.692</v>
      </c>
      <c r="AE13" s="632">
        <f t="shared" si="0"/>
        <v>1.922707171697752</v>
      </c>
      <c r="AF13" s="610" t="s">
        <v>71</v>
      </c>
      <c r="AG13" s="1030">
        <f t="shared" si="1"/>
        <v>0.487692</v>
      </c>
    </row>
    <row r="14" spans="1:33" ht="12.75" customHeight="1">
      <c r="A14" s="597"/>
      <c r="B14" s="610" t="s">
        <v>61</v>
      </c>
      <c r="C14" s="1019">
        <v>685</v>
      </c>
      <c r="D14" s="1019">
        <v>1780</v>
      </c>
      <c r="E14" s="872">
        <v>2410</v>
      </c>
      <c r="F14" s="872">
        <v>2480</v>
      </c>
      <c r="G14" s="872">
        <v>2580</v>
      </c>
      <c r="H14" s="872">
        <v>2833.143</v>
      </c>
      <c r="I14" s="872">
        <v>2923.916</v>
      </c>
      <c r="J14" s="872">
        <v>3043.316</v>
      </c>
      <c r="K14" s="1022">
        <v>3192.532</v>
      </c>
      <c r="L14" s="872">
        <v>3391.541</v>
      </c>
      <c r="M14" s="872">
        <v>3492.961</v>
      </c>
      <c r="N14" s="872">
        <v>3439.745</v>
      </c>
      <c r="O14" s="872">
        <v>3438.87</v>
      </c>
      <c r="P14" s="872">
        <v>3529.791</v>
      </c>
      <c r="Q14" s="872">
        <v>3647.067</v>
      </c>
      <c r="R14" s="872">
        <v>3706.012</v>
      </c>
      <c r="S14" s="872">
        <v>3815.547</v>
      </c>
      <c r="T14" s="872">
        <v>3958.708</v>
      </c>
      <c r="U14" s="872">
        <v>4108.61</v>
      </c>
      <c r="V14" s="872">
        <v>4280.081</v>
      </c>
      <c r="W14" s="872">
        <v>4423.37</v>
      </c>
      <c r="X14" s="872">
        <v>4435.052</v>
      </c>
      <c r="Y14" s="872">
        <v>4496.232</v>
      </c>
      <c r="Z14" s="872">
        <v>4581.642</v>
      </c>
      <c r="AA14" s="872">
        <v>4706</v>
      </c>
      <c r="AB14" s="872">
        <v>4729.185</v>
      </c>
      <c r="AC14" s="872">
        <v>4833.386</v>
      </c>
      <c r="AD14" s="872">
        <v>5115.316</v>
      </c>
      <c r="AE14" s="632">
        <f t="shared" si="0"/>
        <v>5.832970923489242</v>
      </c>
      <c r="AF14" s="610" t="s">
        <v>61</v>
      </c>
      <c r="AG14" s="1030">
        <f t="shared" si="1"/>
        <v>5.115316</v>
      </c>
    </row>
    <row r="15" spans="1:33" ht="12.75" customHeight="1">
      <c r="A15" s="597"/>
      <c r="B15" s="610" t="s">
        <v>63</v>
      </c>
      <c r="C15" s="1019">
        <v>15107.079</v>
      </c>
      <c r="D15" s="1019">
        <v>25869.616000000005</v>
      </c>
      <c r="E15" s="872">
        <v>36772</v>
      </c>
      <c r="F15" s="872">
        <v>37947</v>
      </c>
      <c r="G15" s="872">
        <v>38892</v>
      </c>
      <c r="H15" s="872">
        <v>39202.066</v>
      </c>
      <c r="I15" s="872">
        <v>39917.577</v>
      </c>
      <c r="J15" s="872">
        <v>40499.442</v>
      </c>
      <c r="K15" s="872">
        <v>41045.217</v>
      </c>
      <c r="L15" s="872">
        <v>36924.647</v>
      </c>
      <c r="M15" s="872">
        <v>37553.549</v>
      </c>
      <c r="N15" s="872">
        <v>38426.776</v>
      </c>
      <c r="O15" s="872">
        <v>39058.937</v>
      </c>
      <c r="P15" s="872">
        <v>39388.319</v>
      </c>
      <c r="Q15" s="872">
        <v>39720.951</v>
      </c>
      <c r="R15" s="872">
        <v>40017.482</v>
      </c>
      <c r="S15" s="872">
        <v>40179.477</v>
      </c>
      <c r="T15" s="872">
        <v>40659.5</v>
      </c>
      <c r="U15" s="1022">
        <v>41019.7</v>
      </c>
      <c r="V15" s="872">
        <v>41183.594</v>
      </c>
      <c r="W15" s="872">
        <v>41321.171</v>
      </c>
      <c r="X15" s="872">
        <v>41737.627</v>
      </c>
      <c r="Y15" s="872">
        <v>42301.563</v>
      </c>
      <c r="Z15" s="872">
        <v>42928</v>
      </c>
      <c r="AA15" s="872">
        <v>43431</v>
      </c>
      <c r="AB15" s="872">
        <v>43851.23</v>
      </c>
      <c r="AC15" s="872">
        <v>44403.124</v>
      </c>
      <c r="AD15" s="872">
        <v>45071.209</v>
      </c>
      <c r="AE15" s="632">
        <f t="shared" si="0"/>
        <v>1.5045900824455458</v>
      </c>
      <c r="AF15" s="610" t="s">
        <v>63</v>
      </c>
      <c r="AG15" s="1030">
        <f t="shared" si="1"/>
        <v>45.071209</v>
      </c>
    </row>
    <row r="16" spans="1:33" ht="12.75" customHeight="1">
      <c r="A16" s="597"/>
      <c r="B16" s="598" t="s">
        <v>14</v>
      </c>
      <c r="C16" s="1020">
        <v>1076.875</v>
      </c>
      <c r="D16" s="1020">
        <v>1390</v>
      </c>
      <c r="E16" s="877">
        <v>1590</v>
      </c>
      <c r="F16" s="877">
        <v>1594</v>
      </c>
      <c r="G16" s="877">
        <v>1604.053</v>
      </c>
      <c r="H16" s="877">
        <v>1617.734</v>
      </c>
      <c r="I16" s="877">
        <v>1611.191</v>
      </c>
      <c r="J16" s="877">
        <v>1679.007</v>
      </c>
      <c r="K16" s="877">
        <v>1738.854</v>
      </c>
      <c r="L16" s="877">
        <v>1783.098</v>
      </c>
      <c r="M16" s="877">
        <v>1817.147</v>
      </c>
      <c r="N16" s="877">
        <v>1843.254</v>
      </c>
      <c r="O16" s="877">
        <v>1854.06</v>
      </c>
      <c r="P16" s="877">
        <v>1872.631</v>
      </c>
      <c r="Q16" s="877">
        <v>1888.29</v>
      </c>
      <c r="R16" s="877">
        <v>1894.649</v>
      </c>
      <c r="S16" s="877">
        <v>1915.821</v>
      </c>
      <c r="T16" s="877">
        <v>1964.682</v>
      </c>
      <c r="U16" s="877">
        <v>2020.013</v>
      </c>
      <c r="V16" s="877">
        <v>2068.493</v>
      </c>
      <c r="W16" s="877">
        <v>2099.09</v>
      </c>
      <c r="X16" s="877">
        <v>2120.322</v>
      </c>
      <c r="Y16" s="877">
        <v>2163.675</v>
      </c>
      <c r="Z16" s="877">
        <v>2197.831</v>
      </c>
      <c r="AA16" s="877">
        <v>2237.122</v>
      </c>
      <c r="AB16" s="877">
        <v>2278.121</v>
      </c>
      <c r="AC16" s="877">
        <v>2329.578</v>
      </c>
      <c r="AD16" s="877">
        <v>2390.823</v>
      </c>
      <c r="AE16" s="640">
        <f t="shared" si="0"/>
        <v>2.6290169292464043</v>
      </c>
      <c r="AF16" s="598" t="s">
        <v>14</v>
      </c>
      <c r="AG16" s="1030">
        <f t="shared" si="1"/>
        <v>2.3908229999999997</v>
      </c>
    </row>
    <row r="17" spans="1:33" ht="12.75" customHeight="1">
      <c r="A17" s="597"/>
      <c r="B17" s="598" t="s">
        <v>64</v>
      </c>
      <c r="C17" s="1020">
        <v>30</v>
      </c>
      <c r="D17" s="1020">
        <v>127</v>
      </c>
      <c r="E17" s="877">
        <v>241</v>
      </c>
      <c r="F17" s="877">
        <v>261</v>
      </c>
      <c r="G17" s="877">
        <v>284</v>
      </c>
      <c r="H17" s="877">
        <v>317.425</v>
      </c>
      <c r="I17" s="877">
        <v>337.812</v>
      </c>
      <c r="J17" s="877">
        <v>383.444</v>
      </c>
      <c r="K17" s="877">
        <v>406.598</v>
      </c>
      <c r="L17" s="877">
        <v>427.678</v>
      </c>
      <c r="M17" s="877">
        <v>450.954</v>
      </c>
      <c r="N17" s="877">
        <v>458.7</v>
      </c>
      <c r="O17" s="877">
        <v>463.9</v>
      </c>
      <c r="P17" s="877">
        <v>407.3</v>
      </c>
      <c r="Q17" s="877">
        <v>400.7</v>
      </c>
      <c r="R17" s="877">
        <v>434</v>
      </c>
      <c r="S17" s="877">
        <v>471.2</v>
      </c>
      <c r="T17" s="877">
        <v>493.78</v>
      </c>
      <c r="U17" s="877">
        <v>554.012</v>
      </c>
      <c r="V17" s="877">
        <v>523.766</v>
      </c>
      <c r="W17" s="877">
        <v>551.83</v>
      </c>
      <c r="X17" s="877">
        <v>545.7</v>
      </c>
      <c r="Y17" s="877">
        <v>552.7</v>
      </c>
      <c r="Z17" s="877">
        <v>574</v>
      </c>
      <c r="AA17" s="877">
        <v>602.1</v>
      </c>
      <c r="AB17" s="877">
        <v>628.5</v>
      </c>
      <c r="AC17" s="877">
        <v>653</v>
      </c>
      <c r="AD17" s="877">
        <v>676.6</v>
      </c>
      <c r="AE17" s="640">
        <f t="shared" si="0"/>
        <v>3.6140888208269644</v>
      </c>
      <c r="AF17" s="598" t="s">
        <v>64</v>
      </c>
      <c r="AG17" s="1030">
        <f t="shared" si="1"/>
        <v>0.6766</v>
      </c>
    </row>
    <row r="18" spans="1:33" ht="12.75" customHeight="1">
      <c r="A18" s="597"/>
      <c r="B18" s="598" t="s">
        <v>15</v>
      </c>
      <c r="C18" s="1020">
        <v>226.893</v>
      </c>
      <c r="D18" s="1020">
        <v>862.609</v>
      </c>
      <c r="E18" s="877">
        <v>1735.523</v>
      </c>
      <c r="F18" s="877">
        <v>1777.484</v>
      </c>
      <c r="G18" s="877">
        <v>1829.1</v>
      </c>
      <c r="H18" s="877">
        <v>1958.544</v>
      </c>
      <c r="I18" s="877">
        <v>2074.081</v>
      </c>
      <c r="J18" s="877">
        <v>2204.761</v>
      </c>
      <c r="K18" s="877">
        <v>2339.421</v>
      </c>
      <c r="L18" s="877">
        <v>2500.099</v>
      </c>
      <c r="M18" s="877">
        <v>2675.676</v>
      </c>
      <c r="N18" s="877">
        <v>2928.881</v>
      </c>
      <c r="O18" s="877">
        <v>3195.065</v>
      </c>
      <c r="P18" s="877">
        <v>3423.704</v>
      </c>
      <c r="Q18" s="1021">
        <v>3646.069</v>
      </c>
      <c r="R18" s="877">
        <v>3839.549</v>
      </c>
      <c r="S18" s="877">
        <v>4073.511</v>
      </c>
      <c r="T18" s="877">
        <v>4303.129</v>
      </c>
      <c r="U18" s="877">
        <v>4543.016</v>
      </c>
      <c r="V18" s="877">
        <v>4798.53</v>
      </c>
      <c r="W18" s="877">
        <v>5023.944</v>
      </c>
      <c r="X18" s="877">
        <v>5131.96</v>
      </c>
      <c r="Y18" s="877">
        <v>5216.873</v>
      </c>
      <c r="Z18" s="877">
        <v>5203.591</v>
      </c>
      <c r="AA18" s="877">
        <v>5167.557</v>
      </c>
      <c r="AB18" s="877">
        <v>5124.208</v>
      </c>
      <c r="AC18" s="877">
        <v>5107.62</v>
      </c>
      <c r="AD18" s="877">
        <v>5160.056</v>
      </c>
      <c r="AE18" s="640">
        <f t="shared" si="0"/>
        <v>1.0266229672528482</v>
      </c>
      <c r="AF18" s="598" t="s">
        <v>15</v>
      </c>
      <c r="AG18" s="1030">
        <f t="shared" si="1"/>
        <v>5.160056</v>
      </c>
    </row>
    <row r="19" spans="1:33" ht="12.75" customHeight="1">
      <c r="A19" s="597"/>
      <c r="B19" s="610" t="s">
        <v>66</v>
      </c>
      <c r="C19" s="1019">
        <v>2378</v>
      </c>
      <c r="D19" s="1019">
        <v>7556.511</v>
      </c>
      <c r="E19" s="872">
        <v>11995.64</v>
      </c>
      <c r="F19" s="872">
        <v>12537.099</v>
      </c>
      <c r="G19" s="872">
        <v>13102.285</v>
      </c>
      <c r="H19" s="872">
        <v>13440.694</v>
      </c>
      <c r="I19" s="872">
        <v>13733.794</v>
      </c>
      <c r="J19" s="872">
        <v>14212.259</v>
      </c>
      <c r="K19" s="872">
        <v>14753.809</v>
      </c>
      <c r="L19" s="872">
        <v>15297.366</v>
      </c>
      <c r="M19" s="872">
        <v>16050.057</v>
      </c>
      <c r="N19" s="872">
        <v>16847.397</v>
      </c>
      <c r="O19" s="872">
        <v>17449.235</v>
      </c>
      <c r="P19" s="872">
        <v>18150.88</v>
      </c>
      <c r="Q19" s="872">
        <v>18732.632</v>
      </c>
      <c r="R19" s="872">
        <v>18688.32</v>
      </c>
      <c r="S19" s="872">
        <v>19541.918</v>
      </c>
      <c r="T19" s="872">
        <v>20250.377</v>
      </c>
      <c r="U19" s="872">
        <v>20908.725</v>
      </c>
      <c r="V19" s="872">
        <v>21760.174</v>
      </c>
      <c r="W19" s="872">
        <v>22145.364</v>
      </c>
      <c r="X19" s="872">
        <v>21983.485</v>
      </c>
      <c r="Y19" s="872">
        <v>22147.455</v>
      </c>
      <c r="Z19" s="872">
        <v>22277</v>
      </c>
      <c r="AA19" s="872">
        <v>22247.528</v>
      </c>
      <c r="AB19" s="872">
        <v>22024.538</v>
      </c>
      <c r="AC19" s="872">
        <v>22029.512</v>
      </c>
      <c r="AD19" s="872">
        <v>22355.549</v>
      </c>
      <c r="AE19" s="632">
        <f t="shared" si="0"/>
        <v>1.4800010095548117</v>
      </c>
      <c r="AF19" s="610" t="s">
        <v>66</v>
      </c>
      <c r="AG19" s="1030">
        <f t="shared" si="1"/>
        <v>22.355549</v>
      </c>
    </row>
    <row r="20" spans="1:33" ht="12.75" customHeight="1">
      <c r="A20" s="597"/>
      <c r="B20" s="598" t="s">
        <v>87</v>
      </c>
      <c r="C20" s="1020">
        <v>712</v>
      </c>
      <c r="D20" s="1020">
        <v>1226</v>
      </c>
      <c r="E20" s="877">
        <v>1938.856</v>
      </c>
      <c r="F20" s="877">
        <v>1923</v>
      </c>
      <c r="G20" s="877">
        <v>1936</v>
      </c>
      <c r="H20" s="877">
        <v>1872.933</v>
      </c>
      <c r="I20" s="877">
        <v>1872.588</v>
      </c>
      <c r="J20" s="877">
        <v>1900.855</v>
      </c>
      <c r="K20" s="877">
        <v>1942.752</v>
      </c>
      <c r="L20" s="877">
        <v>1948.126</v>
      </c>
      <c r="M20" s="877">
        <v>2021.116</v>
      </c>
      <c r="N20" s="877">
        <v>2082.58</v>
      </c>
      <c r="O20" s="877">
        <v>2134.728</v>
      </c>
      <c r="P20" s="877">
        <v>2160.603</v>
      </c>
      <c r="Q20" s="877">
        <v>2194.683</v>
      </c>
      <c r="R20" s="877">
        <v>2274.577</v>
      </c>
      <c r="S20" s="877">
        <v>2346.726</v>
      </c>
      <c r="T20" s="877">
        <v>2430.345</v>
      </c>
      <c r="U20" s="877">
        <v>2505.543</v>
      </c>
      <c r="V20" s="877">
        <v>2570.356</v>
      </c>
      <c r="W20" s="1021">
        <v>2700.492</v>
      </c>
      <c r="X20" s="877">
        <v>2776.664</v>
      </c>
      <c r="Y20" s="877">
        <v>2877.484</v>
      </c>
      <c r="Z20" s="877">
        <v>2978.729</v>
      </c>
      <c r="AA20" s="877">
        <v>3057.484</v>
      </c>
      <c r="AB20" s="877">
        <f>3127.399</f>
        <v>3127.399</v>
      </c>
      <c r="AC20" s="877">
        <v>3194.95</v>
      </c>
      <c r="AD20" s="877">
        <v>3257.581</v>
      </c>
      <c r="AE20" s="640">
        <f t="shared" si="0"/>
        <v>1.9603123679556802</v>
      </c>
      <c r="AF20" s="598" t="s">
        <v>87</v>
      </c>
      <c r="AG20" s="1030">
        <f t="shared" si="1"/>
        <v>3.257581</v>
      </c>
    </row>
    <row r="21" spans="1:33" ht="12.75" customHeight="1">
      <c r="A21" s="597"/>
      <c r="B21" s="598" t="s">
        <v>67</v>
      </c>
      <c r="C21" s="1020">
        <v>11900</v>
      </c>
      <c r="D21" s="1020">
        <v>19130</v>
      </c>
      <c r="E21" s="877">
        <v>23550</v>
      </c>
      <c r="F21" s="877">
        <v>23810</v>
      </c>
      <c r="G21" s="877">
        <v>24020</v>
      </c>
      <c r="H21" s="877">
        <v>24385</v>
      </c>
      <c r="I21" s="877">
        <v>24900</v>
      </c>
      <c r="J21" s="877">
        <v>25100</v>
      </c>
      <c r="K21" s="877">
        <v>25500</v>
      </c>
      <c r="L21" s="877">
        <v>26090</v>
      </c>
      <c r="M21" s="877">
        <v>26810</v>
      </c>
      <c r="N21" s="877">
        <v>27480</v>
      </c>
      <c r="O21" s="877">
        <v>28060</v>
      </c>
      <c r="P21" s="877">
        <v>28700</v>
      </c>
      <c r="Q21" s="877">
        <v>29160</v>
      </c>
      <c r="R21" s="877">
        <v>29560</v>
      </c>
      <c r="S21" s="877">
        <v>29900</v>
      </c>
      <c r="T21" s="877">
        <v>30100</v>
      </c>
      <c r="U21" s="877">
        <v>30400</v>
      </c>
      <c r="V21" s="877">
        <v>30700</v>
      </c>
      <c r="W21" s="877">
        <v>30850</v>
      </c>
      <c r="X21" s="877">
        <v>31050</v>
      </c>
      <c r="Y21" s="877">
        <v>31300</v>
      </c>
      <c r="Z21" s="877">
        <v>31550</v>
      </c>
      <c r="AA21" s="877">
        <v>31600</v>
      </c>
      <c r="AB21" s="877">
        <v>31650</v>
      </c>
      <c r="AC21" s="877">
        <v>31800</v>
      </c>
      <c r="AD21" s="877">
        <v>32000</v>
      </c>
      <c r="AE21" s="640">
        <f t="shared" si="0"/>
        <v>0.628930817610069</v>
      </c>
      <c r="AF21" s="598" t="s">
        <v>67</v>
      </c>
      <c r="AG21" s="1030">
        <f t="shared" si="1"/>
        <v>32</v>
      </c>
    </row>
    <row r="22" spans="1:33" ht="12.75" customHeight="1">
      <c r="A22" s="597"/>
      <c r="B22" s="610" t="s">
        <v>148</v>
      </c>
      <c r="C22" s="1019" t="s">
        <v>99</v>
      </c>
      <c r="D22" s="1019" t="s">
        <v>99</v>
      </c>
      <c r="E22" s="871">
        <v>580</v>
      </c>
      <c r="F22" s="871">
        <v>600</v>
      </c>
      <c r="G22" s="871">
        <v>620</v>
      </c>
      <c r="H22" s="872">
        <v>646.21</v>
      </c>
      <c r="I22" s="872">
        <v>698.391</v>
      </c>
      <c r="J22" s="872">
        <v>710.91</v>
      </c>
      <c r="K22" s="872">
        <v>835.714</v>
      </c>
      <c r="L22" s="872">
        <v>932.278</v>
      </c>
      <c r="M22" s="872">
        <v>1000.052</v>
      </c>
      <c r="N22" s="872">
        <v>1063.546</v>
      </c>
      <c r="O22" s="872">
        <v>1124.825</v>
      </c>
      <c r="P22" s="1022">
        <v>1195.45</v>
      </c>
      <c r="Q22" s="872">
        <v>1244.252</v>
      </c>
      <c r="R22" s="872">
        <v>1293.421</v>
      </c>
      <c r="S22" s="872">
        <v>1337.538</v>
      </c>
      <c r="T22" s="872">
        <v>1384.699</v>
      </c>
      <c r="U22" s="872">
        <v>1435.781</v>
      </c>
      <c r="V22" s="872">
        <v>1491.127</v>
      </c>
      <c r="W22" s="872">
        <v>1535.28</v>
      </c>
      <c r="X22" s="872">
        <v>1532.549</v>
      </c>
      <c r="Y22" s="872">
        <v>1515.449</v>
      </c>
      <c r="Z22" s="872">
        <v>1518.278</v>
      </c>
      <c r="AA22" s="872">
        <v>1445.22</v>
      </c>
      <c r="AB22" s="872">
        <v>1448.299</v>
      </c>
      <c r="AC22" s="872">
        <v>1474.495</v>
      </c>
      <c r="AD22" s="872">
        <v>1499.802</v>
      </c>
      <c r="AE22" s="632">
        <f t="shared" si="0"/>
        <v>1.71631643376206</v>
      </c>
      <c r="AF22" s="610" t="s">
        <v>148</v>
      </c>
      <c r="AG22" s="1030">
        <f t="shared" si="1"/>
        <v>1.4998019999999999</v>
      </c>
    </row>
    <row r="23" spans="1:33" ht="12.75" customHeight="1">
      <c r="A23" s="597"/>
      <c r="B23" s="610" t="s">
        <v>77</v>
      </c>
      <c r="C23" s="1019">
        <v>240</v>
      </c>
      <c r="D23" s="1019">
        <v>1010</v>
      </c>
      <c r="E23" s="872">
        <v>1944</v>
      </c>
      <c r="F23" s="872">
        <v>2020</v>
      </c>
      <c r="G23" s="872">
        <v>2058</v>
      </c>
      <c r="H23" s="1022">
        <v>2093.529</v>
      </c>
      <c r="I23" s="872">
        <v>2178.891</v>
      </c>
      <c r="J23" s="872">
        <v>2244.946</v>
      </c>
      <c r="K23" s="872">
        <v>2265.18</v>
      </c>
      <c r="L23" s="872">
        <v>2297.964</v>
      </c>
      <c r="M23" s="872">
        <v>2218.124</v>
      </c>
      <c r="N23" s="872">
        <v>2255.526</v>
      </c>
      <c r="O23" s="872">
        <v>2364.706</v>
      </c>
      <c r="P23" s="872">
        <v>2482.827</v>
      </c>
      <c r="Q23" s="872">
        <v>2629.526</v>
      </c>
      <c r="R23" s="872">
        <v>2777.219</v>
      </c>
      <c r="S23" s="872">
        <v>2828.433</v>
      </c>
      <c r="T23" s="872">
        <v>2888.735</v>
      </c>
      <c r="U23" s="872">
        <v>2953.737</v>
      </c>
      <c r="V23" s="872">
        <v>3012.165</v>
      </c>
      <c r="W23" s="872">
        <v>3055.427</v>
      </c>
      <c r="X23" s="872">
        <v>3013.719</v>
      </c>
      <c r="Y23" s="969">
        <v>2984.063</v>
      </c>
      <c r="Z23" s="872">
        <v>2967.808</v>
      </c>
      <c r="AA23" s="872">
        <v>2986.028</v>
      </c>
      <c r="AB23" s="872">
        <f>3040.732</f>
        <v>3040.732</v>
      </c>
      <c r="AC23" s="872">
        <v>3107.695</v>
      </c>
      <c r="AD23" s="872">
        <v>3196.856</v>
      </c>
      <c r="AE23" s="632">
        <f t="shared" si="0"/>
        <v>2.8690395936538096</v>
      </c>
      <c r="AF23" s="610" t="s">
        <v>77</v>
      </c>
      <c r="AG23" s="1030">
        <f t="shared" si="1"/>
        <v>3.1968560000000004</v>
      </c>
    </row>
    <row r="24" spans="1:33" s="627" customFormat="1" ht="12.75" customHeight="1">
      <c r="A24" s="619"/>
      <c r="B24" s="610" t="s">
        <v>68</v>
      </c>
      <c r="C24" s="1019">
        <v>393.459</v>
      </c>
      <c r="D24" s="1019">
        <v>738.114</v>
      </c>
      <c r="E24" s="872">
        <f>796.408+4.977</f>
        <v>801.385</v>
      </c>
      <c r="F24" s="872">
        <f>836.583+5.363</f>
        <v>841.946</v>
      </c>
      <c r="G24" s="872">
        <f>858.498+5.711</f>
        <v>864.2090000000001</v>
      </c>
      <c r="H24" s="872">
        <f>891.027+6.144</f>
        <v>897.171</v>
      </c>
      <c r="I24" s="872">
        <f>939.022+6.925</f>
        <v>945.947</v>
      </c>
      <c r="J24" s="872">
        <f>990.384+8.086</f>
        <v>998.47</v>
      </c>
      <c r="K24" s="872">
        <f>1057.383+9.219</f>
        <v>1066.602</v>
      </c>
      <c r="L24" s="872">
        <f>1134.429+10.34</f>
        <v>1144.769</v>
      </c>
      <c r="M24" s="872">
        <f>1196.901+11.249</f>
        <v>1208.15</v>
      </c>
      <c r="N24" s="872">
        <f>1269.245+13.076</f>
        <v>1282.321</v>
      </c>
      <c r="O24" s="872">
        <f>1319.25+13.637</f>
        <v>1332.887</v>
      </c>
      <c r="P24" s="872">
        <f>1384.704+16.547</f>
        <v>1401.251</v>
      </c>
      <c r="Q24" s="872">
        <f>1447.908+18.252</f>
        <v>1466.1599999999999</v>
      </c>
      <c r="R24" s="872">
        <f>1507.106+19.856</f>
        <v>1526.962</v>
      </c>
      <c r="S24" s="872">
        <f>1582.833+20.744</f>
        <v>1603.577</v>
      </c>
      <c r="T24" s="872">
        <f>1662.157+21.888</f>
        <v>1684.0449999999998</v>
      </c>
      <c r="U24" s="872">
        <f>1778.861+23.284</f>
        <v>1802.1450000000002</v>
      </c>
      <c r="V24" s="872">
        <f>1882.901+26.654</f>
        <v>1909.555</v>
      </c>
      <c r="W24" s="872">
        <f>1924.281+29.053</f>
        <v>1953.334</v>
      </c>
      <c r="X24" s="872">
        <f>1902.429+28.284</f>
        <v>1930.7130000000002</v>
      </c>
      <c r="Y24" s="872">
        <f>1872.715+26.68</f>
        <v>1899.395</v>
      </c>
      <c r="Z24" s="872">
        <f>1887.81+25.129</f>
        <v>1912.9389999999999</v>
      </c>
      <c r="AA24" s="872">
        <f>1882.55+24.18</f>
        <v>1906.73</v>
      </c>
      <c r="AB24" s="872">
        <f>1910.165+22.964</f>
        <v>1933.129</v>
      </c>
      <c r="AC24" s="969">
        <f>1943.868+22.373</f>
        <v>1966.241</v>
      </c>
      <c r="AD24" s="890">
        <f>1985.13+21.977</f>
        <v>2007.1070000000002</v>
      </c>
      <c r="AE24" s="632">
        <f t="shared" si="0"/>
        <v>2.078382049809761</v>
      </c>
      <c r="AF24" s="610" t="s">
        <v>68</v>
      </c>
      <c r="AG24" s="1030">
        <f t="shared" si="1"/>
        <v>2.0071070000000004</v>
      </c>
    </row>
    <row r="25" spans="1:33" ht="12.75" customHeight="1">
      <c r="A25" s="597"/>
      <c r="B25" s="598" t="s">
        <v>69</v>
      </c>
      <c r="C25" s="1020">
        <v>10181.192</v>
      </c>
      <c r="D25" s="1020">
        <v>17686.236</v>
      </c>
      <c r="E25" s="877">
        <v>27415.828</v>
      </c>
      <c r="F25" s="877">
        <v>28434.923</v>
      </c>
      <c r="G25" s="877">
        <v>29429.628</v>
      </c>
      <c r="H25" s="877">
        <v>29652.024</v>
      </c>
      <c r="I25" s="877">
        <v>29665.308</v>
      </c>
      <c r="J25" s="877">
        <v>30301.424</v>
      </c>
      <c r="K25" s="877">
        <v>30467.173</v>
      </c>
      <c r="L25" s="877">
        <v>30741.953</v>
      </c>
      <c r="M25" s="877">
        <v>31370.765</v>
      </c>
      <c r="N25" s="877">
        <v>32038.291</v>
      </c>
      <c r="O25" s="877">
        <v>32583.815</v>
      </c>
      <c r="P25" s="877">
        <v>33239.029</v>
      </c>
      <c r="Q25" s="877">
        <v>33706.153</v>
      </c>
      <c r="R25" s="877">
        <v>34310.446</v>
      </c>
      <c r="S25" s="877">
        <v>33973.147</v>
      </c>
      <c r="T25" s="877">
        <v>34667.485</v>
      </c>
      <c r="U25" s="877">
        <v>35297.282</v>
      </c>
      <c r="V25" s="877">
        <v>35680.097</v>
      </c>
      <c r="W25" s="877">
        <v>36105.183</v>
      </c>
      <c r="X25" s="877">
        <v>36372</v>
      </c>
      <c r="Y25" s="877">
        <v>36751.311</v>
      </c>
      <c r="Z25" s="877">
        <v>37113.3</v>
      </c>
      <c r="AA25" s="877">
        <v>37078</v>
      </c>
      <c r="AB25" s="877">
        <v>36962.934</v>
      </c>
      <c r="AC25" s="877">
        <v>37080.753</v>
      </c>
      <c r="AD25" s="877">
        <v>37351.233</v>
      </c>
      <c r="AE25" s="640">
        <f t="shared" si="0"/>
        <v>0.7294350252272466</v>
      </c>
      <c r="AF25" s="598" t="s">
        <v>69</v>
      </c>
      <c r="AG25" s="1030">
        <f t="shared" si="1"/>
        <v>37.351233</v>
      </c>
    </row>
    <row r="26" spans="1:33" s="627" customFormat="1" ht="12.75" customHeight="1">
      <c r="A26" s="619"/>
      <c r="B26" s="610" t="s">
        <v>73</v>
      </c>
      <c r="C26" s="1019">
        <v>43.7</v>
      </c>
      <c r="D26" s="1019">
        <v>247</v>
      </c>
      <c r="E26" s="872">
        <v>493</v>
      </c>
      <c r="F26" s="872">
        <v>531</v>
      </c>
      <c r="G26" s="872">
        <v>565</v>
      </c>
      <c r="H26" s="872">
        <v>597.735</v>
      </c>
      <c r="I26" s="872">
        <v>652.81</v>
      </c>
      <c r="J26" s="872">
        <v>718.469</v>
      </c>
      <c r="K26" s="872">
        <v>785.088</v>
      </c>
      <c r="L26" s="872">
        <v>882.101</v>
      </c>
      <c r="M26" s="872">
        <v>980.91</v>
      </c>
      <c r="N26" s="872">
        <v>1089.334</v>
      </c>
      <c r="O26" s="872">
        <v>1172.394</v>
      </c>
      <c r="P26" s="872">
        <v>1133.477</v>
      </c>
      <c r="Q26" s="872">
        <v>1180.945</v>
      </c>
      <c r="R26" s="872">
        <v>1256.853</v>
      </c>
      <c r="S26" s="872">
        <v>1315.914</v>
      </c>
      <c r="T26" s="872">
        <v>1455.276</v>
      </c>
      <c r="U26" s="872">
        <v>1592.238</v>
      </c>
      <c r="V26" s="872">
        <v>1587.903</v>
      </c>
      <c r="W26" s="872">
        <v>1671.065</v>
      </c>
      <c r="X26" s="872">
        <v>1695.286</v>
      </c>
      <c r="Y26" s="872">
        <v>1691.855</v>
      </c>
      <c r="Z26" s="872">
        <v>1713.3</v>
      </c>
      <c r="AA26" s="872">
        <v>1753.407</v>
      </c>
      <c r="AB26" s="872">
        <f>1808.982</f>
        <v>1808.982</v>
      </c>
      <c r="AC26" s="872">
        <v>1205.668</v>
      </c>
      <c r="AD26" s="872">
        <v>1244.063</v>
      </c>
      <c r="AE26" s="632">
        <f t="shared" si="0"/>
        <v>3.1845416814579437</v>
      </c>
      <c r="AF26" s="610" t="s">
        <v>73</v>
      </c>
      <c r="AG26" s="1030">
        <f t="shared" si="1"/>
        <v>1.2440630000000001</v>
      </c>
    </row>
    <row r="27" spans="1:33" ht="12.75" customHeight="1">
      <c r="A27" s="597"/>
      <c r="B27" s="598" t="s">
        <v>76</v>
      </c>
      <c r="C27" s="1020">
        <v>72</v>
      </c>
      <c r="D27" s="1020">
        <v>128.6</v>
      </c>
      <c r="E27" s="877">
        <v>183.404</v>
      </c>
      <c r="F27" s="877">
        <v>192</v>
      </c>
      <c r="G27" s="877">
        <v>201</v>
      </c>
      <c r="H27" s="877">
        <v>208</v>
      </c>
      <c r="I27" s="877">
        <v>217.754</v>
      </c>
      <c r="J27" s="877">
        <v>229.037</v>
      </c>
      <c r="K27" s="877">
        <v>231.666</v>
      </c>
      <c r="L27" s="1021">
        <v>236.834</v>
      </c>
      <c r="M27" s="877">
        <v>253.406</v>
      </c>
      <c r="N27" s="877">
        <v>263.475</v>
      </c>
      <c r="O27" s="877">
        <v>273.086</v>
      </c>
      <c r="P27" s="877">
        <v>280.709</v>
      </c>
      <c r="Q27" s="877">
        <v>287.245</v>
      </c>
      <c r="R27" s="877">
        <v>293.398</v>
      </c>
      <c r="S27" s="877">
        <v>299.759</v>
      </c>
      <c r="T27" s="877">
        <f>211.567+92.927+2.771</f>
        <v>307.26500000000004</v>
      </c>
      <c r="U27" s="877">
        <f>208.15+104.392+2.162</f>
        <v>314.704</v>
      </c>
      <c r="V27" s="877">
        <f>204.895+114.963+1.662</f>
        <v>321.52</v>
      </c>
      <c r="W27" s="877">
        <f>200.038+127.697+1.303</f>
        <v>329.038</v>
      </c>
      <c r="X27" s="877">
        <f>191.197+139.28+1.026</f>
        <v>331.503</v>
      </c>
      <c r="Y27" s="995">
        <f>184.633+151.812+0.794</f>
        <v>337.23900000000003</v>
      </c>
      <c r="Z27" s="877">
        <f>207.642+137.309+0.624</f>
        <v>345.57500000000005</v>
      </c>
      <c r="AA27" s="995">
        <f>207.902+147.456+0.492</f>
        <v>355.84999999999997</v>
      </c>
      <c r="AB27" s="877">
        <f>205.132+157.747+0.368</f>
        <v>363.247</v>
      </c>
      <c r="AC27" s="877">
        <f>0.289+168.612+203.926</f>
        <v>372.827</v>
      </c>
      <c r="AD27" s="877">
        <f>202.766+178.094+0.243</f>
        <v>381.103</v>
      </c>
      <c r="AE27" s="640">
        <f t="shared" si="0"/>
        <v>2.2197963130352605</v>
      </c>
      <c r="AF27" s="598" t="s">
        <v>76</v>
      </c>
      <c r="AG27" s="1030">
        <f t="shared" si="1"/>
        <v>0.381103</v>
      </c>
    </row>
    <row r="28" spans="1:33" s="627" customFormat="1" ht="12.75" customHeight="1">
      <c r="A28" s="619"/>
      <c r="B28" s="598" t="s">
        <v>72</v>
      </c>
      <c r="C28" s="1020">
        <v>40</v>
      </c>
      <c r="D28" s="1020">
        <v>166</v>
      </c>
      <c r="E28" s="877">
        <v>283</v>
      </c>
      <c r="F28" s="877">
        <v>329</v>
      </c>
      <c r="G28" s="877">
        <v>350</v>
      </c>
      <c r="H28" s="877">
        <v>367.475</v>
      </c>
      <c r="I28" s="877">
        <v>251.593</v>
      </c>
      <c r="J28" s="877">
        <v>332</v>
      </c>
      <c r="K28" s="877">
        <v>379.895</v>
      </c>
      <c r="L28" s="877">
        <v>431.816</v>
      </c>
      <c r="M28" s="877">
        <v>482.67</v>
      </c>
      <c r="N28" s="877">
        <v>525.572</v>
      </c>
      <c r="O28" s="877">
        <v>556.8</v>
      </c>
      <c r="P28" s="877">
        <v>586.2</v>
      </c>
      <c r="Q28" s="877">
        <v>619.1</v>
      </c>
      <c r="R28" s="877">
        <v>648.9</v>
      </c>
      <c r="S28" s="877">
        <v>686.128</v>
      </c>
      <c r="T28" s="877">
        <v>742.447</v>
      </c>
      <c r="U28" s="877">
        <v>822.011</v>
      </c>
      <c r="V28" s="877">
        <v>904.869</v>
      </c>
      <c r="W28" s="877">
        <v>932.828</v>
      </c>
      <c r="X28" s="877">
        <v>904.308</v>
      </c>
      <c r="Y28" s="877">
        <v>636.664</v>
      </c>
      <c r="Z28" s="877">
        <v>612.32</v>
      </c>
      <c r="AA28" s="877">
        <v>618.274</v>
      </c>
      <c r="AB28" s="877">
        <v>634.603</v>
      </c>
      <c r="AC28" s="877">
        <v>657.799</v>
      </c>
      <c r="AD28" s="877">
        <v>679.048</v>
      </c>
      <c r="AE28" s="640">
        <f t="shared" si="0"/>
        <v>3.2303180758864016</v>
      </c>
      <c r="AF28" s="598" t="s">
        <v>72</v>
      </c>
      <c r="AG28" s="1030">
        <f t="shared" si="1"/>
        <v>0.679048</v>
      </c>
    </row>
    <row r="29" spans="1:33" ht="12.75" customHeight="1">
      <c r="A29" s="597"/>
      <c r="B29" s="598" t="s">
        <v>78</v>
      </c>
      <c r="C29" s="1020" t="s">
        <v>99</v>
      </c>
      <c r="D29" s="1020" t="s">
        <v>99</v>
      </c>
      <c r="E29" s="876">
        <v>120</v>
      </c>
      <c r="F29" s="877">
        <v>122</v>
      </c>
      <c r="G29" s="877">
        <v>125</v>
      </c>
      <c r="H29" s="877">
        <v>152.613</v>
      </c>
      <c r="I29" s="877">
        <v>170.635</v>
      </c>
      <c r="J29" s="877">
        <v>180.851</v>
      </c>
      <c r="K29" s="877">
        <v>182</v>
      </c>
      <c r="L29" s="877">
        <f>177.651+6.123</f>
        <v>183.774</v>
      </c>
      <c r="M29" s="877">
        <f>0.863+169.542+4.136+0.245</f>
        <v>174.786</v>
      </c>
      <c r="N29" s="877">
        <f>0.966+176.264+4.777+0.245</f>
        <v>182.252</v>
      </c>
      <c r="O29" s="877">
        <f>1.034+182.105+5.738+0.246</f>
        <v>189.123</v>
      </c>
      <c r="P29" s="1021">
        <f>1.116+188.495+5.521+0.247</f>
        <v>195.37900000000002</v>
      </c>
      <c r="Q29" s="877">
        <f>1.165+195.055+5.454+0.247</f>
        <v>201.92100000000002</v>
      </c>
      <c r="R29" s="877">
        <f>1.194+201.924+5.447+0.247</f>
        <v>208.812</v>
      </c>
      <c r="S29" s="877">
        <f>1.19+204.702+5.245+0.246</f>
        <v>211.383</v>
      </c>
      <c r="T29" s="877">
        <f>1.133+206.148+5.034+0.246</f>
        <v>212.561</v>
      </c>
      <c r="U29" s="877">
        <f>1.123+211.84+4.943+0.247</f>
        <v>218.15300000000002</v>
      </c>
      <c r="V29" s="877">
        <v>224.896</v>
      </c>
      <c r="W29" s="877">
        <v>229.38899999999998</v>
      </c>
      <c r="X29" s="877">
        <v>233.48600000000002</v>
      </c>
      <c r="Y29" s="877">
        <v>240.95999999999998</v>
      </c>
      <c r="Z29" s="877">
        <v>247.37499999999997</v>
      </c>
      <c r="AA29" s="877">
        <f>235.315+7.244+0.291+3.277+3.029+0.879</f>
        <v>250.03499999999997</v>
      </c>
      <c r="AB29" s="877">
        <f>241.5+7.228+0.292+4.119+2.551+0.908</f>
        <v>256.598</v>
      </c>
      <c r="AC29" s="877">
        <f>250.533+7.457+0.293+4.968+2.293+0.974</f>
        <v>266.51800000000003</v>
      </c>
      <c r="AD29" s="877">
        <f>258.521+7.743+0.291+5.794+1.974+1.057</f>
        <v>275.38</v>
      </c>
      <c r="AE29" s="640">
        <f t="shared" si="0"/>
        <v>3.325103745338012</v>
      </c>
      <c r="AF29" s="598" t="s">
        <v>78</v>
      </c>
      <c r="AG29" s="1030">
        <f t="shared" si="1"/>
        <v>0.27538</v>
      </c>
    </row>
    <row r="30" spans="1:33" s="627" customFormat="1" ht="12.75" customHeight="1">
      <c r="A30" s="619"/>
      <c r="B30" s="610" t="s">
        <v>16</v>
      </c>
      <c r="C30" s="1019">
        <v>2564</v>
      </c>
      <c r="D30" s="1019">
        <v>4550</v>
      </c>
      <c r="E30" s="872">
        <v>5509.173</v>
      </c>
      <c r="F30" s="872">
        <v>5554</v>
      </c>
      <c r="G30" s="872">
        <v>5658</v>
      </c>
      <c r="H30" s="872">
        <v>5755</v>
      </c>
      <c r="I30" s="872">
        <v>5884</v>
      </c>
      <c r="J30" s="872">
        <v>5633</v>
      </c>
      <c r="K30" s="872">
        <v>5740</v>
      </c>
      <c r="L30" s="872">
        <v>5931.387</v>
      </c>
      <c r="M30" s="872">
        <v>6119.581</v>
      </c>
      <c r="N30" s="872">
        <v>6343.195</v>
      </c>
      <c r="O30" s="872">
        <v>6539.212</v>
      </c>
      <c r="P30" s="872">
        <v>6710.602</v>
      </c>
      <c r="Q30" s="872">
        <v>6854.743</v>
      </c>
      <c r="R30" s="872">
        <v>6908.473</v>
      </c>
      <c r="S30" s="872">
        <v>6991.991</v>
      </c>
      <c r="T30" s="872">
        <v>7092.293</v>
      </c>
      <c r="U30" s="872">
        <v>7230.178</v>
      </c>
      <c r="V30" s="872">
        <v>7391.903</v>
      </c>
      <c r="W30" s="872">
        <v>7542.331</v>
      </c>
      <c r="X30" s="872">
        <v>7622</v>
      </c>
      <c r="Y30" s="872">
        <v>7736</v>
      </c>
      <c r="Z30" s="872">
        <v>7859</v>
      </c>
      <c r="AA30" s="872">
        <v>7915.613</v>
      </c>
      <c r="AB30" s="872">
        <f>7932.29</f>
        <v>7932.29</v>
      </c>
      <c r="AC30" s="872">
        <v>7979.083</v>
      </c>
      <c r="AD30" s="872">
        <v>8100.864</v>
      </c>
      <c r="AE30" s="632">
        <f t="shared" si="0"/>
        <v>1.526253079457888</v>
      </c>
      <c r="AF30" s="610" t="s">
        <v>16</v>
      </c>
      <c r="AG30" s="1030">
        <f t="shared" si="1"/>
        <v>8.100864</v>
      </c>
    </row>
    <row r="31" spans="1:33" ht="12.75" customHeight="1">
      <c r="A31" s="597"/>
      <c r="B31" s="610" t="s">
        <v>80</v>
      </c>
      <c r="C31" s="1019">
        <v>479</v>
      </c>
      <c r="D31" s="1019">
        <v>2380</v>
      </c>
      <c r="E31" s="872">
        <v>5261</v>
      </c>
      <c r="F31" s="872">
        <v>6110</v>
      </c>
      <c r="G31" s="872">
        <v>6505</v>
      </c>
      <c r="H31" s="872">
        <v>6770.557</v>
      </c>
      <c r="I31" s="872">
        <v>7153.141</v>
      </c>
      <c r="J31" s="872">
        <v>7517.266</v>
      </c>
      <c r="K31" s="872">
        <v>8054.448</v>
      </c>
      <c r="L31" s="872">
        <v>8533.449</v>
      </c>
      <c r="M31" s="872">
        <v>8890.763</v>
      </c>
      <c r="N31" s="872">
        <v>9282.9</v>
      </c>
      <c r="O31" s="872">
        <v>9991.3</v>
      </c>
      <c r="P31" s="872">
        <v>10503.1</v>
      </c>
      <c r="Q31" s="872">
        <v>11028.9</v>
      </c>
      <c r="R31" s="872">
        <v>11243.8</v>
      </c>
      <c r="S31" s="872">
        <v>11975.191</v>
      </c>
      <c r="T31" s="872">
        <v>12339.353</v>
      </c>
      <c r="U31" s="872">
        <v>13384.229</v>
      </c>
      <c r="V31" s="872">
        <v>14588.739</v>
      </c>
      <c r="W31" s="872">
        <v>16079.533</v>
      </c>
      <c r="X31" s="872">
        <v>16495</v>
      </c>
      <c r="Y31" s="872">
        <v>17239.8</v>
      </c>
      <c r="Z31" s="872">
        <v>18125</v>
      </c>
      <c r="AA31" s="872">
        <v>18744</v>
      </c>
      <c r="AB31" s="872">
        <v>19389.446</v>
      </c>
      <c r="AC31" s="872">
        <v>20003.863</v>
      </c>
      <c r="AD31" s="890">
        <v>20723</v>
      </c>
      <c r="AE31" s="632">
        <f t="shared" si="0"/>
        <v>3.5949906275602785</v>
      </c>
      <c r="AF31" s="610" t="s">
        <v>80</v>
      </c>
      <c r="AG31" s="1030">
        <f t="shared" si="1"/>
        <v>20.723</v>
      </c>
    </row>
    <row r="32" spans="1:33" s="627" customFormat="1" ht="12.75" customHeight="1">
      <c r="A32" s="619"/>
      <c r="B32" s="598" t="s">
        <v>92</v>
      </c>
      <c r="C32" s="1020">
        <v>421</v>
      </c>
      <c r="D32" s="1020">
        <v>1269</v>
      </c>
      <c r="E32" s="877">
        <v>1849</v>
      </c>
      <c r="F32" s="876">
        <v>1950</v>
      </c>
      <c r="G32" s="876">
        <v>2100</v>
      </c>
      <c r="H32" s="876">
        <v>2250</v>
      </c>
      <c r="I32" s="876">
        <v>2410</v>
      </c>
      <c r="J32" s="877">
        <v>2560</v>
      </c>
      <c r="K32" s="877">
        <v>2750</v>
      </c>
      <c r="L32" s="877">
        <v>2950</v>
      </c>
      <c r="M32" s="877">
        <v>3150</v>
      </c>
      <c r="N32" s="877">
        <v>3350</v>
      </c>
      <c r="O32" s="877">
        <v>3443</v>
      </c>
      <c r="P32" s="877">
        <v>3589</v>
      </c>
      <c r="Q32" s="877">
        <v>3885</v>
      </c>
      <c r="R32" s="877">
        <v>3966</v>
      </c>
      <c r="S32" s="877">
        <v>4100</v>
      </c>
      <c r="T32" s="877">
        <v>4200</v>
      </c>
      <c r="U32" s="1021">
        <v>4290</v>
      </c>
      <c r="V32" s="877">
        <v>4379</v>
      </c>
      <c r="W32" s="877">
        <v>4408</v>
      </c>
      <c r="X32" s="877">
        <v>4457</v>
      </c>
      <c r="Y32" s="877">
        <v>4480</v>
      </c>
      <c r="Z32" s="877">
        <v>4522</v>
      </c>
      <c r="AA32" s="877">
        <v>4497</v>
      </c>
      <c r="AB32" s="877">
        <v>4480</v>
      </c>
      <c r="AC32" s="877">
        <v>4496</v>
      </c>
      <c r="AD32" s="887">
        <v>4538</v>
      </c>
      <c r="AE32" s="640">
        <f t="shared" si="0"/>
        <v>0.9341637010676322</v>
      </c>
      <c r="AF32" s="598" t="s">
        <v>92</v>
      </c>
      <c r="AG32" s="1030">
        <f t="shared" si="1"/>
        <v>4.538</v>
      </c>
    </row>
    <row r="33" spans="1:33" s="577" customFormat="1" ht="12.75" customHeight="1">
      <c r="A33" s="597"/>
      <c r="B33" s="610" t="s">
        <v>102</v>
      </c>
      <c r="C33" s="1019">
        <v>40</v>
      </c>
      <c r="D33" s="1019">
        <v>240</v>
      </c>
      <c r="E33" s="872">
        <v>1292.283</v>
      </c>
      <c r="F33" s="872">
        <v>1431.566</v>
      </c>
      <c r="G33" s="872">
        <v>1593.029</v>
      </c>
      <c r="H33" s="872">
        <v>1793.054</v>
      </c>
      <c r="I33" s="872">
        <v>2020.017</v>
      </c>
      <c r="J33" s="872">
        <v>2197.477</v>
      </c>
      <c r="K33" s="872">
        <v>2326.177</v>
      </c>
      <c r="L33" s="872">
        <v>2447.087</v>
      </c>
      <c r="M33" s="872">
        <v>2594.571</v>
      </c>
      <c r="N33" s="872">
        <v>2702.021</v>
      </c>
      <c r="O33" s="872">
        <v>2777.594</v>
      </c>
      <c r="P33" s="872">
        <v>2881.191</v>
      </c>
      <c r="Q33" s="872">
        <v>2973.39</v>
      </c>
      <c r="R33" s="872">
        <v>3087.628</v>
      </c>
      <c r="S33" s="872">
        <v>3225.367</v>
      </c>
      <c r="T33" s="872">
        <v>3363.779</v>
      </c>
      <c r="U33" s="872">
        <v>3603.437</v>
      </c>
      <c r="V33" s="872">
        <v>3541.262</v>
      </c>
      <c r="W33" s="872">
        <v>4027.363</v>
      </c>
      <c r="X33" s="872">
        <v>4244.9</v>
      </c>
      <c r="Y33" s="872">
        <v>4319.701</v>
      </c>
      <c r="Z33" s="872">
        <v>4334.547</v>
      </c>
      <c r="AA33" s="872">
        <v>4487.251</v>
      </c>
      <c r="AB33" s="872">
        <v>4695.66</v>
      </c>
      <c r="AC33" s="872">
        <v>4907.564</v>
      </c>
      <c r="AD33" s="872">
        <v>5155.059</v>
      </c>
      <c r="AE33" s="632">
        <f t="shared" si="0"/>
        <v>5.04313341608993</v>
      </c>
      <c r="AF33" s="610" t="s">
        <v>102</v>
      </c>
      <c r="AG33" s="1030">
        <f t="shared" si="1"/>
        <v>5.1550590000000005</v>
      </c>
    </row>
    <row r="34" spans="1:33" s="627" customFormat="1" ht="12.75" customHeight="1">
      <c r="A34" s="619"/>
      <c r="B34" s="610" t="s">
        <v>88</v>
      </c>
      <c r="C34" s="1019">
        <v>2288</v>
      </c>
      <c r="D34" s="1019">
        <v>2883</v>
      </c>
      <c r="E34" s="872">
        <v>3601</v>
      </c>
      <c r="F34" s="872">
        <v>3619</v>
      </c>
      <c r="G34" s="872">
        <v>3589</v>
      </c>
      <c r="H34" s="872">
        <v>3566.1</v>
      </c>
      <c r="I34" s="872">
        <v>3594.2</v>
      </c>
      <c r="J34" s="872">
        <v>3630.76</v>
      </c>
      <c r="K34" s="872">
        <v>3654.92</v>
      </c>
      <c r="L34" s="872">
        <v>3701.17</v>
      </c>
      <c r="M34" s="872">
        <v>3790.695</v>
      </c>
      <c r="N34" s="872">
        <v>3890.159</v>
      </c>
      <c r="O34" s="872">
        <v>3998.614</v>
      </c>
      <c r="P34" s="872">
        <v>4018.533</v>
      </c>
      <c r="Q34" s="872">
        <v>4042.792</v>
      </c>
      <c r="R34" s="1022">
        <v>4075.414</v>
      </c>
      <c r="S34" s="872">
        <v>4113.424</v>
      </c>
      <c r="T34" s="872">
        <v>4153.674</v>
      </c>
      <c r="U34" s="872">
        <v>4202.463</v>
      </c>
      <c r="V34" s="872">
        <v>4258.463</v>
      </c>
      <c r="W34" s="872">
        <v>4278.995</v>
      </c>
      <c r="X34" s="872">
        <v>4300.752</v>
      </c>
      <c r="Y34" s="872">
        <v>4335.182</v>
      </c>
      <c r="Z34" s="872">
        <v>4401.352</v>
      </c>
      <c r="AA34" s="872">
        <v>4447.165</v>
      </c>
      <c r="AB34" s="872">
        <v>4495.473</v>
      </c>
      <c r="AC34" s="872">
        <v>4585.519</v>
      </c>
      <c r="AD34" s="872">
        <v>4669.063</v>
      </c>
      <c r="AE34" s="632">
        <f t="shared" si="0"/>
        <v>1.8219093629314216</v>
      </c>
      <c r="AF34" s="610" t="s">
        <v>88</v>
      </c>
      <c r="AG34" s="1030">
        <f t="shared" si="1"/>
        <v>4.669063</v>
      </c>
    </row>
    <row r="35" spans="1:33" ht="12.75" customHeight="1">
      <c r="A35" s="597"/>
      <c r="B35" s="598" t="s">
        <v>83</v>
      </c>
      <c r="C35" s="1020">
        <v>150.807</v>
      </c>
      <c r="D35" s="1020">
        <v>416.448</v>
      </c>
      <c r="E35" s="877">
        <v>587.104</v>
      </c>
      <c r="F35" s="877">
        <v>602.884</v>
      </c>
      <c r="G35" s="877">
        <v>606.245</v>
      </c>
      <c r="H35" s="877">
        <v>650.344</v>
      </c>
      <c r="I35" s="877">
        <v>668.307</v>
      </c>
      <c r="J35" s="877">
        <v>711.364</v>
      </c>
      <c r="K35" s="877">
        <v>743.057</v>
      </c>
      <c r="L35" s="877">
        <v>776.798</v>
      </c>
      <c r="M35" s="877">
        <v>811.671</v>
      </c>
      <c r="N35" s="877">
        <v>846.109</v>
      </c>
      <c r="O35" s="877">
        <v>866.096</v>
      </c>
      <c r="P35" s="877">
        <v>881.487</v>
      </c>
      <c r="Q35" s="877">
        <v>894.521</v>
      </c>
      <c r="R35" s="877">
        <v>910.429</v>
      </c>
      <c r="S35" s="877">
        <v>933.941</v>
      </c>
      <c r="T35" s="877">
        <v>960.213</v>
      </c>
      <c r="U35" s="877">
        <v>980.261</v>
      </c>
      <c r="V35" s="877">
        <v>1014.122</v>
      </c>
      <c r="W35" s="877">
        <v>1045.183</v>
      </c>
      <c r="X35" s="877">
        <v>1058.858</v>
      </c>
      <c r="Y35" s="877">
        <v>1061.646</v>
      </c>
      <c r="Z35" s="877">
        <v>1066.49</v>
      </c>
      <c r="AA35" s="877">
        <v>1066.028</v>
      </c>
      <c r="AB35" s="877">
        <f>1063.795</f>
        <v>1063.795</v>
      </c>
      <c r="AC35" s="877">
        <v>1068.362</v>
      </c>
      <c r="AD35" s="887">
        <v>1078.74</v>
      </c>
      <c r="AE35" s="640">
        <f t="shared" si="0"/>
        <v>0.9713935913108003</v>
      </c>
      <c r="AF35" s="598" t="s">
        <v>83</v>
      </c>
      <c r="AG35" s="1030">
        <f t="shared" si="1"/>
        <v>1.07874</v>
      </c>
    </row>
    <row r="36" spans="1:33" s="627" customFormat="1" ht="12.75" customHeight="1">
      <c r="A36" s="619"/>
      <c r="B36" s="610" t="s">
        <v>85</v>
      </c>
      <c r="C36" s="1019">
        <v>164</v>
      </c>
      <c r="D36" s="1019">
        <v>552</v>
      </c>
      <c r="E36" s="872">
        <v>880</v>
      </c>
      <c r="F36" s="872">
        <v>929</v>
      </c>
      <c r="G36" s="872">
        <v>971</v>
      </c>
      <c r="H36" s="872">
        <v>994.933</v>
      </c>
      <c r="I36" s="872">
        <v>994.046</v>
      </c>
      <c r="J36" s="872">
        <v>1015.794</v>
      </c>
      <c r="K36" s="872">
        <v>1058.425</v>
      </c>
      <c r="L36" s="872">
        <v>1135.914</v>
      </c>
      <c r="M36" s="872">
        <v>1196.109</v>
      </c>
      <c r="N36" s="872">
        <v>1236.4</v>
      </c>
      <c r="O36" s="872">
        <v>1274.2</v>
      </c>
      <c r="P36" s="872">
        <v>1292.8</v>
      </c>
      <c r="Q36" s="872">
        <v>1326.9</v>
      </c>
      <c r="R36" s="872">
        <v>1356.2</v>
      </c>
      <c r="S36" s="872">
        <v>1197.03</v>
      </c>
      <c r="T36" s="872">
        <v>1303.704</v>
      </c>
      <c r="U36" s="872">
        <v>1333.749</v>
      </c>
      <c r="V36" s="872">
        <v>1433.926</v>
      </c>
      <c r="W36" s="872">
        <v>1544.888</v>
      </c>
      <c r="X36" s="1023">
        <v>1589.044</v>
      </c>
      <c r="Y36" s="1023">
        <v>1669.065</v>
      </c>
      <c r="Z36" s="1023">
        <v>1749.3</v>
      </c>
      <c r="AA36" s="1023">
        <v>1824.19</v>
      </c>
      <c r="AB36" s="1023">
        <f>1879.759</f>
        <v>1879.759</v>
      </c>
      <c r="AC36" s="1023">
        <v>1949.055</v>
      </c>
      <c r="AD36" s="1026">
        <v>2034.574</v>
      </c>
      <c r="AE36" s="1024">
        <f t="shared" si="0"/>
        <v>4.387716098314314</v>
      </c>
      <c r="AF36" s="610" t="s">
        <v>85</v>
      </c>
      <c r="AG36" s="1030">
        <f t="shared" si="1"/>
        <v>2.034574</v>
      </c>
    </row>
    <row r="37" spans="1:33" ht="12.75" customHeight="1">
      <c r="A37" s="597"/>
      <c r="B37" s="604" t="s">
        <v>13</v>
      </c>
      <c r="C37" s="1025">
        <v>11900</v>
      </c>
      <c r="D37" s="1025">
        <v>15619</v>
      </c>
      <c r="E37" s="868">
        <v>20722</v>
      </c>
      <c r="F37" s="868">
        <v>20760</v>
      </c>
      <c r="G37" s="868">
        <v>20970</v>
      </c>
      <c r="H37" s="868">
        <v>21290.696</v>
      </c>
      <c r="I37" s="868">
        <v>21740.709</v>
      </c>
      <c r="J37" s="868">
        <v>21950.81</v>
      </c>
      <c r="K37" s="868">
        <v>22818.718</v>
      </c>
      <c r="L37" s="868">
        <v>23450</v>
      </c>
      <c r="M37" s="868">
        <f>23293+36+592.836+0.393</f>
        <v>23922.229</v>
      </c>
      <c r="N37" s="868">
        <f>23975+37+615.567+0.375</f>
        <v>24627.942</v>
      </c>
      <c r="O37" s="868">
        <f>24406+38+622.488+0.376</f>
        <v>25066.864</v>
      </c>
      <c r="P37" s="868">
        <f>25126+39+650.323+0.379</f>
        <v>25815.702</v>
      </c>
      <c r="Q37" s="868">
        <f>25782+39+671.18+0.413</f>
        <v>26492.593</v>
      </c>
      <c r="R37" s="868">
        <f>26240+39+712.835+0.513</f>
        <v>26992.347999999998</v>
      </c>
      <c r="S37" s="868">
        <f>27028+41+736.706+0.538</f>
        <v>27806.244</v>
      </c>
      <c r="T37" s="868">
        <f>27520+42+763.664+0.633</f>
        <v>28326.297000000002</v>
      </c>
      <c r="U37" s="868">
        <f>27609.2+43+793.763+0.698</f>
        <v>28446.661</v>
      </c>
      <c r="V37" s="868">
        <v>28873.319</v>
      </c>
      <c r="W37" s="868">
        <v>29049.914</v>
      </c>
      <c r="X37" s="868">
        <v>29152.304000000004</v>
      </c>
      <c r="Y37" s="868">
        <v>29333.576</v>
      </c>
      <c r="Z37" s="868">
        <v>29382.213999999996</v>
      </c>
      <c r="AA37" s="868">
        <v>29644.178</v>
      </c>
      <c r="AB37" s="868">
        <f>29140.9+43.473+890.484+0.579</f>
        <v>30075.436000000005</v>
      </c>
      <c r="AC37" s="868">
        <f>29611.5+901.779+0.556+43.322</f>
        <v>30557.157</v>
      </c>
      <c r="AD37" s="867">
        <f>31170.701+0.55+42.797</f>
        <v>31214.048</v>
      </c>
      <c r="AE37" s="667">
        <f t="shared" si="0"/>
        <v>2.149712422526747</v>
      </c>
      <c r="AF37" s="604" t="s">
        <v>13</v>
      </c>
      <c r="AG37" s="1030">
        <f t="shared" si="1"/>
        <v>31.214048</v>
      </c>
    </row>
    <row r="38" spans="1:32" ht="12.75" customHeight="1">
      <c r="A38" s="597"/>
      <c r="B38" s="610" t="s">
        <v>289</v>
      </c>
      <c r="C38" s="1019"/>
      <c r="D38" s="1019"/>
      <c r="E38" s="872"/>
      <c r="F38" s="872"/>
      <c r="G38" s="872"/>
      <c r="H38" s="872">
        <v>56.728</v>
      </c>
      <c r="I38" s="872">
        <v>67.96</v>
      </c>
      <c r="J38" s="872">
        <v>58.682</v>
      </c>
      <c r="K38" s="872">
        <v>67.278</v>
      </c>
      <c r="L38" s="872">
        <v>76.822</v>
      </c>
      <c r="M38" s="872">
        <v>90.766</v>
      </c>
      <c r="N38" s="872">
        <v>92.252</v>
      </c>
      <c r="O38" s="872">
        <v>114.532</v>
      </c>
      <c r="P38" s="872">
        <v>133.533</v>
      </c>
      <c r="Q38" s="872">
        <v>148.531</v>
      </c>
      <c r="R38" s="872">
        <v>174.782</v>
      </c>
      <c r="S38" s="872">
        <v>190.004</v>
      </c>
      <c r="T38" s="872">
        <v>195.125</v>
      </c>
      <c r="U38" s="872">
        <v>225.114</v>
      </c>
      <c r="V38" s="872">
        <v>237.932</v>
      </c>
      <c r="W38" s="872">
        <v>264.828</v>
      </c>
      <c r="X38" s="892">
        <v>281.236</v>
      </c>
      <c r="Y38" s="872">
        <v>294.729</v>
      </c>
      <c r="Z38" s="872">
        <v>300.974</v>
      </c>
      <c r="AA38" s="872">
        <v>297.341</v>
      </c>
      <c r="AB38" s="872">
        <v>341.691</v>
      </c>
      <c r="AC38" s="872">
        <v>378.053</v>
      </c>
      <c r="AD38" s="1026">
        <v>403.68</v>
      </c>
      <c r="AE38" s="648">
        <f t="shared" si="0"/>
        <v>6.778679179903364</v>
      </c>
      <c r="AF38" s="610" t="s">
        <v>289</v>
      </c>
    </row>
    <row r="39" spans="1:32" ht="12.75" customHeight="1">
      <c r="A39" s="597"/>
      <c r="B39" s="598" t="s">
        <v>235</v>
      </c>
      <c r="C39" s="1020"/>
      <c r="D39" s="1020"/>
      <c r="E39" s="877"/>
      <c r="F39" s="877"/>
      <c r="G39" s="877"/>
      <c r="H39" s="877"/>
      <c r="I39" s="877"/>
      <c r="J39" s="877"/>
      <c r="K39" s="877"/>
      <c r="L39" s="877"/>
      <c r="M39" s="877"/>
      <c r="N39" s="877"/>
      <c r="O39" s="877"/>
      <c r="P39" s="877"/>
      <c r="Q39" s="877"/>
      <c r="R39" s="877"/>
      <c r="S39" s="877"/>
      <c r="T39" s="877"/>
      <c r="U39" s="877"/>
      <c r="V39" s="877"/>
      <c r="W39" s="877"/>
      <c r="X39" s="877"/>
      <c r="Y39" s="877">
        <v>164.653</v>
      </c>
      <c r="Z39" s="877">
        <v>171.973</v>
      </c>
      <c r="AA39" s="877">
        <v>173.865</v>
      </c>
      <c r="AB39" s="877">
        <v>178.662</v>
      </c>
      <c r="AC39" s="877">
        <v>174.073</v>
      </c>
      <c r="AD39" s="887">
        <v>175.912</v>
      </c>
      <c r="AE39" s="706">
        <f t="shared" si="0"/>
        <v>1.0564533270524379</v>
      </c>
      <c r="AF39" s="598" t="s">
        <v>235</v>
      </c>
    </row>
    <row r="40" spans="1:32" ht="12.75" customHeight="1">
      <c r="A40" s="597"/>
      <c r="B40" s="610" t="s">
        <v>149</v>
      </c>
      <c r="C40" s="1019"/>
      <c r="D40" s="1019"/>
      <c r="E40" s="872"/>
      <c r="F40" s="872"/>
      <c r="G40" s="872"/>
      <c r="H40" s="872">
        <v>289.979</v>
      </c>
      <c r="I40" s="872">
        <v>263.181</v>
      </c>
      <c r="J40" s="872">
        <v>285.907</v>
      </c>
      <c r="K40" s="872">
        <v>284.022</v>
      </c>
      <c r="L40" s="872">
        <v>289.204</v>
      </c>
      <c r="M40" s="872">
        <v>288.678</v>
      </c>
      <c r="N40" s="872">
        <v>290</v>
      </c>
      <c r="O40" s="872">
        <v>300</v>
      </c>
      <c r="P40" s="872">
        <v>310</v>
      </c>
      <c r="Q40" s="872">
        <v>308</v>
      </c>
      <c r="R40" s="1022">
        <v>299.809</v>
      </c>
      <c r="S40" s="872">
        <v>249.403</v>
      </c>
      <c r="T40" s="872">
        <v>253.234</v>
      </c>
      <c r="U40" s="872">
        <v>242.287</v>
      </c>
      <c r="V40" s="872">
        <f>248.774</f>
        <v>248.774</v>
      </c>
      <c r="W40" s="872">
        <f>263.112</f>
        <v>263.112</v>
      </c>
      <c r="X40" s="872">
        <f>282.196</f>
        <v>282.196</v>
      </c>
      <c r="Y40" s="872">
        <v>310.231</v>
      </c>
      <c r="Z40" s="872">
        <v>313.08</v>
      </c>
      <c r="AA40" s="872">
        <v>301.761</v>
      </c>
      <c r="AB40" s="872">
        <v>346.798</v>
      </c>
      <c r="AC40" s="872">
        <v>371.449</v>
      </c>
      <c r="AD40" s="890">
        <v>383.833</v>
      </c>
      <c r="AE40" s="648">
        <f t="shared" si="0"/>
        <v>3.3339704777775694</v>
      </c>
      <c r="AF40" s="610" t="s">
        <v>149</v>
      </c>
    </row>
    <row r="41" spans="1:32" ht="12.75" customHeight="1">
      <c r="A41" s="597"/>
      <c r="B41" s="598" t="s">
        <v>236</v>
      </c>
      <c r="C41" s="1020"/>
      <c r="D41" s="1020"/>
      <c r="E41" s="877"/>
      <c r="F41" s="877"/>
      <c r="G41" s="877"/>
      <c r="H41" s="877"/>
      <c r="I41" s="877"/>
      <c r="J41" s="877"/>
      <c r="K41" s="877"/>
      <c r="L41" s="877"/>
      <c r="M41" s="877"/>
      <c r="N41" s="877"/>
      <c r="O41" s="877"/>
      <c r="P41" s="877">
        <v>1382.396</v>
      </c>
      <c r="Q41" s="877">
        <v>1343.658</v>
      </c>
      <c r="R41" s="877">
        <v>1388.109</v>
      </c>
      <c r="S41" s="877">
        <v>1449.843</v>
      </c>
      <c r="T41" s="877">
        <v>1481.498</v>
      </c>
      <c r="U41" s="877">
        <v>1511.837</v>
      </c>
      <c r="V41" s="877">
        <v>1476.642</v>
      </c>
      <c r="W41" s="877">
        <v>1486.608</v>
      </c>
      <c r="X41" s="877">
        <v>1637.002</v>
      </c>
      <c r="Y41" s="877">
        <v>1565.55</v>
      </c>
      <c r="Z41" s="877">
        <v>1677.51</v>
      </c>
      <c r="AA41" s="877">
        <v>1726.19</v>
      </c>
      <c r="AB41" s="877">
        <v>1770.206</v>
      </c>
      <c r="AC41" s="877">
        <v>1797.427</v>
      </c>
      <c r="AD41" s="887">
        <v>1834.89</v>
      </c>
      <c r="AE41" s="706">
        <f t="shared" si="0"/>
        <v>2.0842571075209406</v>
      </c>
      <c r="AF41" s="598" t="s">
        <v>236</v>
      </c>
    </row>
    <row r="42" spans="1:32" ht="12.75" customHeight="1">
      <c r="A42" s="597"/>
      <c r="B42" s="657" t="s">
        <v>150</v>
      </c>
      <c r="C42" s="1027" t="s">
        <v>99</v>
      </c>
      <c r="D42" s="1027" t="s">
        <v>99</v>
      </c>
      <c r="E42" s="883"/>
      <c r="F42" s="883"/>
      <c r="G42" s="883"/>
      <c r="H42" s="883">
        <v>2619.852</v>
      </c>
      <c r="I42" s="883">
        <v>2861.64</v>
      </c>
      <c r="J42" s="883">
        <v>3058.5110000000004</v>
      </c>
      <c r="K42" s="883">
        <v>3274.156</v>
      </c>
      <c r="L42" s="883">
        <v>3570.105</v>
      </c>
      <c r="M42" s="883">
        <v>3838.288</v>
      </c>
      <c r="N42" s="883">
        <v>4072.326</v>
      </c>
      <c r="O42" s="883">
        <v>4422.18</v>
      </c>
      <c r="P42" s="883">
        <v>4534.803</v>
      </c>
      <c r="Q42" s="883">
        <v>4600.14</v>
      </c>
      <c r="R42" s="883">
        <v>4700.343</v>
      </c>
      <c r="S42" s="883">
        <v>5400.44</v>
      </c>
      <c r="T42" s="883">
        <v>5772.745</v>
      </c>
      <c r="U42" s="883">
        <v>6140.992</v>
      </c>
      <c r="V42" s="883">
        <v>6472.156</v>
      </c>
      <c r="W42" s="883">
        <v>6796.629</v>
      </c>
      <c r="X42" s="883">
        <f>7093.964</f>
        <v>7093.964</v>
      </c>
      <c r="Y42" s="883">
        <f>7544.871</f>
        <v>7544.871</v>
      </c>
      <c r="Z42" s="883">
        <v>8113.111</v>
      </c>
      <c r="AA42" s="883">
        <v>8648.875</v>
      </c>
      <c r="AB42" s="883">
        <f>9283.923</f>
        <v>9283.923</v>
      </c>
      <c r="AC42" s="883">
        <v>9857.915</v>
      </c>
      <c r="AD42" s="882">
        <v>10589.337</v>
      </c>
      <c r="AE42" s="1028">
        <f t="shared" si="0"/>
        <v>7.419641983117103</v>
      </c>
      <c r="AF42" s="657" t="s">
        <v>150</v>
      </c>
    </row>
    <row r="43" spans="1:32" ht="12.75" customHeight="1">
      <c r="A43" s="597"/>
      <c r="B43" s="833" t="s">
        <v>151</v>
      </c>
      <c r="C43" s="1029">
        <v>40.786</v>
      </c>
      <c r="D43" s="1029">
        <v>85.924</v>
      </c>
      <c r="E43" s="937">
        <v>119.731</v>
      </c>
      <c r="F43" s="937">
        <v>120.862</v>
      </c>
      <c r="G43" s="937">
        <v>120.146</v>
      </c>
      <c r="H43" s="937">
        <v>116.195</v>
      </c>
      <c r="I43" s="937">
        <v>116.243</v>
      </c>
      <c r="J43" s="937">
        <v>119.232</v>
      </c>
      <c r="K43" s="937">
        <v>124.909</v>
      </c>
      <c r="L43" s="937">
        <v>132.468</v>
      </c>
      <c r="M43" s="937">
        <v>140.372</v>
      </c>
      <c r="N43" s="937">
        <v>151.409</v>
      </c>
      <c r="O43" s="937">
        <v>158.936</v>
      </c>
      <c r="P43" s="937">
        <v>159.865</v>
      </c>
      <c r="Q43" s="937">
        <v>161.721</v>
      </c>
      <c r="R43" s="937">
        <v>166.869</v>
      </c>
      <c r="S43" s="937">
        <v>175.427</v>
      </c>
      <c r="T43" s="937">
        <v>187.442</v>
      </c>
      <c r="U43" s="937">
        <v>197.305</v>
      </c>
      <c r="V43" s="937">
        <v>207.513</v>
      </c>
      <c r="W43" s="937">
        <v>209.74</v>
      </c>
      <c r="X43" s="937">
        <v>205.338</v>
      </c>
      <c r="Y43" s="937">
        <v>204.736</v>
      </c>
      <c r="Z43" s="937">
        <f>206.112</f>
        <v>206.112</v>
      </c>
      <c r="AA43" s="937">
        <f>210.07</f>
        <v>210.07</v>
      </c>
      <c r="AB43" s="937">
        <v>213.113</v>
      </c>
      <c r="AC43" s="937">
        <v>217.454</v>
      </c>
      <c r="AD43" s="938">
        <v>226.321</v>
      </c>
      <c r="AE43" s="722">
        <f t="shared" si="0"/>
        <v>4.077644007468237</v>
      </c>
      <c r="AF43" s="833" t="s">
        <v>151</v>
      </c>
    </row>
    <row r="44" spans="1:32" ht="12.75" customHeight="1">
      <c r="A44" s="597"/>
      <c r="B44" s="610" t="s">
        <v>152</v>
      </c>
      <c r="C44" s="1019">
        <v>690</v>
      </c>
      <c r="D44" s="1019">
        <v>1230</v>
      </c>
      <c r="E44" s="872">
        <v>1613.037</v>
      </c>
      <c r="F44" s="872">
        <v>1614.623</v>
      </c>
      <c r="G44" s="872">
        <v>1619.438</v>
      </c>
      <c r="H44" s="872">
        <v>1633.088</v>
      </c>
      <c r="I44" s="872">
        <v>1653.678</v>
      </c>
      <c r="J44" s="872">
        <v>1684.664</v>
      </c>
      <c r="K44" s="872">
        <v>1661.247</v>
      </c>
      <c r="L44" s="872">
        <v>1758.001</v>
      </c>
      <c r="M44" s="872">
        <v>1786.404</v>
      </c>
      <c r="N44" s="872">
        <v>1813.642</v>
      </c>
      <c r="O44" s="872">
        <v>1851.929</v>
      </c>
      <c r="P44" s="872">
        <v>1872.862</v>
      </c>
      <c r="Q44" s="872">
        <v>1899.767</v>
      </c>
      <c r="R44" s="872">
        <v>1933.66</v>
      </c>
      <c r="S44" s="872">
        <v>1977.922</v>
      </c>
      <c r="T44" s="872">
        <v>2028.909</v>
      </c>
      <c r="U44" s="872">
        <v>2084.193</v>
      </c>
      <c r="V44" s="872">
        <v>2154.837</v>
      </c>
      <c r="W44" s="872">
        <v>2197.193</v>
      </c>
      <c r="X44" s="872">
        <v>2244</v>
      </c>
      <c r="Y44" s="872">
        <v>2308.548</v>
      </c>
      <c r="Z44" s="872">
        <v>2376</v>
      </c>
      <c r="AA44" s="872">
        <v>2443</v>
      </c>
      <c r="AB44" s="872">
        <f>2500.265</f>
        <v>2500.265</v>
      </c>
      <c r="AC44" s="872">
        <v>2555.443</v>
      </c>
      <c r="AD44" s="890">
        <v>2610.352</v>
      </c>
      <c r="AE44" s="648">
        <f t="shared" si="0"/>
        <v>2.1487076800382283</v>
      </c>
      <c r="AF44" s="610" t="s">
        <v>152</v>
      </c>
    </row>
    <row r="45" spans="1:32" ht="12.75" customHeight="1">
      <c r="A45" s="597"/>
      <c r="B45" s="598" t="s">
        <v>153</v>
      </c>
      <c r="C45" s="1020">
        <v>1383.204</v>
      </c>
      <c r="D45" s="1020">
        <v>2246.752</v>
      </c>
      <c r="E45" s="877">
        <v>2985.397</v>
      </c>
      <c r="F45" s="877">
        <v>3057.798</v>
      </c>
      <c r="G45" s="877">
        <v>3091.228</v>
      </c>
      <c r="H45" s="877">
        <v>3109.523</v>
      </c>
      <c r="I45" s="877">
        <v>3165.042</v>
      </c>
      <c r="J45" s="877">
        <v>3229.176</v>
      </c>
      <c r="K45" s="877">
        <v>3268.093</v>
      </c>
      <c r="L45" s="877">
        <v>3323.455</v>
      </c>
      <c r="M45" s="877">
        <v>3383.307</v>
      </c>
      <c r="N45" s="877">
        <v>3467.311</v>
      </c>
      <c r="O45" s="877">
        <v>3545.247</v>
      </c>
      <c r="P45" s="877">
        <v>3629.713</v>
      </c>
      <c r="Q45" s="877">
        <v>3700.951</v>
      </c>
      <c r="R45" s="877">
        <v>3753.89</v>
      </c>
      <c r="S45" s="877">
        <v>3811.351</v>
      </c>
      <c r="T45" s="877">
        <v>3861.442</v>
      </c>
      <c r="U45" s="877">
        <v>3900.014</v>
      </c>
      <c r="V45" s="877">
        <v>3955.787</v>
      </c>
      <c r="W45" s="877">
        <v>3989.811</v>
      </c>
      <c r="X45" s="877">
        <f>4009.602</f>
        <v>4009.602</v>
      </c>
      <c r="Y45" s="877">
        <v>4075.825</v>
      </c>
      <c r="Z45" s="877">
        <v>4163</v>
      </c>
      <c r="AA45" s="877">
        <v>4255</v>
      </c>
      <c r="AB45" s="877">
        <v>4320.885</v>
      </c>
      <c r="AC45" s="877">
        <v>4384.49</v>
      </c>
      <c r="AD45" s="887">
        <v>4458.069</v>
      </c>
      <c r="AE45" s="706">
        <f t="shared" si="0"/>
        <v>1.67816553350562</v>
      </c>
      <c r="AF45" s="598" t="s">
        <v>153</v>
      </c>
    </row>
    <row r="46" spans="1:32" ht="12.75" customHeight="1">
      <c r="A46" s="597"/>
      <c r="B46" s="657" t="s">
        <v>210</v>
      </c>
      <c r="C46" s="1027"/>
      <c r="D46" s="1027"/>
      <c r="E46" s="883">
        <v>16.891</v>
      </c>
      <c r="F46" s="883">
        <v>17.328</v>
      </c>
      <c r="G46" s="883">
        <v>17.679</v>
      </c>
      <c r="H46" s="883">
        <v>17.767</v>
      </c>
      <c r="I46" s="883">
        <v>18.256</v>
      </c>
      <c r="J46" s="883">
        <v>18.82</v>
      </c>
      <c r="K46" s="883">
        <v>19.31</v>
      </c>
      <c r="L46" s="883">
        <v>19.926</v>
      </c>
      <c r="M46" s="883">
        <v>20.469</v>
      </c>
      <c r="N46" s="883">
        <v>21.15</v>
      </c>
      <c r="O46" s="883">
        <v>21.784</v>
      </c>
      <c r="P46" s="883">
        <v>22.626</v>
      </c>
      <c r="Q46" s="883">
        <v>23.265</v>
      </c>
      <c r="R46" s="883">
        <v>23.524</v>
      </c>
      <c r="S46" s="883">
        <v>23.935</v>
      </c>
      <c r="T46" s="883">
        <v>24.393</v>
      </c>
      <c r="U46" s="883">
        <v>24.293</v>
      </c>
      <c r="V46" s="883">
        <v>24.368</v>
      </c>
      <c r="W46" s="883">
        <v>25.462</v>
      </c>
      <c r="X46" s="883">
        <f>25.909</f>
        <v>25.909</v>
      </c>
      <c r="Y46" s="883">
        <v>26.89</v>
      </c>
      <c r="Z46" s="883">
        <v>27.327</v>
      </c>
      <c r="AA46" s="883">
        <v>28.004</v>
      </c>
      <c r="AB46" s="883">
        <v>28.102</v>
      </c>
      <c r="AC46" s="883">
        <v>28.474</v>
      </c>
      <c r="AD46" s="882">
        <v>28.802</v>
      </c>
      <c r="AE46" s="1028">
        <f t="shared" si="0"/>
        <v>1.1519280747348546</v>
      </c>
      <c r="AF46" s="657" t="s">
        <v>210</v>
      </c>
    </row>
    <row r="47" spans="2:32" ht="17.25" customHeight="1">
      <c r="B47" s="1296" t="s">
        <v>211</v>
      </c>
      <c r="C47" s="1297"/>
      <c r="D47" s="1297"/>
      <c r="E47" s="1297"/>
      <c r="F47" s="1297"/>
      <c r="G47" s="1297"/>
      <c r="H47" s="1297"/>
      <c r="I47" s="1297"/>
      <c r="J47" s="1297"/>
      <c r="K47" s="1297"/>
      <c r="L47" s="1297"/>
      <c r="M47" s="1297"/>
      <c r="N47" s="1297"/>
      <c r="O47" s="1297"/>
      <c r="P47" s="1297"/>
      <c r="Q47" s="1297"/>
      <c r="R47" s="1297"/>
      <c r="S47" s="1297"/>
      <c r="T47" s="1297"/>
      <c r="U47" s="1297"/>
      <c r="V47" s="1297"/>
      <c r="W47" s="1297"/>
      <c r="X47" s="1297"/>
      <c r="Y47" s="1297"/>
      <c r="Z47" s="1297"/>
      <c r="AA47" s="1297"/>
      <c r="AB47" s="1297"/>
      <c r="AC47" s="1297"/>
      <c r="AD47" s="1297"/>
      <c r="AE47" s="1297"/>
      <c r="AF47" s="1297"/>
    </row>
    <row r="48" spans="2:32" ht="12.75" customHeight="1">
      <c r="B48" s="1298" t="s">
        <v>173</v>
      </c>
      <c r="C48" s="1299"/>
      <c r="D48" s="1299"/>
      <c r="E48" s="1299"/>
      <c r="F48" s="1299"/>
      <c r="G48" s="1299"/>
      <c r="H48" s="1299"/>
      <c r="I48" s="1299"/>
      <c r="J48" s="1299"/>
      <c r="K48" s="1299"/>
      <c r="L48" s="1299"/>
      <c r="M48" s="1299"/>
      <c r="N48" s="1299"/>
      <c r="O48" s="1299"/>
      <c r="P48" s="1299"/>
      <c r="Q48" s="1299"/>
      <c r="R48" s="1299"/>
      <c r="S48" s="1299"/>
      <c r="T48" s="1299"/>
      <c r="U48" s="1299"/>
      <c r="V48" s="1299"/>
      <c r="W48" s="1299"/>
      <c r="X48" s="1299"/>
      <c r="Y48" s="1299"/>
      <c r="Z48" s="1299"/>
      <c r="AA48" s="1299"/>
      <c r="AB48" s="1299"/>
      <c r="AC48" s="1299"/>
      <c r="AD48" s="1299"/>
      <c r="AE48" s="1299"/>
      <c r="AF48" s="1289"/>
    </row>
    <row r="49" spans="2:32" ht="12.75" customHeight="1">
      <c r="B49" s="1299" t="s">
        <v>258</v>
      </c>
      <c r="C49" s="1299"/>
      <c r="D49" s="1299"/>
      <c r="E49" s="1299"/>
      <c r="F49" s="1299"/>
      <c r="G49" s="1299"/>
      <c r="H49" s="1299"/>
      <c r="I49" s="1299"/>
      <c r="J49" s="1299"/>
      <c r="K49" s="1299"/>
      <c r="L49" s="1299"/>
      <c r="M49" s="1299"/>
      <c r="N49" s="1299"/>
      <c r="O49" s="1299"/>
      <c r="P49" s="1299"/>
      <c r="Q49" s="1299"/>
      <c r="R49" s="1299"/>
      <c r="S49" s="1299"/>
      <c r="T49" s="1299"/>
      <c r="U49" s="1299"/>
      <c r="V49" s="1299"/>
      <c r="W49" s="1299"/>
      <c r="X49" s="1299"/>
      <c r="Y49" s="1299"/>
      <c r="Z49" s="1299"/>
      <c r="AA49" s="1299"/>
      <c r="AB49" s="1299"/>
      <c r="AC49" s="1299"/>
      <c r="AD49" s="1299"/>
      <c r="AE49" s="1299"/>
      <c r="AF49" s="1289"/>
    </row>
    <row r="50" spans="2:29" ht="12.75" customHeight="1">
      <c r="B50" s="573" t="s">
        <v>212</v>
      </c>
      <c r="P50" s="573"/>
      <c r="Q50" s="573"/>
      <c r="R50" s="573"/>
      <c r="S50" s="573"/>
      <c r="T50" s="573"/>
      <c r="U50" s="573"/>
      <c r="V50" s="573"/>
      <c r="W50" s="573"/>
      <c r="X50" s="573"/>
      <c r="Y50" s="573"/>
      <c r="AC50" s="573"/>
    </row>
    <row r="51" spans="2:29" ht="11.25">
      <c r="B51" s="573" t="s">
        <v>263</v>
      </c>
      <c r="P51" s="573"/>
      <c r="Q51" s="573"/>
      <c r="R51" s="573"/>
      <c r="S51" s="573"/>
      <c r="T51" s="573"/>
      <c r="U51" s="573"/>
      <c r="V51" s="573"/>
      <c r="W51" s="573"/>
      <c r="X51" s="573"/>
      <c r="Y51" s="573"/>
      <c r="AC51" s="573"/>
    </row>
    <row r="52" spans="16:29" ht="11.25">
      <c r="P52" s="573"/>
      <c r="Q52" s="573"/>
      <c r="R52" s="573"/>
      <c r="S52" s="573"/>
      <c r="T52" s="573"/>
      <c r="U52" s="573"/>
      <c r="V52" s="573"/>
      <c r="W52" s="573"/>
      <c r="X52" s="573"/>
      <c r="Y52" s="573"/>
      <c r="AC52" s="573"/>
    </row>
    <row r="53" spans="16:29" ht="11.25">
      <c r="P53" s="573"/>
      <c r="Q53" s="573"/>
      <c r="R53" s="573"/>
      <c r="S53" s="573"/>
      <c r="T53" s="573"/>
      <c r="U53" s="573"/>
      <c r="V53" s="573"/>
      <c r="W53" s="573"/>
      <c r="X53" s="573"/>
      <c r="Y53" s="573"/>
      <c r="AC53" s="573"/>
    </row>
    <row r="54" spans="16:29" ht="11.25">
      <c r="P54" s="573"/>
      <c r="Q54" s="573"/>
      <c r="R54" s="573"/>
      <c r="S54" s="573"/>
      <c r="T54" s="573"/>
      <c r="U54" s="573"/>
      <c r="V54" s="573"/>
      <c r="W54" s="573"/>
      <c r="X54" s="573"/>
      <c r="Y54" s="573"/>
      <c r="AC54" s="573"/>
    </row>
    <row r="55" spans="16:29" ht="11.25">
      <c r="P55" s="573"/>
      <c r="Q55" s="573"/>
      <c r="R55" s="573"/>
      <c r="S55" s="573"/>
      <c r="T55" s="573"/>
      <c r="U55" s="573"/>
      <c r="V55" s="573"/>
      <c r="W55" s="573"/>
      <c r="X55" s="573"/>
      <c r="Y55" s="573"/>
      <c r="AC55" s="573"/>
    </row>
    <row r="56" spans="16:29" ht="11.25">
      <c r="P56" s="573"/>
      <c r="Q56" s="573"/>
      <c r="R56" s="573"/>
      <c r="S56" s="573"/>
      <c r="T56" s="573"/>
      <c r="U56" s="573"/>
      <c r="V56" s="573"/>
      <c r="W56" s="573"/>
      <c r="X56" s="573"/>
      <c r="Y56" s="573"/>
      <c r="AC56" s="573"/>
    </row>
    <row r="57" spans="16:29" ht="11.25">
      <c r="P57" s="573"/>
      <c r="Q57" s="573"/>
      <c r="R57" s="573"/>
      <c r="S57" s="573"/>
      <c r="T57" s="573"/>
      <c r="U57" s="573"/>
      <c r="V57" s="573"/>
      <c r="W57" s="573"/>
      <c r="X57" s="573"/>
      <c r="Y57" s="573"/>
      <c r="AC57" s="573"/>
    </row>
    <row r="58" spans="16:29" ht="11.25">
      <c r="P58" s="573"/>
      <c r="Q58" s="573"/>
      <c r="R58" s="573"/>
      <c r="S58" s="573"/>
      <c r="T58" s="573"/>
      <c r="U58" s="573"/>
      <c r="V58" s="573"/>
      <c r="W58" s="573"/>
      <c r="X58" s="573"/>
      <c r="Y58" s="573"/>
      <c r="AC58" s="573"/>
    </row>
    <row r="59" spans="16:29" ht="11.25">
      <c r="P59" s="573"/>
      <c r="Q59" s="573"/>
      <c r="R59" s="573"/>
      <c r="S59" s="573"/>
      <c r="T59" s="573"/>
      <c r="U59" s="573"/>
      <c r="V59" s="573"/>
      <c r="W59" s="573"/>
      <c r="X59" s="573"/>
      <c r="Y59" s="573"/>
      <c r="AC59" s="573"/>
    </row>
    <row r="60" spans="16:29" ht="11.25">
      <c r="P60" s="573"/>
      <c r="Q60" s="573"/>
      <c r="R60" s="573"/>
      <c r="S60" s="573"/>
      <c r="T60" s="573"/>
      <c r="U60" s="573"/>
      <c r="V60" s="573"/>
      <c r="W60" s="573"/>
      <c r="X60" s="573"/>
      <c r="Y60" s="573"/>
      <c r="AC60" s="573"/>
    </row>
    <row r="61" spans="16:29" ht="11.25">
      <c r="P61" s="573"/>
      <c r="Q61" s="573"/>
      <c r="R61" s="573"/>
      <c r="S61" s="573"/>
      <c r="T61" s="573"/>
      <c r="U61" s="573"/>
      <c r="V61" s="573"/>
      <c r="W61" s="573"/>
      <c r="X61" s="573"/>
      <c r="Y61" s="573"/>
      <c r="AC61" s="573"/>
    </row>
    <row r="62" spans="16:29" ht="11.25">
      <c r="P62" s="573"/>
      <c r="Q62" s="573"/>
      <c r="R62" s="573"/>
      <c r="S62" s="573"/>
      <c r="T62" s="573"/>
      <c r="U62" s="573"/>
      <c r="V62" s="573"/>
      <c r="W62" s="573"/>
      <c r="X62" s="573"/>
      <c r="Y62" s="573"/>
      <c r="AC62" s="573"/>
    </row>
    <row r="63" spans="16:29" ht="11.25">
      <c r="P63" s="573"/>
      <c r="Q63" s="573"/>
      <c r="R63" s="573"/>
      <c r="S63" s="573"/>
      <c r="T63" s="573"/>
      <c r="U63" s="573"/>
      <c r="V63" s="573"/>
      <c r="W63" s="573"/>
      <c r="X63" s="573"/>
      <c r="Y63" s="573"/>
      <c r="AC63" s="573"/>
    </row>
    <row r="64" spans="16:29" ht="11.25">
      <c r="P64" s="573"/>
      <c r="Q64" s="573"/>
      <c r="R64" s="573"/>
      <c r="S64" s="573"/>
      <c r="T64" s="573"/>
      <c r="U64" s="573"/>
      <c r="V64" s="573"/>
      <c r="W64" s="573"/>
      <c r="X64" s="573"/>
      <c r="Y64" s="573"/>
      <c r="AC64" s="573"/>
    </row>
    <row r="65" spans="16:29" ht="11.25">
      <c r="P65" s="573"/>
      <c r="Q65" s="573"/>
      <c r="R65" s="573"/>
      <c r="S65" s="573"/>
      <c r="T65" s="573"/>
      <c r="U65" s="573"/>
      <c r="V65" s="573"/>
      <c r="W65" s="573"/>
      <c r="X65" s="573"/>
      <c r="Y65" s="573"/>
      <c r="AC65" s="573"/>
    </row>
    <row r="66" spans="16:29" ht="11.25">
      <c r="P66" s="573"/>
      <c r="Q66" s="573"/>
      <c r="R66" s="573"/>
      <c r="S66" s="573"/>
      <c r="T66" s="573"/>
      <c r="U66" s="573"/>
      <c r="V66" s="573"/>
      <c r="W66" s="573"/>
      <c r="X66" s="573"/>
      <c r="Y66" s="573"/>
      <c r="AC66" s="573"/>
    </row>
    <row r="67" spans="16:29" ht="11.25">
      <c r="P67" s="573"/>
      <c r="Q67" s="573"/>
      <c r="R67" s="573"/>
      <c r="S67" s="573"/>
      <c r="T67" s="573"/>
      <c r="U67" s="573"/>
      <c r="V67" s="573"/>
      <c r="W67" s="573"/>
      <c r="X67" s="573"/>
      <c r="Y67" s="573"/>
      <c r="AC67" s="573"/>
    </row>
    <row r="68" spans="16:29" ht="11.25">
      <c r="P68" s="573"/>
      <c r="Q68" s="573"/>
      <c r="R68" s="573"/>
      <c r="S68" s="573"/>
      <c r="T68" s="573"/>
      <c r="U68" s="573"/>
      <c r="V68" s="573"/>
      <c r="W68" s="573"/>
      <c r="X68" s="573"/>
      <c r="Y68" s="573"/>
      <c r="AC68" s="573"/>
    </row>
    <row r="69" spans="16:29" ht="11.25">
      <c r="P69" s="573"/>
      <c r="Q69" s="573"/>
      <c r="R69" s="573"/>
      <c r="S69" s="573"/>
      <c r="T69" s="573"/>
      <c r="U69" s="573"/>
      <c r="V69" s="573"/>
      <c r="W69" s="573"/>
      <c r="X69" s="573"/>
      <c r="Y69" s="573"/>
      <c r="AC69" s="573"/>
    </row>
    <row r="70" spans="16:29" ht="11.25">
      <c r="P70" s="573"/>
      <c r="Q70" s="573"/>
      <c r="R70" s="573"/>
      <c r="S70" s="573"/>
      <c r="T70" s="573"/>
      <c r="U70" s="573"/>
      <c r="V70" s="573"/>
      <c r="W70" s="573"/>
      <c r="X70" s="573"/>
      <c r="Y70" s="573"/>
      <c r="AC70" s="573"/>
    </row>
    <row r="71" spans="16:29" ht="11.25">
      <c r="P71" s="573"/>
      <c r="Q71" s="573"/>
      <c r="R71" s="573"/>
      <c r="S71" s="573"/>
      <c r="T71" s="573"/>
      <c r="U71" s="573"/>
      <c r="V71" s="573"/>
      <c r="W71" s="573"/>
      <c r="X71" s="573"/>
      <c r="Y71" s="573"/>
      <c r="AC71" s="573"/>
    </row>
  </sheetData>
  <sheetProtection/>
  <mergeCells count="5">
    <mergeCell ref="B2:AF2"/>
    <mergeCell ref="B3:AF3"/>
    <mergeCell ref="B47:AF47"/>
    <mergeCell ref="B48:AF48"/>
    <mergeCell ref="B49:AF49"/>
  </mergeCells>
  <printOptions horizontalCentered="1"/>
  <pageMargins left="0.6692913385826772" right="0.6692913385826772" top="0.5118110236220472" bottom="0.2755905511811024" header="0" footer="0"/>
  <pageSetup fitToHeight="1" fitToWidth="1" horizontalDpi="600" verticalDpi="600" orientation="landscape" paperSize="9" scale="89"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AF54"/>
  <sheetViews>
    <sheetView zoomScalePageLayoutView="0" workbookViewId="0" topLeftCell="A1">
      <selection activeCell="AD7" sqref="AD7:AD8"/>
    </sheetView>
  </sheetViews>
  <sheetFormatPr defaultColWidth="9.140625" defaultRowHeight="12.75"/>
  <cols>
    <col min="1" max="1" width="3.7109375" style="573" customWidth="1"/>
    <col min="2" max="2" width="4.00390625" style="573" customWidth="1"/>
    <col min="3" max="3" width="6.7109375" style="680" hidden="1" customWidth="1"/>
    <col min="4" max="5" width="7.57421875" style="680" hidden="1" customWidth="1"/>
    <col min="6" max="18" width="7.57421875" style="573" hidden="1" customWidth="1"/>
    <col min="19" max="19" width="8.7109375" style="573" hidden="1" customWidth="1"/>
    <col min="20" max="20" width="8.57421875" style="573" hidden="1" customWidth="1"/>
    <col min="21" max="28" width="7.7109375" style="573" customWidth="1"/>
    <col min="29" max="29" width="7.7109375" style="680" customWidth="1"/>
    <col min="30" max="30" width="7.7109375" style="573" customWidth="1"/>
    <col min="31" max="31" width="6.00390625" style="573" bestFit="1" customWidth="1"/>
    <col min="32" max="32" width="4.8515625" style="573" customWidth="1"/>
    <col min="33" max="16384" width="9.140625" style="573" customWidth="1"/>
  </cols>
  <sheetData>
    <row r="1" spans="2:32" ht="14.25" customHeight="1">
      <c r="B1" s="1279"/>
      <c r="C1" s="1279"/>
      <c r="D1" s="1031"/>
      <c r="E1" s="1032"/>
      <c r="F1" s="777"/>
      <c r="G1" s="777"/>
      <c r="H1" s="777"/>
      <c r="I1" s="777"/>
      <c r="J1" s="777"/>
      <c r="K1" s="777"/>
      <c r="L1" s="777"/>
      <c r="M1" s="777"/>
      <c r="N1" s="777"/>
      <c r="O1" s="777"/>
      <c r="P1" s="777"/>
      <c r="AF1" s="574" t="s">
        <v>133</v>
      </c>
    </row>
    <row r="2" spans="2:32" s="577" customFormat="1" ht="30" customHeight="1">
      <c r="B2" s="1271" t="s">
        <v>213</v>
      </c>
      <c r="C2" s="1271"/>
      <c r="D2" s="1271"/>
      <c r="E2" s="1271"/>
      <c r="F2" s="1271"/>
      <c r="G2" s="1271"/>
      <c r="H2" s="1271"/>
      <c r="I2" s="1271"/>
      <c r="J2" s="1271"/>
      <c r="K2" s="1271"/>
      <c r="L2" s="1271"/>
      <c r="M2" s="1271"/>
      <c r="N2" s="1271"/>
      <c r="O2" s="1271"/>
      <c r="P2" s="1271"/>
      <c r="Q2" s="1271"/>
      <c r="R2" s="1271"/>
      <c r="S2" s="1271"/>
      <c r="T2" s="1271"/>
      <c r="U2" s="1271"/>
      <c r="V2" s="1271"/>
      <c r="W2" s="1271"/>
      <c r="X2" s="1271"/>
      <c r="Y2" s="1271"/>
      <c r="Z2" s="1271"/>
      <c r="AA2" s="1271"/>
      <c r="AB2" s="1271"/>
      <c r="AC2" s="1271"/>
      <c r="AD2" s="1271"/>
      <c r="AE2" s="1271"/>
      <c r="AF2" s="1271"/>
    </row>
    <row r="3" spans="2:32" s="1033" customFormat="1" ht="15" customHeight="1">
      <c r="B3" s="1301" t="s">
        <v>208</v>
      </c>
      <c r="C3" s="1301"/>
      <c r="D3" s="1301"/>
      <c r="E3" s="1301"/>
      <c r="F3" s="1301"/>
      <c r="G3" s="1301"/>
      <c r="H3" s="1301"/>
      <c r="I3" s="1301"/>
      <c r="J3" s="1301"/>
      <c r="K3" s="1301"/>
      <c r="L3" s="1301"/>
      <c r="M3" s="1301"/>
      <c r="N3" s="1301"/>
      <c r="O3" s="1301"/>
      <c r="P3" s="1301"/>
      <c r="Q3" s="1301"/>
      <c r="R3" s="1301"/>
      <c r="S3" s="1301"/>
      <c r="T3" s="1301"/>
      <c r="U3" s="1301"/>
      <c r="V3" s="1301"/>
      <c r="W3" s="1301"/>
      <c r="X3" s="1301"/>
      <c r="Y3" s="1301"/>
      <c r="Z3" s="1301"/>
      <c r="AA3" s="1301"/>
      <c r="AB3" s="1301"/>
      <c r="AC3" s="1301"/>
      <c r="AD3" s="1301"/>
      <c r="AE3" s="1301"/>
      <c r="AF3" s="1301"/>
    </row>
    <row r="4" spans="2:32" ht="12.75" customHeight="1">
      <c r="B4" s="585"/>
      <c r="C4" s="585"/>
      <c r="E4" s="668"/>
      <c r="F4" s="668"/>
      <c r="G4" s="668"/>
      <c r="H4" s="668"/>
      <c r="I4" s="668"/>
      <c r="J4" s="916"/>
      <c r="K4" s="916"/>
      <c r="L4" s="916"/>
      <c r="M4" s="916"/>
      <c r="N4" s="916"/>
      <c r="O4" s="916"/>
      <c r="W4" s="1034"/>
      <c r="X4" s="1034" t="s">
        <v>209</v>
      </c>
      <c r="Y4" s="578"/>
      <c r="Z4" s="578"/>
      <c r="AA4" s="578"/>
      <c r="AB4" s="578"/>
      <c r="AC4" s="578"/>
      <c r="AD4" s="578"/>
      <c r="AF4" s="578"/>
    </row>
    <row r="5" spans="2:32" ht="19.5" customHeight="1">
      <c r="B5" s="581"/>
      <c r="C5" s="940">
        <v>1970</v>
      </c>
      <c r="D5" s="582">
        <v>1980</v>
      </c>
      <c r="E5" s="583">
        <v>1990</v>
      </c>
      <c r="F5" s="583">
        <v>1991</v>
      </c>
      <c r="G5" s="583">
        <v>1992</v>
      </c>
      <c r="H5" s="583">
        <v>1993</v>
      </c>
      <c r="I5" s="583">
        <v>1994</v>
      </c>
      <c r="J5" s="583">
        <v>1995</v>
      </c>
      <c r="K5" s="583">
        <v>1996</v>
      </c>
      <c r="L5" s="583">
        <v>1997</v>
      </c>
      <c r="M5" s="583">
        <v>1998</v>
      </c>
      <c r="N5" s="583">
        <v>1999</v>
      </c>
      <c r="O5" s="583">
        <v>2000</v>
      </c>
      <c r="P5" s="583">
        <v>2001</v>
      </c>
      <c r="Q5" s="583">
        <v>2002</v>
      </c>
      <c r="R5" s="583">
        <v>2003</v>
      </c>
      <c r="S5" s="583">
        <v>2004</v>
      </c>
      <c r="T5" s="583">
        <v>2005</v>
      </c>
      <c r="U5" s="583">
        <v>2006</v>
      </c>
      <c r="V5" s="583">
        <v>2007</v>
      </c>
      <c r="W5" s="583">
        <v>2008</v>
      </c>
      <c r="X5" s="583">
        <v>2009</v>
      </c>
      <c r="Y5" s="583">
        <v>2010</v>
      </c>
      <c r="Z5" s="583">
        <v>2011</v>
      </c>
      <c r="AA5" s="583">
        <v>2012</v>
      </c>
      <c r="AB5" s="583">
        <v>2013</v>
      </c>
      <c r="AC5" s="583">
        <v>2014</v>
      </c>
      <c r="AD5" s="583">
        <v>2015</v>
      </c>
      <c r="AE5" s="584" t="s">
        <v>331</v>
      </c>
      <c r="AF5" s="681"/>
    </row>
    <row r="6" spans="2:32" ht="9.75" customHeight="1">
      <c r="B6" s="586"/>
      <c r="C6" s="1003"/>
      <c r="D6" s="682"/>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1035" t="s">
        <v>147</v>
      </c>
      <c r="AF6" s="681"/>
    </row>
    <row r="7" spans="2:32" ht="12.75" customHeight="1">
      <c r="B7" s="591" t="s">
        <v>250</v>
      </c>
      <c r="C7" s="1036"/>
      <c r="D7" s="1037"/>
      <c r="E7" s="1038"/>
      <c r="F7" s="1039"/>
      <c r="G7" s="1039"/>
      <c r="H7" s="1039"/>
      <c r="I7" s="1039"/>
      <c r="J7" s="1039">
        <v>22862.21099999999</v>
      </c>
      <c r="K7" s="1039">
        <v>23596.626</v>
      </c>
      <c r="L7" s="1039">
        <v>24179.090000000007</v>
      </c>
      <c r="M7" s="1039">
        <v>25199.804999999997</v>
      </c>
      <c r="N7" s="1039">
        <v>26323.076999999997</v>
      </c>
      <c r="O7" s="1039">
        <v>27478.414999999997</v>
      </c>
      <c r="P7" s="1039">
        <v>28470.711999999996</v>
      </c>
      <c r="Q7" s="1039">
        <v>29293.246000000003</v>
      </c>
      <c r="R7" s="1039">
        <v>30005.144999999993</v>
      </c>
      <c r="S7" s="1040">
        <v>30953.837000000003</v>
      </c>
      <c r="T7" s="1040">
        <v>31710.039</v>
      </c>
      <c r="U7" s="1039">
        <v>32609.175</v>
      </c>
      <c r="V7" s="1039">
        <v>33634.359</v>
      </c>
      <c r="W7" s="1040">
        <v>34444.846</v>
      </c>
      <c r="X7" s="1039">
        <v>34568.96300000001</v>
      </c>
      <c r="Y7" s="1039">
        <v>34858.86</v>
      </c>
      <c r="Z7" s="1039">
        <v>35303.615999999995</v>
      </c>
      <c r="AA7" s="1039">
        <v>35332.44799999999</v>
      </c>
      <c r="AB7" s="1039">
        <v>35451.958000000006</v>
      </c>
      <c r="AC7" s="1039">
        <v>35863.091</v>
      </c>
      <c r="AD7" s="1039">
        <v>36574.49300000001</v>
      </c>
      <c r="AE7" s="1041">
        <v>1.983660582965399</v>
      </c>
      <c r="AF7" s="591" t="s">
        <v>250</v>
      </c>
    </row>
    <row r="8" spans="2:32" ht="12.75" customHeight="1">
      <c r="B8" s="598" t="s">
        <v>89</v>
      </c>
      <c r="C8" s="1042">
        <v>6623.695</v>
      </c>
      <c r="D8" s="1043">
        <v>10790.015</v>
      </c>
      <c r="E8" s="1042">
        <v>17565.367</v>
      </c>
      <c r="F8" s="1042">
        <v>18023.110999999997</v>
      </c>
      <c r="G8" s="1042">
        <v>18592.089</v>
      </c>
      <c r="H8" s="1042">
        <v>19180.989</v>
      </c>
      <c r="I8" s="1042">
        <v>19414.449999999997</v>
      </c>
      <c r="J8" s="1042">
        <v>19840.412</v>
      </c>
      <c r="K8" s="1042">
        <v>20419.894</v>
      </c>
      <c r="L8" s="1042">
        <v>20847.640000000003</v>
      </c>
      <c r="M8" s="1042">
        <v>21688.096999999998</v>
      </c>
      <c r="N8" s="1042">
        <v>22631.257000000005</v>
      </c>
      <c r="O8" s="1042">
        <v>23527.174999999996</v>
      </c>
      <c r="P8" s="1042">
        <v>24343.17</v>
      </c>
      <c r="Q8" s="1042">
        <v>24888.632</v>
      </c>
      <c r="R8" s="1042">
        <v>25355.422</v>
      </c>
      <c r="S8" s="1044">
        <v>26128.798</v>
      </c>
      <c r="T8" s="1044">
        <v>26837.685</v>
      </c>
      <c r="U8" s="1042">
        <v>27584.924</v>
      </c>
      <c r="V8" s="1042">
        <v>28359.415999999997</v>
      </c>
      <c r="W8" s="1044">
        <v>28681.220999999998</v>
      </c>
      <c r="X8" s="1042">
        <v>28701.177000000003</v>
      </c>
      <c r="Y8" s="1042">
        <v>28859.511000000002</v>
      </c>
      <c r="Z8" s="1042">
        <v>29103.452</v>
      </c>
      <c r="AA8" s="1042">
        <v>29037.789999999994</v>
      </c>
      <c r="AB8" s="1042">
        <v>29013.319999999996</v>
      </c>
      <c r="AC8" s="1042">
        <v>29258.367000000006</v>
      </c>
      <c r="AD8" s="1042">
        <v>29715.713</v>
      </c>
      <c r="AE8" s="1043">
        <v>1.56312893334065</v>
      </c>
      <c r="AF8" s="598" t="s">
        <v>89</v>
      </c>
    </row>
    <row r="9" spans="2:32" ht="12.75" customHeight="1">
      <c r="B9" s="604" t="s">
        <v>251</v>
      </c>
      <c r="C9" s="1045"/>
      <c r="D9" s="1046"/>
      <c r="E9" s="1042"/>
      <c r="F9" s="1042"/>
      <c r="G9" s="1042"/>
      <c r="H9" s="1042"/>
      <c r="I9" s="1042"/>
      <c r="J9" s="1042">
        <v>3021.798999999988</v>
      </c>
      <c r="K9" s="1042">
        <v>3176.732</v>
      </c>
      <c r="L9" s="1042">
        <v>3331.4500000000044</v>
      </c>
      <c r="M9" s="1042">
        <v>3511.7079999999987</v>
      </c>
      <c r="N9" s="1042">
        <v>3691.8199999999924</v>
      </c>
      <c r="O9" s="1042">
        <v>3951.2400000000016</v>
      </c>
      <c r="P9" s="1042">
        <v>4127.541999999998</v>
      </c>
      <c r="Q9" s="1042">
        <v>4404.614000000001</v>
      </c>
      <c r="R9" s="1042">
        <v>4649.7229999999945</v>
      </c>
      <c r="S9" s="1042">
        <v>4825.039000000004</v>
      </c>
      <c r="T9" s="1042">
        <v>4872.353999999999</v>
      </c>
      <c r="U9" s="1042">
        <v>5024.251</v>
      </c>
      <c r="V9" s="1042">
        <v>5274.942999999999</v>
      </c>
      <c r="W9" s="1042">
        <v>5763.625</v>
      </c>
      <c r="X9" s="1042">
        <v>5867.786000000007</v>
      </c>
      <c r="Y9" s="1042">
        <v>5999.348999999998</v>
      </c>
      <c r="Z9" s="1042">
        <v>6200.163999999993</v>
      </c>
      <c r="AA9" s="1042">
        <v>6294.657999999996</v>
      </c>
      <c r="AB9" s="1042">
        <v>6438.63800000001</v>
      </c>
      <c r="AC9" s="1042">
        <v>6604.723999999995</v>
      </c>
      <c r="AD9" s="1042">
        <v>6858.78000000001</v>
      </c>
      <c r="AE9" s="1043">
        <v>3.84658011447587</v>
      </c>
      <c r="AF9" s="604" t="s">
        <v>251</v>
      </c>
    </row>
    <row r="10" spans="1:32" ht="12.75" customHeight="1">
      <c r="A10" s="597"/>
      <c r="B10" s="833" t="s">
        <v>81</v>
      </c>
      <c r="C10" s="1083">
        <v>122.29</v>
      </c>
      <c r="D10" s="1084">
        <v>189.25</v>
      </c>
      <c r="E10" s="1085">
        <v>261.84</v>
      </c>
      <c r="F10" s="1085">
        <v>269.279</v>
      </c>
      <c r="G10" s="1085">
        <v>279.945</v>
      </c>
      <c r="H10" s="1085">
        <v>286.67900000000003</v>
      </c>
      <c r="I10" s="1085">
        <v>294.92499999999995</v>
      </c>
      <c r="J10" s="1085">
        <v>302.90700000000004</v>
      </c>
      <c r="K10" s="1085">
        <v>306.917</v>
      </c>
      <c r="L10" s="1085">
        <v>315.058</v>
      </c>
      <c r="M10" s="1085">
        <v>325.335</v>
      </c>
      <c r="N10" s="1085">
        <v>335.772</v>
      </c>
      <c r="O10" s="1092">
        <v>344.466</v>
      </c>
      <c r="P10" s="1085">
        <v>349.67</v>
      </c>
      <c r="Q10" s="1085">
        <v>338.794</v>
      </c>
      <c r="R10" s="1085">
        <v>345.621</v>
      </c>
      <c r="S10" s="1085">
        <v>353.055</v>
      </c>
      <c r="T10" s="1085">
        <v>358.049</v>
      </c>
      <c r="U10" s="1085">
        <v>364.32300000000004</v>
      </c>
      <c r="V10" s="1085">
        <v>372.64500000000004</v>
      </c>
      <c r="W10" s="1085">
        <v>381.338</v>
      </c>
      <c r="X10" s="1085">
        <v>387.972</v>
      </c>
      <c r="Y10" s="1085">
        <v>396.78799999999995</v>
      </c>
      <c r="Z10" s="1085">
        <v>407.452</v>
      </c>
      <c r="AA10" s="1085">
        <v>416.535</v>
      </c>
      <c r="AB10" s="1085">
        <f>408.56+16.192</f>
        <v>424.752</v>
      </c>
      <c r="AC10" s="1085">
        <f>418.594+16.321</f>
        <v>434.915</v>
      </c>
      <c r="AD10" s="1085">
        <f>427.515+16.508</f>
        <v>444.02299999999997</v>
      </c>
      <c r="AE10" s="1084">
        <f aca="true" t="shared" si="0" ref="AE10:AE46">AD10/AC10*100-100</f>
        <v>2.094202315394938</v>
      </c>
      <c r="AF10" s="833" t="s">
        <v>81</v>
      </c>
    </row>
    <row r="11" spans="1:32" ht="12.75" customHeight="1">
      <c r="A11" s="597"/>
      <c r="B11" s="610" t="s">
        <v>60</v>
      </c>
      <c r="C11" s="1052">
        <v>251.405</v>
      </c>
      <c r="D11" s="1053">
        <v>299.084</v>
      </c>
      <c r="E11" s="1054">
        <v>380.37899999999996</v>
      </c>
      <c r="F11" s="1055">
        <v>401.452</v>
      </c>
      <c r="G11" s="1055">
        <v>404.325</v>
      </c>
      <c r="H11" s="1055">
        <v>426.915</v>
      </c>
      <c r="I11" s="1055">
        <v>442.055</v>
      </c>
      <c r="J11" s="1055">
        <v>442.463</v>
      </c>
      <c r="K11" s="1055">
        <v>457.16</v>
      </c>
      <c r="L11" s="1055">
        <v>476.583</v>
      </c>
      <c r="M11" s="1055">
        <v>495.464</v>
      </c>
      <c r="N11" s="1055">
        <v>524.088</v>
      </c>
      <c r="O11" s="1055">
        <v>588.843</v>
      </c>
      <c r="P11" s="1055">
        <v>615.037</v>
      </c>
      <c r="Q11" s="1055">
        <v>591.383</v>
      </c>
      <c r="R11" s="1055">
        <v>610.322</v>
      </c>
      <c r="S11" s="1055">
        <v>637.259</v>
      </c>
      <c r="T11" s="1060">
        <v>662.346</v>
      </c>
      <c r="U11" s="1055">
        <v>678.551</v>
      </c>
      <c r="V11" s="1055">
        <f>537.64+106.108+48.04</f>
        <v>691.788</v>
      </c>
      <c r="W11" s="1055">
        <f>557.457+106.141+49.088</f>
        <v>712.6859999999999</v>
      </c>
      <c r="X11" s="1055">
        <f>572.074+105.372+47.408</f>
        <v>724.8539999999999</v>
      </c>
      <c r="Y11" s="1055">
        <f>586.889+111.209+46.663</f>
        <v>744.761</v>
      </c>
      <c r="Z11" s="1055">
        <f>610.315+111.249+46.816</f>
        <v>768.3800000000001</v>
      </c>
      <c r="AA11" s="1055">
        <f>622.29+109.963+45.999</f>
        <v>778.252</v>
      </c>
      <c r="AB11" s="1055">
        <f>641.224+108.78+47.978</f>
        <v>797.982</v>
      </c>
      <c r="AC11" s="1055">
        <f>657.398+108.013+48.41</f>
        <v>813.821</v>
      </c>
      <c r="AD11" s="1055">
        <f>680.834+107.514+49.741</f>
        <v>838.0889999999999</v>
      </c>
      <c r="AE11" s="1059">
        <f t="shared" si="0"/>
        <v>2.981982524412601</v>
      </c>
      <c r="AF11" s="610" t="s">
        <v>60</v>
      </c>
    </row>
    <row r="12" spans="1:32" ht="12.75" customHeight="1">
      <c r="A12" s="597"/>
      <c r="B12" s="598" t="s">
        <v>101</v>
      </c>
      <c r="C12" s="1048"/>
      <c r="D12" s="1049" t="s">
        <v>214</v>
      </c>
      <c r="E12" s="1050">
        <v>161.6</v>
      </c>
      <c r="F12" s="1050">
        <v>174.2</v>
      </c>
      <c r="G12" s="1050">
        <v>187.4</v>
      </c>
      <c r="H12" s="1050">
        <v>203.942</v>
      </c>
      <c r="I12" s="1050">
        <v>214.756</v>
      </c>
      <c r="J12" s="1050">
        <v>223.17700000000002</v>
      </c>
      <c r="K12" s="1050">
        <v>229.84</v>
      </c>
      <c r="L12" s="1050">
        <v>232.76600000000002</v>
      </c>
      <c r="M12" s="1050">
        <v>242.268</v>
      </c>
      <c r="N12" s="1050">
        <v>251.5</v>
      </c>
      <c r="O12" s="1050">
        <v>259.39</v>
      </c>
      <c r="P12" s="1050">
        <v>269.586</v>
      </c>
      <c r="Q12" s="1050">
        <v>279.858</v>
      </c>
      <c r="R12" s="1050">
        <v>293.487</v>
      </c>
      <c r="S12" s="1050">
        <v>317.681</v>
      </c>
      <c r="T12" s="1050">
        <v>333.866</v>
      </c>
      <c r="U12" s="1050">
        <v>226.09199999999998</v>
      </c>
      <c r="V12" s="1050">
        <v>261.31600000000003</v>
      </c>
      <c r="W12" s="1050">
        <v>299.161</v>
      </c>
      <c r="X12" s="1050">
        <v>317.808</v>
      </c>
      <c r="Y12" s="1050">
        <v>333.5</v>
      </c>
      <c r="Z12" s="1050">
        <v>347.561</v>
      </c>
      <c r="AA12" s="1050">
        <v>367.029</v>
      </c>
      <c r="AB12" s="1050">
        <v>388</v>
      </c>
      <c r="AC12" s="1050">
        <v>411.8</v>
      </c>
      <c r="AD12" s="1050">
        <v>444.40000000000003</v>
      </c>
      <c r="AE12" s="1049">
        <f t="shared" si="0"/>
        <v>7.91646430305974</v>
      </c>
      <c r="AF12" s="598" t="s">
        <v>101</v>
      </c>
    </row>
    <row r="13" spans="1:32" ht="12.75" customHeight="1">
      <c r="A13" s="597"/>
      <c r="B13" s="610" t="s">
        <v>71</v>
      </c>
      <c r="C13" s="1058"/>
      <c r="D13" s="1059">
        <v>23.6</v>
      </c>
      <c r="E13" s="1055">
        <v>74.325</v>
      </c>
      <c r="F13" s="1055"/>
      <c r="G13" s="1055"/>
      <c r="H13" s="1055"/>
      <c r="I13" s="1055"/>
      <c r="J13" s="1055">
        <v>101.184</v>
      </c>
      <c r="K13" s="1055">
        <v>104.04</v>
      </c>
      <c r="L13" s="1055">
        <v>105.657</v>
      </c>
      <c r="M13" s="1055">
        <v>109.294</v>
      </c>
      <c r="N13" s="1055">
        <v>111.135</v>
      </c>
      <c r="O13" s="1055">
        <v>114.666</v>
      </c>
      <c r="P13" s="1055">
        <v>117.947</v>
      </c>
      <c r="Q13" s="1055">
        <v>117.792</v>
      </c>
      <c r="R13" s="1055">
        <v>119.646</v>
      </c>
      <c r="S13" s="1055">
        <v>117.825</v>
      </c>
      <c r="T13" s="1055">
        <v>118.355</v>
      </c>
      <c r="U13" s="1055">
        <v>115.723</v>
      </c>
      <c r="V13" s="1055">
        <v>117.498</v>
      </c>
      <c r="W13" s="1055">
        <v>121.779</v>
      </c>
      <c r="X13" s="1055">
        <v>124.097</v>
      </c>
      <c r="Y13" s="1055">
        <v>120.69</v>
      </c>
      <c r="Z13" s="1055">
        <v>118.003</v>
      </c>
      <c r="AA13" s="1055">
        <v>113.743</v>
      </c>
      <c r="AB13" s="1055">
        <v>109.069</v>
      </c>
      <c r="AC13" s="1055">
        <v>104.446</v>
      </c>
      <c r="AD13" s="1055">
        <v>103.836</v>
      </c>
      <c r="AE13" s="1059">
        <f t="shared" si="0"/>
        <v>-0.5840338548149191</v>
      </c>
      <c r="AF13" s="610" t="s">
        <v>71</v>
      </c>
    </row>
    <row r="14" spans="1:32" ht="12.75" customHeight="1">
      <c r="A14" s="597"/>
      <c r="B14" s="610" t="s">
        <v>61</v>
      </c>
      <c r="C14" s="1052"/>
      <c r="D14" s="1053"/>
      <c r="E14" s="1054"/>
      <c r="F14" s="1055"/>
      <c r="G14" s="1060"/>
      <c r="H14" s="1055">
        <v>183.964</v>
      </c>
      <c r="I14" s="1056">
        <v>199.635</v>
      </c>
      <c r="J14" s="1056">
        <v>219.311</v>
      </c>
      <c r="K14" s="1091">
        <v>242.959</v>
      </c>
      <c r="L14" s="1056">
        <v>265.372</v>
      </c>
      <c r="M14" s="1056">
        <v>280.31100000000004</v>
      </c>
      <c r="N14" s="1056">
        <v>289.41</v>
      </c>
      <c r="O14" s="1056">
        <v>298.286</v>
      </c>
      <c r="P14" s="1056">
        <v>321.23499999999996</v>
      </c>
      <c r="Q14" s="1056">
        <v>349.495</v>
      </c>
      <c r="R14" s="1056">
        <v>365.746</v>
      </c>
      <c r="S14" s="1056">
        <v>396.206</v>
      </c>
      <c r="T14" s="1091">
        <v>439.161</v>
      </c>
      <c r="U14" s="1091">
        <v>490.904</v>
      </c>
      <c r="V14" s="1093">
        <v>554.831</v>
      </c>
      <c r="W14" s="1056">
        <v>607.4119999999999</v>
      </c>
      <c r="X14" s="1056">
        <v>601.767</v>
      </c>
      <c r="Y14" s="1056">
        <v>597.966</v>
      </c>
      <c r="Z14" s="1056">
        <v>597.2320000000001</v>
      </c>
      <c r="AA14" s="1056">
        <v>604.155</v>
      </c>
      <c r="AB14" s="1056">
        <f>593.439+7.626</f>
        <v>601.0649999999999</v>
      </c>
      <c r="AC14" s="1056">
        <f>608.711+6.621</f>
        <v>615.332</v>
      </c>
      <c r="AD14" s="1094">
        <f>646.792+5.283</f>
        <v>652.075</v>
      </c>
      <c r="AE14" s="1057">
        <f t="shared" si="0"/>
        <v>5.971248041707568</v>
      </c>
      <c r="AF14" s="610" t="s">
        <v>61</v>
      </c>
    </row>
    <row r="15" spans="1:32" ht="12.75" customHeight="1">
      <c r="A15" s="597"/>
      <c r="B15" s="610" t="s">
        <v>63</v>
      </c>
      <c r="C15" s="1058">
        <v>1188</v>
      </c>
      <c r="D15" s="1059">
        <v>1511</v>
      </c>
      <c r="E15" s="1055">
        <v>1653</v>
      </c>
      <c r="F15" s="1055">
        <v>1660</v>
      </c>
      <c r="G15" s="1055">
        <v>1849</v>
      </c>
      <c r="H15" s="1055">
        <v>2188.983</v>
      </c>
      <c r="I15" s="1055">
        <v>2289.4100000000003</v>
      </c>
      <c r="J15" s="1055">
        <v>2378.712</v>
      </c>
      <c r="K15" s="1055">
        <v>2428.959</v>
      </c>
      <c r="L15" s="1055">
        <v>2181.9970000000003</v>
      </c>
      <c r="M15" s="1055">
        <v>2267.022</v>
      </c>
      <c r="N15" s="1055">
        <v>2361.722</v>
      </c>
      <c r="O15" s="1055">
        <v>2419.107</v>
      </c>
      <c r="P15" s="1055">
        <v>2427.686</v>
      </c>
      <c r="Q15" s="1055">
        <v>2397.622</v>
      </c>
      <c r="R15" s="1055">
        <v>2385.0750000000003</v>
      </c>
      <c r="S15" s="1055">
        <v>2385.286</v>
      </c>
      <c r="T15" s="1060">
        <v>2404.9049999999997</v>
      </c>
      <c r="U15" s="1060">
        <v>2471.221</v>
      </c>
      <c r="V15" s="1055">
        <v>2502.999</v>
      </c>
      <c r="W15" s="1055">
        <v>2523.5609999999997</v>
      </c>
      <c r="X15" s="1055">
        <v>2556.01</v>
      </c>
      <c r="Y15" s="1055">
        <v>2619.427</v>
      </c>
      <c r="Z15" s="1055">
        <v>2712.977</v>
      </c>
      <c r="AA15" s="1055">
        <v>2761.396</v>
      </c>
      <c r="AB15" s="1055">
        <f>2629.209+184.589</f>
        <v>2813.798</v>
      </c>
      <c r="AC15" s="1055">
        <f>2701.343+188.481</f>
        <v>2889.8239999999996</v>
      </c>
      <c r="AD15" s="1055">
        <f>2800.78+194.386</f>
        <v>2995.166</v>
      </c>
      <c r="AE15" s="1059">
        <f t="shared" si="0"/>
        <v>3.645273899033313</v>
      </c>
      <c r="AF15" s="610" t="s">
        <v>63</v>
      </c>
    </row>
    <row r="16" spans="1:32" ht="12.75" customHeight="1">
      <c r="A16" s="597"/>
      <c r="B16" s="598" t="s">
        <v>14</v>
      </c>
      <c r="C16" s="1048">
        <v>245</v>
      </c>
      <c r="D16" s="1049">
        <v>249</v>
      </c>
      <c r="E16" s="1050">
        <v>286.613</v>
      </c>
      <c r="F16" s="1050">
        <v>298.312</v>
      </c>
      <c r="G16" s="1050">
        <v>304.205</v>
      </c>
      <c r="H16" s="1050">
        <v>312.274</v>
      </c>
      <c r="I16" s="1050">
        <v>322.032</v>
      </c>
      <c r="J16" s="1050">
        <v>333.758</v>
      </c>
      <c r="K16" s="1050">
        <v>339.897</v>
      </c>
      <c r="L16" s="1050">
        <v>345.972</v>
      </c>
      <c r="M16" s="1050">
        <v>357.633</v>
      </c>
      <c r="N16" s="1050">
        <v>373.258</v>
      </c>
      <c r="O16" s="1050">
        <v>384.85</v>
      </c>
      <c r="P16" s="1050">
        <v>392.26</v>
      </c>
      <c r="Q16" s="1050">
        <v>401.762</v>
      </c>
      <c r="R16" s="1050">
        <v>412.813</v>
      </c>
      <c r="S16" s="1050">
        <v>436.147</v>
      </c>
      <c r="T16" s="1050">
        <v>469.52299999999997</v>
      </c>
      <c r="U16" s="1050">
        <v>508.774</v>
      </c>
      <c r="V16" s="1050">
        <v>536.55</v>
      </c>
      <c r="W16" s="1050">
        <v>531.403</v>
      </c>
      <c r="X16" s="1050">
        <v>507.861</v>
      </c>
      <c r="Y16" s="1050">
        <v>485.109</v>
      </c>
      <c r="Z16" s="1050">
        <v>469.248</v>
      </c>
      <c r="AA16" s="1050">
        <v>459.557</v>
      </c>
      <c r="AB16" s="1050">
        <f>402.352+29.215+12.858</f>
        <v>444.42499999999995</v>
      </c>
      <c r="AC16" s="1050">
        <f>398.066+28.628+12.867</f>
        <v>439.561</v>
      </c>
      <c r="AD16" s="1050">
        <f>395.649+28.309+13.127</f>
        <v>437.08500000000004</v>
      </c>
      <c r="AE16" s="1049">
        <f t="shared" si="0"/>
        <v>-0.5632892818061634</v>
      </c>
      <c r="AF16" s="598" t="s">
        <v>14</v>
      </c>
    </row>
    <row r="17" spans="1:32" ht="12.75" customHeight="1">
      <c r="A17" s="597"/>
      <c r="B17" s="598" t="s">
        <v>64</v>
      </c>
      <c r="C17" s="1048"/>
      <c r="D17" s="1049">
        <v>51.1</v>
      </c>
      <c r="E17" s="1050">
        <v>67.7</v>
      </c>
      <c r="F17" s="1050">
        <v>77.1</v>
      </c>
      <c r="G17" s="1050">
        <v>74.6</v>
      </c>
      <c r="H17" s="1050">
        <v>74.1</v>
      </c>
      <c r="I17" s="1050">
        <v>53.7</v>
      </c>
      <c r="J17" s="1050">
        <v>65.598</v>
      </c>
      <c r="K17" s="1050">
        <v>71.304</v>
      </c>
      <c r="L17" s="1050">
        <v>76.605</v>
      </c>
      <c r="M17" s="1050">
        <v>80.617</v>
      </c>
      <c r="N17" s="1050">
        <v>81.03</v>
      </c>
      <c r="O17" s="1050">
        <v>82.119</v>
      </c>
      <c r="P17" s="1050">
        <v>80.535</v>
      </c>
      <c r="Q17" s="1050">
        <v>80.179</v>
      </c>
      <c r="R17" s="1050">
        <v>83.43</v>
      </c>
      <c r="S17" s="1050">
        <v>85.732</v>
      </c>
      <c r="T17" s="1050">
        <v>86.201</v>
      </c>
      <c r="U17" s="1050">
        <v>92.86</v>
      </c>
      <c r="V17" s="1050">
        <v>80.28</v>
      </c>
      <c r="W17" s="1050">
        <v>83.35</v>
      </c>
      <c r="X17" s="1050">
        <v>81.1</v>
      </c>
      <c r="Y17" s="1050">
        <v>81.2</v>
      </c>
      <c r="Z17" s="1050">
        <v>84.337</v>
      </c>
      <c r="AA17" s="1050">
        <v>88.045</v>
      </c>
      <c r="AB17" s="1050">
        <v>92.2</v>
      </c>
      <c r="AC17" s="1050">
        <v>96.6</v>
      </c>
      <c r="AD17" s="1050">
        <v>101.8</v>
      </c>
      <c r="AE17" s="1049">
        <f t="shared" si="0"/>
        <v>5.383022774327117</v>
      </c>
      <c r="AF17" s="598" t="s">
        <v>64</v>
      </c>
    </row>
    <row r="18" spans="1:32" ht="12.75" customHeight="1">
      <c r="A18" s="597"/>
      <c r="B18" s="598" t="s">
        <v>15</v>
      </c>
      <c r="C18" s="1048">
        <v>105</v>
      </c>
      <c r="D18" s="1049">
        <v>401</v>
      </c>
      <c r="E18" s="1050">
        <v>766.429</v>
      </c>
      <c r="F18" s="1050">
        <v>792.77</v>
      </c>
      <c r="G18" s="1050">
        <v>797.788</v>
      </c>
      <c r="H18" s="1050">
        <v>825.697</v>
      </c>
      <c r="I18" s="1050">
        <v>849.033</v>
      </c>
      <c r="J18" s="1050">
        <v>883.823</v>
      </c>
      <c r="K18" s="1050">
        <v>914.827</v>
      </c>
      <c r="L18" s="1050">
        <v>951.785</v>
      </c>
      <c r="M18" s="1050">
        <v>987.357</v>
      </c>
      <c r="N18" s="1050">
        <v>1023.987</v>
      </c>
      <c r="O18" s="1050">
        <v>1057.422</v>
      </c>
      <c r="P18" s="1050">
        <v>1085.811</v>
      </c>
      <c r="Q18" s="1051">
        <v>1109.137</v>
      </c>
      <c r="R18" s="1050">
        <v>1131.027</v>
      </c>
      <c r="S18" s="1050">
        <v>1159.137</v>
      </c>
      <c r="T18" s="1050">
        <v>1186.483</v>
      </c>
      <c r="U18" s="1050">
        <v>1219.889</v>
      </c>
      <c r="V18" s="1050">
        <v>1255.945</v>
      </c>
      <c r="W18" s="1050">
        <v>1289.525</v>
      </c>
      <c r="X18" s="1050">
        <v>1302.43</v>
      </c>
      <c r="Y18" s="1050">
        <v>1318.768</v>
      </c>
      <c r="Z18" s="1050">
        <v>1321.296</v>
      </c>
      <c r="AA18" s="1050">
        <v>1318.918</v>
      </c>
      <c r="AB18" s="1050">
        <v>1315.836</v>
      </c>
      <c r="AC18" s="1050">
        <v>1322.604</v>
      </c>
      <c r="AD18" s="1050">
        <v>1332.823</v>
      </c>
      <c r="AE18" s="1049">
        <f t="shared" si="0"/>
        <v>0.772642453825938</v>
      </c>
      <c r="AF18" s="598" t="s">
        <v>15</v>
      </c>
    </row>
    <row r="19" spans="1:32" ht="12.75" customHeight="1">
      <c r="A19" s="597"/>
      <c r="B19" s="610" t="s">
        <v>66</v>
      </c>
      <c r="C19" s="1058">
        <v>710</v>
      </c>
      <c r="D19" s="1059">
        <v>1362.424</v>
      </c>
      <c r="E19" s="1055">
        <v>2401.085</v>
      </c>
      <c r="F19" s="1055">
        <v>2568.429</v>
      </c>
      <c r="G19" s="1055">
        <v>2726.191</v>
      </c>
      <c r="H19" s="1055">
        <v>2812.6099999999997</v>
      </c>
      <c r="I19" s="1055">
        <v>2905.75</v>
      </c>
      <c r="J19" s="1055">
        <v>3024.246</v>
      </c>
      <c r="K19" s="1055">
        <v>3151.904</v>
      </c>
      <c r="L19" s="1055">
        <v>3310.0950000000003</v>
      </c>
      <c r="M19" s="1055">
        <v>3509.7509999999997</v>
      </c>
      <c r="N19" s="1055">
        <v>3735.188</v>
      </c>
      <c r="O19" s="1055">
        <v>3923.176</v>
      </c>
      <c r="P19" s="1055">
        <v>4104.9580000000005</v>
      </c>
      <c r="Q19" s="1055">
        <v>4258.889</v>
      </c>
      <c r="R19" s="1055">
        <v>4363.4169999999995</v>
      </c>
      <c r="S19" s="1055">
        <v>4603.418</v>
      </c>
      <c r="T19" s="1055">
        <v>4849.619</v>
      </c>
      <c r="U19" s="1055">
        <v>5087.311</v>
      </c>
      <c r="V19" s="1055">
        <v>5353.283</v>
      </c>
      <c r="W19" s="1055">
        <v>5405.585</v>
      </c>
      <c r="X19" s="1055">
        <v>5342.9439999999995</v>
      </c>
      <c r="Y19" s="1055">
        <v>5303.465999999999</v>
      </c>
      <c r="Z19" s="1055">
        <v>5256.751</v>
      </c>
      <c r="AA19" s="1055">
        <f>4984.722+186.964</f>
        <v>5171.686</v>
      </c>
      <c r="AB19" s="1055">
        <f>4887.352+182.822</f>
        <v>5070.174</v>
      </c>
      <c r="AC19" s="1055">
        <f>4839.484+186.06</f>
        <v>5025.544000000001</v>
      </c>
      <c r="AD19" s="1055">
        <f>4851.518+195.657</f>
        <v>5047.175</v>
      </c>
      <c r="AE19" s="1059">
        <f t="shared" si="0"/>
        <v>0.4304210648638218</v>
      </c>
      <c r="AF19" s="610" t="s">
        <v>66</v>
      </c>
    </row>
    <row r="20" spans="1:32" ht="12.75" customHeight="1">
      <c r="A20" s="597"/>
      <c r="B20" s="598" t="s">
        <v>87</v>
      </c>
      <c r="C20" s="1064">
        <v>103</v>
      </c>
      <c r="D20" s="1063">
        <v>149</v>
      </c>
      <c r="E20" s="1065">
        <v>264.157</v>
      </c>
      <c r="F20" s="1065">
        <v>263.8</v>
      </c>
      <c r="G20" s="1065">
        <v>263</v>
      </c>
      <c r="H20" s="1065">
        <v>253.109</v>
      </c>
      <c r="I20" s="1065">
        <v>246.553</v>
      </c>
      <c r="J20" s="1065">
        <v>252.032</v>
      </c>
      <c r="K20" s="1065">
        <v>258.697</v>
      </c>
      <c r="L20" s="1065">
        <v>266.944</v>
      </c>
      <c r="M20" s="1065">
        <v>280.61</v>
      </c>
      <c r="N20" s="1065">
        <v>293.707</v>
      </c>
      <c r="O20" s="1065">
        <v>304.318</v>
      </c>
      <c r="P20" s="1065">
        <v>312.557</v>
      </c>
      <c r="Q20" s="1065">
        <v>319.699</v>
      </c>
      <c r="R20" s="1065">
        <v>327.122</v>
      </c>
      <c r="S20" s="1065">
        <v>355.16400000000004</v>
      </c>
      <c r="T20" s="1065">
        <v>363.644</v>
      </c>
      <c r="U20" s="1065">
        <v>376.092</v>
      </c>
      <c r="V20" s="1065">
        <f>394.718</f>
        <v>394.718</v>
      </c>
      <c r="W20" s="1065">
        <f>424.498</f>
        <v>424.498</v>
      </c>
      <c r="X20" s="1065">
        <f>443.912</f>
        <v>443.912</v>
      </c>
      <c r="Y20" s="1065">
        <f>464.408</f>
        <v>464.408</v>
      </c>
      <c r="Z20" s="1065">
        <f>488.939</f>
        <v>488.939</v>
      </c>
      <c r="AA20" s="1065">
        <f>508.011</f>
        <v>508.011</v>
      </c>
      <c r="AB20" s="1074">
        <f>391.952+134.146</f>
        <v>526.098</v>
      </c>
      <c r="AC20" s="1065">
        <f>404.817+138.077</f>
        <v>542.894</v>
      </c>
      <c r="AD20" s="1065">
        <f>418.87+142.02</f>
        <v>560.89</v>
      </c>
      <c r="AE20" s="1063">
        <f t="shared" si="0"/>
        <v>3.3148275722332414</v>
      </c>
      <c r="AF20" s="598" t="s">
        <v>87</v>
      </c>
    </row>
    <row r="21" spans="1:32" ht="12.75" customHeight="1">
      <c r="A21" s="597"/>
      <c r="B21" s="598" t="s">
        <v>67</v>
      </c>
      <c r="C21" s="1048">
        <v>1504</v>
      </c>
      <c r="D21" s="1049">
        <v>2591</v>
      </c>
      <c r="E21" s="1050">
        <v>4840</v>
      </c>
      <c r="F21" s="1050">
        <v>4941</v>
      </c>
      <c r="G21" s="1050">
        <v>4959</v>
      </c>
      <c r="H21" s="1050">
        <v>4989</v>
      </c>
      <c r="I21" s="1050">
        <v>5062</v>
      </c>
      <c r="J21" s="1050">
        <v>5116</v>
      </c>
      <c r="K21" s="1050">
        <v>5173</v>
      </c>
      <c r="L21" s="1050">
        <v>5298</v>
      </c>
      <c r="M21" s="1050">
        <v>5418</v>
      </c>
      <c r="N21" s="1050">
        <v>5530</v>
      </c>
      <c r="O21" s="1050">
        <v>5673</v>
      </c>
      <c r="P21" s="1050">
        <v>5816</v>
      </c>
      <c r="Q21" s="1050">
        <v>5903</v>
      </c>
      <c r="R21" s="1050">
        <v>5986</v>
      </c>
      <c r="S21" s="1050">
        <v>6057</v>
      </c>
      <c r="T21" s="1050">
        <v>6115</v>
      </c>
      <c r="U21" s="1050">
        <v>6178</v>
      </c>
      <c r="V21" s="1050">
        <v>6250</v>
      </c>
      <c r="W21" s="1050">
        <v>6278</v>
      </c>
      <c r="X21" s="1050">
        <v>6303</v>
      </c>
      <c r="Y21" s="1050">
        <v>6358</v>
      </c>
      <c r="Z21" s="1050">
        <v>6431</v>
      </c>
      <c r="AA21" s="1050">
        <v>6451</v>
      </c>
      <c r="AB21" s="1050">
        <v>6462</v>
      </c>
      <c r="AC21" s="1050">
        <v>6519</v>
      </c>
      <c r="AD21" s="1050">
        <f>6363+199</f>
        <v>6562</v>
      </c>
      <c r="AE21" s="1063">
        <f t="shared" si="0"/>
        <v>0.6596103696886075</v>
      </c>
      <c r="AF21" s="598" t="s">
        <v>67</v>
      </c>
    </row>
    <row r="22" spans="1:32" ht="12.75" customHeight="1">
      <c r="A22" s="597"/>
      <c r="B22" s="610" t="s">
        <v>148</v>
      </c>
      <c r="C22" s="1058"/>
      <c r="D22" s="1059"/>
      <c r="E22" s="1055"/>
      <c r="F22" s="1055"/>
      <c r="G22" s="1055"/>
      <c r="H22" s="1055">
        <v>51.117000000000004</v>
      </c>
      <c r="I22" s="1055">
        <v>64.438</v>
      </c>
      <c r="J22" s="1055">
        <v>73.497</v>
      </c>
      <c r="K22" s="1055">
        <v>94.921</v>
      </c>
      <c r="L22" s="1055">
        <v>109.73400000000001</v>
      </c>
      <c r="M22" s="1055">
        <v>115.768</v>
      </c>
      <c r="N22" s="1055">
        <v>118.70400000000001</v>
      </c>
      <c r="O22" s="1055">
        <v>122.516</v>
      </c>
      <c r="P22" s="1055">
        <v>129.497</v>
      </c>
      <c r="Q22" s="1055">
        <v>138.74300000000002</v>
      </c>
      <c r="R22" s="1055">
        <v>148.27499999999998</v>
      </c>
      <c r="S22" s="1055">
        <v>154.79</v>
      </c>
      <c r="T22" s="1055">
        <v>162.877</v>
      </c>
      <c r="U22" s="1055">
        <v>169.69799999999998</v>
      </c>
      <c r="V22" s="1055">
        <v>176.703</v>
      </c>
      <c r="W22" s="1055">
        <v>180.30100000000002</v>
      </c>
      <c r="X22" s="1055">
        <v>164.761</v>
      </c>
      <c r="Y22" s="1055">
        <v>157.731</v>
      </c>
      <c r="Z22" s="1055">
        <v>154.884</v>
      </c>
      <c r="AA22" s="1055">
        <v>141.567</v>
      </c>
      <c r="AB22" s="1055">
        <v>141.491</v>
      </c>
      <c r="AC22" s="1055">
        <v>143.66</v>
      </c>
      <c r="AD22" s="1055">
        <v>149.006</v>
      </c>
      <c r="AE22" s="1059">
        <f t="shared" si="0"/>
        <v>3.721286370597255</v>
      </c>
      <c r="AF22" s="610" t="s">
        <v>148</v>
      </c>
    </row>
    <row r="23" spans="1:32" ht="12.75" customHeight="1">
      <c r="A23" s="597"/>
      <c r="B23" s="610" t="s">
        <v>77</v>
      </c>
      <c r="C23" s="1058"/>
      <c r="D23" s="1059">
        <v>197</v>
      </c>
      <c r="E23" s="1055">
        <v>262</v>
      </c>
      <c r="F23" s="1055"/>
      <c r="G23" s="1055"/>
      <c r="H23" s="1055"/>
      <c r="I23" s="1055"/>
      <c r="J23" s="1070">
        <v>277.97400000000005</v>
      </c>
      <c r="K23" s="1069">
        <v>282.204</v>
      </c>
      <c r="L23" s="1069">
        <v>295.383</v>
      </c>
      <c r="M23" s="1069">
        <v>319.779</v>
      </c>
      <c r="N23" s="1069">
        <v>332.503</v>
      </c>
      <c r="O23" s="1069">
        <v>352.628</v>
      </c>
      <c r="P23" s="1069">
        <v>366.213</v>
      </c>
      <c r="Q23" s="1069">
        <v>381.432</v>
      </c>
      <c r="R23" s="1069">
        <v>392.029</v>
      </c>
      <c r="S23" s="1069">
        <v>395.96200000000005</v>
      </c>
      <c r="T23" s="1069">
        <v>412.92100000000005</v>
      </c>
      <c r="U23" s="1069">
        <v>429.457</v>
      </c>
      <c r="V23" s="1069">
        <v>444.495</v>
      </c>
      <c r="W23" s="1069">
        <v>455.891</v>
      </c>
      <c r="X23" s="1069">
        <v>452.523</v>
      </c>
      <c r="Y23" s="1068">
        <v>451.321</v>
      </c>
      <c r="Z23" s="1069">
        <f>402.501+50.262</f>
        <v>452.763</v>
      </c>
      <c r="AA23" s="1069">
        <f>401.723+52.596</f>
        <v>454.319</v>
      </c>
      <c r="AB23" s="1069">
        <f>406.56+56.089</f>
        <v>462.649</v>
      </c>
      <c r="AC23" s="1070">
        <f>417.536+60.875</f>
        <v>478.411</v>
      </c>
      <c r="AD23" s="1069">
        <f>431.795+64.442</f>
        <v>496.237</v>
      </c>
      <c r="AE23" s="1059">
        <f t="shared" si="0"/>
        <v>3.7260848935329705</v>
      </c>
      <c r="AF23" s="610" t="s">
        <v>77</v>
      </c>
    </row>
    <row r="24" spans="1:32" ht="12.75" customHeight="1">
      <c r="A24" s="597"/>
      <c r="B24" s="610" t="s">
        <v>68</v>
      </c>
      <c r="C24" s="1058">
        <v>49</v>
      </c>
      <c r="D24" s="1059">
        <v>65</v>
      </c>
      <c r="E24" s="1055">
        <v>143.166</v>
      </c>
      <c r="F24" s="1055">
        <v>148.331</v>
      </c>
      <c r="G24" s="1055">
        <v>144.798</v>
      </c>
      <c r="H24" s="1055">
        <v>135.225</v>
      </c>
      <c r="I24" s="1055">
        <v>135.809</v>
      </c>
      <c r="J24" s="1055">
        <v>141.785</v>
      </c>
      <c r="K24" s="1055">
        <v>146.601</v>
      </c>
      <c r="L24" s="1055">
        <v>158.158</v>
      </c>
      <c r="M24" s="1055">
        <v>170.866</v>
      </c>
      <c r="N24" s="1055">
        <v>188.814</v>
      </c>
      <c r="O24" s="1055">
        <v>205.575</v>
      </c>
      <c r="P24" s="1055">
        <v>219.51</v>
      </c>
      <c r="Q24" s="1055">
        <v>233.069</v>
      </c>
      <c r="R24" s="1055">
        <v>251.13</v>
      </c>
      <c r="S24" s="1055">
        <v>268.082</v>
      </c>
      <c r="T24" s="1055">
        <v>286.548</v>
      </c>
      <c r="U24" s="1055">
        <v>318.604</v>
      </c>
      <c r="V24" s="1055">
        <v>345.874</v>
      </c>
      <c r="W24" s="1055">
        <v>351.307</v>
      </c>
      <c r="X24" s="1055">
        <v>343.94</v>
      </c>
      <c r="Y24" s="1055">
        <v>327.096</v>
      </c>
      <c r="Z24" s="1055">
        <v>320.996</v>
      </c>
      <c r="AA24" s="1055">
        <v>309.219</v>
      </c>
      <c r="AB24" s="1055">
        <v>317.849</v>
      </c>
      <c r="AC24" s="1061">
        <v>317.378</v>
      </c>
      <c r="AD24" s="1062">
        <v>330.541</v>
      </c>
      <c r="AE24" s="1059">
        <f t="shared" si="0"/>
        <v>4.147420426116483</v>
      </c>
      <c r="AF24" s="610" t="s">
        <v>68</v>
      </c>
    </row>
    <row r="25" spans="1:32" ht="12.75" customHeight="1">
      <c r="A25" s="597"/>
      <c r="B25" s="598" t="s">
        <v>69</v>
      </c>
      <c r="C25" s="1064"/>
      <c r="D25" s="1063">
        <v>1290.687</v>
      </c>
      <c r="E25" s="1065">
        <v>2207.903</v>
      </c>
      <c r="F25" s="1065">
        <v>2292.928</v>
      </c>
      <c r="G25" s="1065">
        <v>2359.847</v>
      </c>
      <c r="H25" s="1065">
        <v>2389.17</v>
      </c>
      <c r="I25" s="1065">
        <v>2446.323</v>
      </c>
      <c r="J25" s="1065">
        <v>2509.893</v>
      </c>
      <c r="K25" s="1065">
        <v>2640.102</v>
      </c>
      <c r="L25" s="1065">
        <v>2719.804</v>
      </c>
      <c r="M25" s="1065">
        <v>2828.003</v>
      </c>
      <c r="N25" s="1065">
        <v>2946.806</v>
      </c>
      <c r="O25" s="1065">
        <v>3087.008</v>
      </c>
      <c r="P25" s="1065">
        <v>3234.466</v>
      </c>
      <c r="Q25" s="1065">
        <v>3429.882</v>
      </c>
      <c r="R25" s="1065">
        <v>3590.305</v>
      </c>
      <c r="S25" s="1065">
        <v>3645.046</v>
      </c>
      <c r="T25" s="1065">
        <v>3785.913</v>
      </c>
      <c r="U25" s="1065">
        <v>3914.797</v>
      </c>
      <c r="V25" s="1065">
        <v>3996.907</v>
      </c>
      <c r="W25" s="1065">
        <v>4072.005</v>
      </c>
      <c r="X25" s="1065">
        <v>4102.589</v>
      </c>
      <c r="Y25" s="1065">
        <v>4141.791</v>
      </c>
      <c r="Z25" s="1065">
        <v>4181.895</v>
      </c>
      <c r="AA25" s="1065">
        <v>4143.766</v>
      </c>
      <c r="AB25" s="1065">
        <f>3938.026+149.563</f>
        <v>4087.589</v>
      </c>
      <c r="AC25" s="1065">
        <f>3930.858+150.086</f>
        <v>4080.9440000000004</v>
      </c>
      <c r="AD25" s="1065">
        <f>3943.964+153.858</f>
        <v>4097.822</v>
      </c>
      <c r="AE25" s="1063">
        <f t="shared" si="0"/>
        <v>0.41358077934907556</v>
      </c>
      <c r="AF25" s="598" t="s">
        <v>69</v>
      </c>
    </row>
    <row r="26" spans="1:32" ht="12.75" customHeight="1">
      <c r="A26" s="597"/>
      <c r="B26" s="610" t="s">
        <v>73</v>
      </c>
      <c r="C26" s="1058"/>
      <c r="D26" s="1059">
        <v>65.7</v>
      </c>
      <c r="E26" s="1055">
        <v>83</v>
      </c>
      <c r="F26" s="1067">
        <f>E26+(H26-E26)*1/3</f>
        <v>88.257</v>
      </c>
      <c r="G26" s="1067">
        <f>E26+(H26-E26)*2/3</f>
        <v>93.514</v>
      </c>
      <c r="H26" s="1055">
        <v>98.771</v>
      </c>
      <c r="I26" s="1055">
        <v>101.06</v>
      </c>
      <c r="J26" s="1061">
        <v>108.89099999999999</v>
      </c>
      <c r="K26" s="1055">
        <v>89.283</v>
      </c>
      <c r="L26" s="1055">
        <v>93.66999999999999</v>
      </c>
      <c r="M26" s="1055">
        <v>99.454</v>
      </c>
      <c r="N26" s="1055">
        <v>96.576</v>
      </c>
      <c r="O26" s="1055">
        <v>98.613</v>
      </c>
      <c r="P26" s="1055">
        <v>100.38900000000001</v>
      </c>
      <c r="Q26" s="1055">
        <v>105.545</v>
      </c>
      <c r="R26" s="1055">
        <v>110.517</v>
      </c>
      <c r="S26" s="1055">
        <v>115.677</v>
      </c>
      <c r="T26" s="1055">
        <v>122.486</v>
      </c>
      <c r="U26" s="1055">
        <v>135.546</v>
      </c>
      <c r="V26" s="1055">
        <v>147.583</v>
      </c>
      <c r="W26" s="1055">
        <v>150.108</v>
      </c>
      <c r="X26" s="1055">
        <v>146.32500000000002</v>
      </c>
      <c r="Y26" s="1055">
        <v>133.921</v>
      </c>
      <c r="Z26" s="1055">
        <v>136.779</v>
      </c>
      <c r="AA26" s="1055">
        <v>138.935</v>
      </c>
      <c r="AB26" s="1055">
        <f>115.367+27.671</f>
        <v>143.038</v>
      </c>
      <c r="AC26" s="1055">
        <f>76.169+23.51</f>
        <v>99.679</v>
      </c>
      <c r="AD26" s="1055">
        <f>78.115+24.781</f>
        <v>102.89599999999999</v>
      </c>
      <c r="AE26" s="1059">
        <f t="shared" si="0"/>
        <v>3.227359825038363</v>
      </c>
      <c r="AF26" s="610" t="s">
        <v>73</v>
      </c>
    </row>
    <row r="27" spans="1:32" ht="12.75" customHeight="1">
      <c r="A27" s="597"/>
      <c r="B27" s="598" t="s">
        <v>76</v>
      </c>
      <c r="C27" s="1064">
        <v>9</v>
      </c>
      <c r="D27" s="1063">
        <v>9</v>
      </c>
      <c r="E27" s="1065">
        <v>11.275</v>
      </c>
      <c r="F27" s="1065">
        <v>12</v>
      </c>
      <c r="G27" s="1065">
        <v>13</v>
      </c>
      <c r="H27" s="1065">
        <v>14.641</v>
      </c>
      <c r="I27" s="1065">
        <v>15.398</v>
      </c>
      <c r="J27" s="1065">
        <v>15.794</v>
      </c>
      <c r="K27" s="1065">
        <v>18.380000000000003</v>
      </c>
      <c r="L27" s="1065">
        <v>19.378</v>
      </c>
      <c r="M27" s="1065">
        <v>20.796</v>
      </c>
      <c r="N27" s="1065">
        <v>22.563</v>
      </c>
      <c r="O27" s="1065">
        <v>24.667</v>
      </c>
      <c r="P27" s="1065">
        <v>26.304000000000002</v>
      </c>
      <c r="Q27" s="1065">
        <v>26.953</v>
      </c>
      <c r="R27" s="1065">
        <v>27.929</v>
      </c>
      <c r="S27" s="1065">
        <v>28.426</v>
      </c>
      <c r="T27" s="1065">
        <v>29.588</v>
      </c>
      <c r="U27" s="1065">
        <v>30.735000000000003</v>
      </c>
      <c r="V27" s="1065">
        <v>32.519999999999996</v>
      </c>
      <c r="W27" s="1065">
        <v>34.408</v>
      </c>
      <c r="X27" s="1065">
        <v>34.736</v>
      </c>
      <c r="Y27" s="1066">
        <v>35.628</v>
      </c>
      <c r="Z27" s="1065">
        <v>36.813</v>
      </c>
      <c r="AA27" s="1065">
        <f>27.046+5.339+4.934</f>
        <v>37.318999999999996</v>
      </c>
      <c r="AB27" s="1065">
        <f>27.635+5.298+4.726</f>
        <v>37.659</v>
      </c>
      <c r="AC27" s="1065">
        <f>28.521+5.311+4.602</f>
        <v>38.434</v>
      </c>
      <c r="AD27" s="1065">
        <f>29.668+5.404+4.502</f>
        <v>39.574000000000005</v>
      </c>
      <c r="AE27" s="1063">
        <f t="shared" si="0"/>
        <v>2.9661237446011484</v>
      </c>
      <c r="AF27" s="598" t="s">
        <v>76</v>
      </c>
    </row>
    <row r="28" spans="1:32" ht="12.75" customHeight="1">
      <c r="A28" s="597"/>
      <c r="B28" s="598" t="s">
        <v>72</v>
      </c>
      <c r="C28" s="1064"/>
      <c r="D28" s="1063"/>
      <c r="E28" s="1065"/>
      <c r="F28" s="1065"/>
      <c r="G28" s="1065"/>
      <c r="H28" s="1065"/>
      <c r="I28" s="1065">
        <v>66.436</v>
      </c>
      <c r="J28" s="1065">
        <v>68.668</v>
      </c>
      <c r="K28" s="1065">
        <v>72.909</v>
      </c>
      <c r="L28" s="1065">
        <v>76.771</v>
      </c>
      <c r="M28" s="1065">
        <v>84.942</v>
      </c>
      <c r="N28" s="1065">
        <v>90.22</v>
      </c>
      <c r="O28" s="1065">
        <v>97.081</v>
      </c>
      <c r="P28" s="1065">
        <v>99.708</v>
      </c>
      <c r="Q28" s="1065">
        <v>102.734</v>
      </c>
      <c r="R28" s="1065">
        <v>104.626</v>
      </c>
      <c r="S28" s="1065">
        <v>107.553</v>
      </c>
      <c r="T28" s="1065">
        <v>113.113</v>
      </c>
      <c r="U28" s="1065">
        <v>121.12</v>
      </c>
      <c r="V28" s="1065">
        <v>129.614</v>
      </c>
      <c r="W28" s="1065">
        <v>129.805</v>
      </c>
      <c r="X28" s="1065">
        <v>120.571</v>
      </c>
      <c r="Y28" s="1065">
        <v>71.575</v>
      </c>
      <c r="Z28" s="1065">
        <v>72.622</v>
      </c>
      <c r="AA28" s="1065">
        <v>76.303</v>
      </c>
      <c r="AB28" s="1065">
        <v>79.899</v>
      </c>
      <c r="AC28" s="1065">
        <v>83.205</v>
      </c>
      <c r="AD28" s="1065">
        <v>85.998</v>
      </c>
      <c r="AE28" s="1063">
        <f t="shared" si="0"/>
        <v>3.35676942491439</v>
      </c>
      <c r="AF28" s="598" t="s">
        <v>72</v>
      </c>
    </row>
    <row r="29" spans="1:32" ht="12.75" customHeight="1">
      <c r="A29" s="597"/>
      <c r="B29" s="598" t="s">
        <v>78</v>
      </c>
      <c r="C29" s="1064"/>
      <c r="D29" s="1063" t="s">
        <v>214</v>
      </c>
      <c r="E29" s="1065" t="s">
        <v>214</v>
      </c>
      <c r="F29" s="1065"/>
      <c r="G29" s="1065"/>
      <c r="H29" s="1065">
        <v>34.024</v>
      </c>
      <c r="I29" s="1065">
        <v>37.601</v>
      </c>
      <c r="J29" s="1065">
        <v>40.835</v>
      </c>
      <c r="K29" s="1065">
        <v>38.431</v>
      </c>
      <c r="L29" s="1065">
        <v>46.312</v>
      </c>
      <c r="M29" s="1065">
        <v>48.403</v>
      </c>
      <c r="N29" s="1065">
        <v>50.047</v>
      </c>
      <c r="O29" s="1065">
        <v>51.463</v>
      </c>
      <c r="P29" s="1071">
        <v>43.663</v>
      </c>
      <c r="Q29" s="1065">
        <v>43.852000000000004</v>
      </c>
      <c r="R29" s="1065">
        <v>44.657</v>
      </c>
      <c r="S29" s="1065">
        <v>44.575</v>
      </c>
      <c r="T29" s="1065">
        <v>44.371</v>
      </c>
      <c r="U29" s="1065">
        <v>45.505</v>
      </c>
      <c r="V29" s="1065">
        <v>46.853</v>
      </c>
      <c r="W29" s="1065">
        <v>48.21</v>
      </c>
      <c r="X29" s="1065">
        <v>47.212</v>
      </c>
      <c r="Y29" s="1065">
        <f>41.257+1.197</f>
        <v>42.454</v>
      </c>
      <c r="Z29" s="1065">
        <f>41.391+1.148</f>
        <v>42.539</v>
      </c>
      <c r="AA29" s="1065">
        <f>41.155+1.09</f>
        <v>42.245000000000005</v>
      </c>
      <c r="AB29" s="1065">
        <f>41.72+1.13</f>
        <v>42.85</v>
      </c>
      <c r="AC29" s="1065">
        <f>42.177+1.157</f>
        <v>43.334</v>
      </c>
      <c r="AD29" s="1065">
        <f>43.026+1.125</f>
        <v>44.151</v>
      </c>
      <c r="AE29" s="1063">
        <f t="shared" si="0"/>
        <v>1.8853556099137023</v>
      </c>
      <c r="AF29" s="598" t="s">
        <v>78</v>
      </c>
    </row>
    <row r="30" spans="1:32" ht="12.75" customHeight="1">
      <c r="A30" s="597"/>
      <c r="B30" s="610" t="s">
        <v>16</v>
      </c>
      <c r="C30" s="1058">
        <v>286</v>
      </c>
      <c r="D30" s="1059">
        <v>314</v>
      </c>
      <c r="E30" s="1055">
        <v>553</v>
      </c>
      <c r="F30" s="1055">
        <v>578</v>
      </c>
      <c r="G30" s="1055">
        <v>619</v>
      </c>
      <c r="H30" s="1055">
        <v>641</v>
      </c>
      <c r="I30" s="1055">
        <v>644</v>
      </c>
      <c r="J30" s="1055">
        <v>654</v>
      </c>
      <c r="K30" s="1055">
        <v>684</v>
      </c>
      <c r="L30" s="1055">
        <v>727</v>
      </c>
      <c r="M30" s="1055">
        <v>795</v>
      </c>
      <c r="N30" s="1055">
        <v>836.047</v>
      </c>
      <c r="O30" s="1055">
        <v>898.9979999999999</v>
      </c>
      <c r="P30" s="1055">
        <v>942.3130000000001</v>
      </c>
      <c r="Q30" s="1055">
        <v>980.267</v>
      </c>
      <c r="R30" s="1055">
        <v>1009.642</v>
      </c>
      <c r="S30" s="1055">
        <v>1035.593</v>
      </c>
      <c r="T30" s="1055">
        <v>1004.5060000000001</v>
      </c>
      <c r="U30" s="1055">
        <v>995.733</v>
      </c>
      <c r="V30" s="1055">
        <v>1010.402</v>
      </c>
      <c r="W30" s="1055">
        <v>1025.906</v>
      </c>
      <c r="X30" s="1055">
        <v>1017.2829999999999</v>
      </c>
      <c r="Y30" s="1055">
        <v>1003.9649999999999</v>
      </c>
      <c r="Z30" s="1055">
        <v>990.698</v>
      </c>
      <c r="AA30" s="1055">
        <v>969.639</v>
      </c>
      <c r="AB30" s="1055">
        <f>815.169+65.046+71.063</f>
        <v>951.278</v>
      </c>
      <c r="AC30" s="1055">
        <f>814.954+63.356+70.533</f>
        <v>948.843</v>
      </c>
      <c r="AD30" s="1055">
        <f>828.383+62.436+72.245</f>
        <v>963.0640000000001</v>
      </c>
      <c r="AE30" s="1059">
        <f t="shared" si="0"/>
        <v>1.4987727158233923</v>
      </c>
      <c r="AF30" s="610" t="s">
        <v>16</v>
      </c>
    </row>
    <row r="31" spans="1:32" ht="12.75" customHeight="1">
      <c r="A31" s="597"/>
      <c r="B31" s="610" t="s">
        <v>80</v>
      </c>
      <c r="C31" s="1058"/>
      <c r="D31" s="1059" t="s">
        <v>214</v>
      </c>
      <c r="E31" s="1055" t="s">
        <v>214</v>
      </c>
      <c r="F31" s="1055"/>
      <c r="G31" s="1055"/>
      <c r="H31" s="1060">
        <v>999.845</v>
      </c>
      <c r="I31" s="1055">
        <v>1053.979</v>
      </c>
      <c r="J31" s="1055">
        <v>1354.099</v>
      </c>
      <c r="K31" s="1055">
        <v>1431.357</v>
      </c>
      <c r="L31" s="1055">
        <v>1487.4389999999999</v>
      </c>
      <c r="M31" s="1055">
        <v>1562.814</v>
      </c>
      <c r="N31" s="1055">
        <v>1682.887</v>
      </c>
      <c r="O31" s="1055">
        <v>1879.068</v>
      </c>
      <c r="P31" s="1055">
        <v>1979.293</v>
      </c>
      <c r="Q31" s="1055">
        <v>2162.614</v>
      </c>
      <c r="R31" s="1055">
        <v>2313.4190000000003</v>
      </c>
      <c r="S31" s="1055">
        <v>2391.605</v>
      </c>
      <c r="T31" s="1055">
        <v>2304.505</v>
      </c>
      <c r="U31" s="1055">
        <v>2392.658</v>
      </c>
      <c r="V31" s="1055">
        <v>2520.5480000000002</v>
      </c>
      <c r="W31" s="1055">
        <v>2709.697</v>
      </c>
      <c r="X31" s="1055">
        <v>2796.7670000000003</v>
      </c>
      <c r="Y31" s="1055">
        <v>2981.616</v>
      </c>
      <c r="Z31" s="1055">
        <v>3130.729</v>
      </c>
      <c r="AA31" s="1055">
        <v>3178.005</v>
      </c>
      <c r="AB31" s="1055">
        <f>2962.064+280.42</f>
        <v>3242.484</v>
      </c>
      <c r="AC31" s="1055">
        <f>3037.427+303.189</f>
        <v>3340.616</v>
      </c>
      <c r="AD31" s="1055">
        <f>3098.376+329.589</f>
        <v>3427.965</v>
      </c>
      <c r="AE31" s="1059">
        <f t="shared" si="0"/>
        <v>2.6147572782983843</v>
      </c>
      <c r="AF31" s="610" t="s">
        <v>80</v>
      </c>
    </row>
    <row r="32" spans="1:32" ht="12.75" customHeight="1">
      <c r="A32" s="597"/>
      <c r="B32" s="598" t="s">
        <v>92</v>
      </c>
      <c r="C32" s="1064">
        <v>157</v>
      </c>
      <c r="D32" s="1063">
        <v>350</v>
      </c>
      <c r="E32" s="1065">
        <v>781</v>
      </c>
      <c r="F32" s="1065">
        <v>847</v>
      </c>
      <c r="G32" s="1065">
        <v>928</v>
      </c>
      <c r="H32" s="1065">
        <v>1011</v>
      </c>
      <c r="I32" s="1065">
        <v>868.246</v>
      </c>
      <c r="J32" s="1065">
        <v>912.29</v>
      </c>
      <c r="K32" s="1065">
        <v>969.699</v>
      </c>
      <c r="L32" s="1065">
        <v>1076.556</v>
      </c>
      <c r="M32" s="1065">
        <v>1105.287</v>
      </c>
      <c r="N32" s="1065">
        <v>1232.312</v>
      </c>
      <c r="O32" s="1065">
        <v>1313.223</v>
      </c>
      <c r="P32" s="1065">
        <v>1401.305</v>
      </c>
      <c r="Q32" s="1065">
        <v>1377.335</v>
      </c>
      <c r="R32" s="1065">
        <v>1256.858</v>
      </c>
      <c r="S32" s="1072">
        <v>1300</v>
      </c>
      <c r="T32" s="1072">
        <v>1308</v>
      </c>
      <c r="U32" s="1071">
        <v>1320</v>
      </c>
      <c r="V32" s="1065">
        <v>1333</v>
      </c>
      <c r="W32" s="1072">
        <v>1335</v>
      </c>
      <c r="X32" s="1065">
        <v>1337</v>
      </c>
      <c r="Y32" s="1065">
        <v>1337</v>
      </c>
      <c r="Z32" s="1065">
        <v>1335.5</v>
      </c>
      <c r="AA32" s="1065">
        <f>1170+125</f>
        <v>1295</v>
      </c>
      <c r="AB32" s="1065">
        <v>1258.3999999999999</v>
      </c>
      <c r="AC32" s="1065">
        <f>1118+119</f>
        <v>1237</v>
      </c>
      <c r="AD32" s="1065">
        <f>1110+119</f>
        <v>1229</v>
      </c>
      <c r="AE32" s="1063">
        <f t="shared" si="0"/>
        <v>-0.6467259498787286</v>
      </c>
      <c r="AF32" s="598" t="s">
        <v>92</v>
      </c>
    </row>
    <row r="33" spans="1:32" ht="12.75" customHeight="1">
      <c r="A33" s="597"/>
      <c r="B33" s="610" t="s">
        <v>102</v>
      </c>
      <c r="C33" s="1058"/>
      <c r="D33" s="1059">
        <v>250</v>
      </c>
      <c r="E33" s="1055">
        <v>258.701</v>
      </c>
      <c r="F33" s="1060">
        <v>259.566</v>
      </c>
      <c r="G33" s="1055">
        <v>275.487</v>
      </c>
      <c r="H33" s="1055">
        <v>298.318</v>
      </c>
      <c r="I33" s="1055">
        <v>322.417</v>
      </c>
      <c r="J33" s="1055">
        <v>343.064</v>
      </c>
      <c r="K33" s="1055">
        <v>376.817</v>
      </c>
      <c r="L33" s="1055">
        <v>390.181</v>
      </c>
      <c r="M33" s="1055">
        <v>405.743</v>
      </c>
      <c r="N33" s="1055">
        <v>417.78</v>
      </c>
      <c r="O33" s="1055">
        <v>427.152</v>
      </c>
      <c r="P33" s="1055">
        <v>437.968</v>
      </c>
      <c r="Q33" s="1055">
        <v>447.299</v>
      </c>
      <c r="R33" s="1055">
        <v>463.099</v>
      </c>
      <c r="S33" s="1055">
        <v>482.425</v>
      </c>
      <c r="T33" s="1055">
        <v>493.821</v>
      </c>
      <c r="U33" s="1055">
        <v>545.3</v>
      </c>
      <c r="V33" s="1055">
        <v>501.957</v>
      </c>
      <c r="W33" s="1055">
        <v>645.34</v>
      </c>
      <c r="X33" s="1055">
        <v>661.9</v>
      </c>
      <c r="Y33" s="1055">
        <v>667.219</v>
      </c>
      <c r="Z33" s="1055">
        <v>696.26</v>
      </c>
      <c r="AA33" s="1055">
        <v>719.926</v>
      </c>
      <c r="AB33" s="1055">
        <v>761.554</v>
      </c>
      <c r="AC33" s="1055">
        <f>712.317+94.206</f>
        <v>806.523</v>
      </c>
      <c r="AD33" s="1055">
        <f>750.497+105.76</f>
        <v>856.257</v>
      </c>
      <c r="AE33" s="1059">
        <f t="shared" si="0"/>
        <v>6.166470144062842</v>
      </c>
      <c r="AF33" s="610" t="s">
        <v>102</v>
      </c>
    </row>
    <row r="34" spans="1:32" ht="12.75" customHeight="1">
      <c r="A34" s="597"/>
      <c r="B34" s="610" t="s">
        <v>88</v>
      </c>
      <c r="C34" s="1058">
        <v>145</v>
      </c>
      <c r="D34" s="1059">
        <v>181.57</v>
      </c>
      <c r="E34" s="1055">
        <v>309.52</v>
      </c>
      <c r="F34" s="1055">
        <v>309.81</v>
      </c>
      <c r="G34" s="1055">
        <v>304.99</v>
      </c>
      <c r="H34" s="1055">
        <v>305.68600000000004</v>
      </c>
      <c r="I34" s="1055">
        <v>307.916</v>
      </c>
      <c r="J34" s="1055">
        <v>307.709</v>
      </c>
      <c r="K34" s="1055">
        <v>311.751</v>
      </c>
      <c r="L34" s="1055">
        <v>321.31</v>
      </c>
      <c r="M34" s="1055">
        <v>337.973</v>
      </c>
      <c r="N34" s="1055">
        <v>354.293</v>
      </c>
      <c r="O34" s="1055">
        <v>374.222</v>
      </c>
      <c r="P34" s="1055">
        <v>395.693</v>
      </c>
      <c r="Q34" s="1055">
        <v>408.94</v>
      </c>
      <c r="R34" s="1055">
        <v>421.561</v>
      </c>
      <c r="S34" s="1055">
        <v>439.985</v>
      </c>
      <c r="T34" s="1055">
        <v>461.161</v>
      </c>
      <c r="U34" s="1055">
        <v>479.794</v>
      </c>
      <c r="V34" s="1055">
        <v>504.085</v>
      </c>
      <c r="W34" s="1055">
        <v>510.199</v>
      </c>
      <c r="X34" s="1055">
        <v>514.576</v>
      </c>
      <c r="Y34" s="1055">
        <v>526.441</v>
      </c>
      <c r="Z34" s="1055">
        <v>548.272</v>
      </c>
      <c r="AA34" s="1055">
        <v>556.821</v>
      </c>
      <c r="AB34" s="1055">
        <v>565.182</v>
      </c>
      <c r="AC34" s="1055">
        <v>581.205</v>
      </c>
      <c r="AD34" s="1055">
        <v>596.214</v>
      </c>
      <c r="AE34" s="1059">
        <f t="shared" si="0"/>
        <v>2.582393475623917</v>
      </c>
      <c r="AF34" s="610" t="s">
        <v>88</v>
      </c>
    </row>
    <row r="35" spans="1:32" ht="12.75" customHeight="1">
      <c r="A35" s="597"/>
      <c r="B35" s="598" t="s">
        <v>83</v>
      </c>
      <c r="C35" s="1064">
        <v>15.946</v>
      </c>
      <c r="D35" s="1063">
        <v>28.455</v>
      </c>
      <c r="E35" s="1065">
        <v>30.767</v>
      </c>
      <c r="F35" s="1065">
        <v>30.772</v>
      </c>
      <c r="G35" s="1065">
        <v>34.535000000000004</v>
      </c>
      <c r="H35" s="1065">
        <v>36.976000000000006</v>
      </c>
      <c r="I35" s="1065">
        <v>38.852000000000004</v>
      </c>
      <c r="J35" s="1065">
        <v>42.867</v>
      </c>
      <c r="K35" s="1065">
        <v>45.589</v>
      </c>
      <c r="L35" s="1065">
        <v>47.88</v>
      </c>
      <c r="M35" s="1065">
        <v>49.513000000000005</v>
      </c>
      <c r="N35" s="1065">
        <v>51.741</v>
      </c>
      <c r="O35" s="1065">
        <v>54.263</v>
      </c>
      <c r="P35" s="1065">
        <v>56.114999999999995</v>
      </c>
      <c r="Q35" s="1065">
        <v>57.9</v>
      </c>
      <c r="R35" s="1065">
        <v>59.801</v>
      </c>
      <c r="S35" s="1065">
        <v>63.178</v>
      </c>
      <c r="T35" s="1065">
        <v>66.447</v>
      </c>
      <c r="U35" s="1065">
        <v>70.132</v>
      </c>
      <c r="V35" s="1065">
        <v>77.568</v>
      </c>
      <c r="W35" s="1065">
        <v>83.909</v>
      </c>
      <c r="X35" s="1065">
        <v>83.633</v>
      </c>
      <c r="Y35" s="1065">
        <v>84.107</v>
      </c>
      <c r="Z35" s="1065">
        <v>84.644</v>
      </c>
      <c r="AA35" s="1065">
        <v>84.408</v>
      </c>
      <c r="AB35" s="1073">
        <f>68.264+9.638+7.036</f>
        <v>84.938</v>
      </c>
      <c r="AC35" s="1065">
        <f>77.103+10.162</f>
        <v>87.265</v>
      </c>
      <c r="AD35" s="1065">
        <f>79.95+11.326</f>
        <v>91.27600000000001</v>
      </c>
      <c r="AE35" s="1063">
        <f t="shared" si="0"/>
        <v>4.596344467999785</v>
      </c>
      <c r="AF35" s="598" t="s">
        <v>83</v>
      </c>
    </row>
    <row r="36" spans="1:32" ht="12.75" customHeight="1">
      <c r="A36" s="597"/>
      <c r="B36" s="610" t="s">
        <v>85</v>
      </c>
      <c r="C36" s="1052"/>
      <c r="D36" s="1053"/>
      <c r="E36" s="1054">
        <v>91.994</v>
      </c>
      <c r="F36" s="1055">
        <v>95.336</v>
      </c>
      <c r="G36" s="1055">
        <v>102.295</v>
      </c>
      <c r="H36" s="1055">
        <v>101.552</v>
      </c>
      <c r="I36" s="1055">
        <v>102.47</v>
      </c>
      <c r="J36" s="1055">
        <v>102.634</v>
      </c>
      <c r="K36" s="1055">
        <v>97.078</v>
      </c>
      <c r="L36" s="1055">
        <v>103.68</v>
      </c>
      <c r="M36" s="1055">
        <v>112.802</v>
      </c>
      <c r="N36" s="1055">
        <v>118.28699999999999</v>
      </c>
      <c r="O36" s="1055">
        <v>113.995</v>
      </c>
      <c r="P36" s="1055">
        <v>125.393</v>
      </c>
      <c r="Q36" s="1055">
        <v>137.171</v>
      </c>
      <c r="R36" s="1055">
        <v>150.99099999999999</v>
      </c>
      <c r="S36" s="1055">
        <v>151.83</v>
      </c>
      <c r="T36" s="1055">
        <v>174.23</v>
      </c>
      <c r="U36" s="1055">
        <v>189.256</v>
      </c>
      <c r="V36" s="1055">
        <v>215.697</v>
      </c>
      <c r="W36" s="1055">
        <v>248.66199999999998</v>
      </c>
      <c r="X36" s="1055">
        <v>269.322</v>
      </c>
      <c r="Y36" s="1055">
        <v>276.04900000000004</v>
      </c>
      <c r="Z36" s="1055">
        <v>281.81100000000004</v>
      </c>
      <c r="AA36" s="1055">
        <v>285.978</v>
      </c>
      <c r="AB36" s="1055">
        <f>261.84+27.561</f>
        <v>289.40099999999995</v>
      </c>
      <c r="AC36" s="1055">
        <f>265.424+28.429</f>
        <v>293.85299999999995</v>
      </c>
      <c r="AD36" s="1055">
        <f>272.955+29.928</f>
        <v>302.883</v>
      </c>
      <c r="AE36" s="1059">
        <f t="shared" si="0"/>
        <v>3.0729650539555564</v>
      </c>
      <c r="AF36" s="610" t="s">
        <v>85</v>
      </c>
    </row>
    <row r="37" spans="1:32" ht="12.75" customHeight="1">
      <c r="A37" s="597"/>
      <c r="B37" s="604" t="s">
        <v>13</v>
      </c>
      <c r="C37" s="1075">
        <v>1749</v>
      </c>
      <c r="D37" s="1076">
        <v>1828</v>
      </c>
      <c r="E37" s="1077">
        <v>2706</v>
      </c>
      <c r="F37" s="1077">
        <v>2640</v>
      </c>
      <c r="G37" s="1077">
        <v>2639</v>
      </c>
      <c r="H37" s="1077">
        <v>2589</v>
      </c>
      <c r="I37" s="1077">
        <v>2585</v>
      </c>
      <c r="J37" s="1077">
        <v>2565</v>
      </c>
      <c r="K37" s="1077">
        <v>2618</v>
      </c>
      <c r="L37" s="1078">
        <v>2679</v>
      </c>
      <c r="M37" s="1077">
        <v>2789</v>
      </c>
      <c r="N37" s="1077">
        <v>2872.7</v>
      </c>
      <c r="O37" s="1077">
        <v>2928.3</v>
      </c>
      <c r="P37" s="1077">
        <v>3019.6</v>
      </c>
      <c r="Q37" s="1077">
        <v>3111.9</v>
      </c>
      <c r="R37" s="1077">
        <v>3236.6</v>
      </c>
      <c r="S37" s="1077">
        <v>3425.2</v>
      </c>
      <c r="T37" s="1077">
        <v>3552.4</v>
      </c>
      <c r="U37" s="1077">
        <v>3641.1</v>
      </c>
      <c r="V37" s="1077">
        <v>3778.7000000000003</v>
      </c>
      <c r="W37" s="1077">
        <v>3805.8</v>
      </c>
      <c r="X37" s="1077">
        <v>3782.07</v>
      </c>
      <c r="Y37" s="1077">
        <v>3796.8630000000003</v>
      </c>
      <c r="Z37" s="1077">
        <v>3833.235</v>
      </c>
      <c r="AA37" s="1077">
        <f>3280.6+460.6+97.087+22.384</f>
        <v>3860.671</v>
      </c>
      <c r="AB37" s="1077">
        <f>3353.9+468.9+117.498</f>
        <v>3940.2980000000002</v>
      </c>
      <c r="AC37" s="1077">
        <f>3569.6+496.8</f>
        <v>4066.4</v>
      </c>
      <c r="AD37" s="1077">
        <f>3736.036+506.211</f>
        <v>4242.247</v>
      </c>
      <c r="AE37" s="1076">
        <f t="shared" si="0"/>
        <v>4.324390123942564</v>
      </c>
      <c r="AF37" s="604" t="s">
        <v>13</v>
      </c>
    </row>
    <row r="38" spans="1:32" ht="12.75" customHeight="1">
      <c r="A38" s="597"/>
      <c r="B38" s="652" t="s">
        <v>289</v>
      </c>
      <c r="C38" s="1079"/>
      <c r="D38" s="1047"/>
      <c r="E38" s="1055"/>
      <c r="F38" s="1055"/>
      <c r="G38" s="1055"/>
      <c r="H38" s="1055">
        <v>39.335</v>
      </c>
      <c r="I38" s="1055">
        <v>51.113</v>
      </c>
      <c r="J38" s="1055">
        <v>29.124</v>
      </c>
      <c r="K38" s="1055">
        <v>30.612000000000002</v>
      </c>
      <c r="L38" s="1055">
        <v>33.256</v>
      </c>
      <c r="M38" s="1055">
        <v>37.109</v>
      </c>
      <c r="N38" s="1055">
        <v>37.126</v>
      </c>
      <c r="O38" s="1055">
        <v>45.575</v>
      </c>
      <c r="P38" s="1055">
        <v>52.321</v>
      </c>
      <c r="Q38" s="1055">
        <v>54.63</v>
      </c>
      <c r="R38" s="1055">
        <v>56.857</v>
      </c>
      <c r="S38" s="1055">
        <v>48.775</v>
      </c>
      <c r="T38" s="1055">
        <v>47.333</v>
      </c>
      <c r="U38" s="1055">
        <v>41.318000000000005</v>
      </c>
      <c r="V38" s="1055">
        <v>61.621</v>
      </c>
      <c r="W38" s="1055">
        <v>79.054</v>
      </c>
      <c r="X38" s="1055">
        <v>79.307</v>
      </c>
      <c r="Y38" s="1055">
        <v>83.719</v>
      </c>
      <c r="Z38" s="1055">
        <v>71.209</v>
      </c>
      <c r="AA38" s="1055">
        <v>60</v>
      </c>
      <c r="AB38" s="1055">
        <v>65.26</v>
      </c>
      <c r="AC38" s="1055">
        <v>68.676</v>
      </c>
      <c r="AD38" s="1055">
        <v>71.011</v>
      </c>
      <c r="AE38" s="1059">
        <f t="shared" si="0"/>
        <v>3.400023297804182</v>
      </c>
      <c r="AF38" s="610" t="s">
        <v>289</v>
      </c>
    </row>
    <row r="39" spans="1:32" ht="12.75" customHeight="1">
      <c r="A39" s="597"/>
      <c r="B39" s="598" t="s">
        <v>235</v>
      </c>
      <c r="C39" s="1064"/>
      <c r="D39" s="1063"/>
      <c r="E39" s="1065"/>
      <c r="F39" s="1065"/>
      <c r="G39" s="1065"/>
      <c r="H39" s="1065"/>
      <c r="I39" s="1065"/>
      <c r="J39" s="1065"/>
      <c r="K39" s="1065"/>
      <c r="L39" s="1065"/>
      <c r="M39" s="1065"/>
      <c r="N39" s="1065"/>
      <c r="O39" s="1065"/>
      <c r="P39" s="1065"/>
      <c r="Q39" s="1065"/>
      <c r="R39" s="1065"/>
      <c r="S39" s="1065"/>
      <c r="T39" s="1065"/>
      <c r="U39" s="1065"/>
      <c r="V39" s="1065"/>
      <c r="W39" s="1065"/>
      <c r="X39" s="1065"/>
      <c r="Y39" s="1065"/>
      <c r="Z39" s="1065">
        <f>12.394+1.095</f>
        <v>13.489</v>
      </c>
      <c r="AA39" s="1065">
        <f>1.03+12.638</f>
        <v>13.668</v>
      </c>
      <c r="AB39" s="1065">
        <f>12.848+0.959</f>
        <v>13.807</v>
      </c>
      <c r="AC39" s="1065">
        <f>11.992+0.769+1.069</f>
        <v>13.830000000000002</v>
      </c>
      <c r="AD39" s="1065">
        <f>12.517+0.661+1.163</f>
        <v>14.341</v>
      </c>
      <c r="AE39" s="1063">
        <f t="shared" si="0"/>
        <v>3.694866232827181</v>
      </c>
      <c r="AF39" s="598" t="s">
        <v>235</v>
      </c>
    </row>
    <row r="40" spans="1:32" ht="12.75" customHeight="1">
      <c r="A40" s="597"/>
      <c r="B40" s="610" t="s">
        <v>149</v>
      </c>
      <c r="C40" s="1058"/>
      <c r="D40" s="1059"/>
      <c r="E40" s="1055"/>
      <c r="F40" s="1055"/>
      <c r="G40" s="1055"/>
      <c r="H40" s="1055">
        <v>20.104</v>
      </c>
      <c r="I40" s="1055">
        <v>20.026</v>
      </c>
      <c r="J40" s="1055">
        <v>22.558</v>
      </c>
      <c r="K40" s="1055">
        <v>21.937</v>
      </c>
      <c r="L40" s="1055">
        <v>23.286</v>
      </c>
      <c r="M40" s="1055">
        <v>23.44</v>
      </c>
      <c r="N40" s="1055">
        <v>23.47</v>
      </c>
      <c r="O40" s="1055">
        <v>24.628</v>
      </c>
      <c r="P40" s="1055">
        <v>25.896</v>
      </c>
      <c r="Q40" s="1055">
        <v>24.318</v>
      </c>
      <c r="R40" s="1055">
        <f>19.042+3.952</f>
        <v>22.994</v>
      </c>
      <c r="S40" s="1055">
        <f>15.196+3.194</f>
        <v>18.39</v>
      </c>
      <c r="T40" s="1055">
        <f>14.702+3.339</f>
        <v>18.041</v>
      </c>
      <c r="U40" s="1055">
        <f>13.545+3.411</f>
        <v>16.956</v>
      </c>
      <c r="V40" s="1055">
        <f>12.981+3.575</f>
        <v>16.556</v>
      </c>
      <c r="W40" s="1055">
        <f>13.325+3.94</f>
        <v>17.265</v>
      </c>
      <c r="X40" s="1061">
        <f>27.771+4.263</f>
        <v>32.034</v>
      </c>
      <c r="Y40" s="1055">
        <f>28.795+4.505</f>
        <v>33.300000000000004</v>
      </c>
      <c r="Z40" s="1055">
        <f>27.917+4.636</f>
        <v>32.553000000000004</v>
      </c>
      <c r="AA40" s="1055">
        <f>26.542+4.219</f>
        <v>30.761000000000003</v>
      </c>
      <c r="AB40" s="1055">
        <f>30.167+4.934</f>
        <v>35.101</v>
      </c>
      <c r="AC40" s="1055">
        <f>32.123+5.248</f>
        <v>37.370999999999995</v>
      </c>
      <c r="AD40" s="1055">
        <f>33.237+5.451</f>
        <v>38.688</v>
      </c>
      <c r="AE40" s="1059">
        <f t="shared" si="0"/>
        <v>3.524122983061744</v>
      </c>
      <c r="AF40" s="610" t="s">
        <v>149</v>
      </c>
    </row>
    <row r="41" spans="1:32" ht="12.75" customHeight="1">
      <c r="A41" s="597"/>
      <c r="B41" s="598" t="s">
        <v>236</v>
      </c>
      <c r="C41" s="1064"/>
      <c r="D41" s="1063"/>
      <c r="E41" s="1065"/>
      <c r="F41" s="1065"/>
      <c r="G41" s="1065"/>
      <c r="H41" s="1065"/>
      <c r="I41" s="1065"/>
      <c r="J41" s="1065"/>
      <c r="K41" s="1065"/>
      <c r="L41" s="1065"/>
      <c r="M41" s="1065"/>
      <c r="N41" s="1065"/>
      <c r="O41" s="1065"/>
      <c r="P41" s="1065">
        <v>100.724</v>
      </c>
      <c r="Q41" s="1065">
        <v>98.242</v>
      </c>
      <c r="R41" s="1065">
        <v>102.916</v>
      </c>
      <c r="S41" s="1065">
        <v>110.912</v>
      </c>
      <c r="T41" s="1065">
        <v>118.259</v>
      </c>
      <c r="U41" s="1065">
        <v>127.909</v>
      </c>
      <c r="V41" s="1065">
        <v>131.459</v>
      </c>
      <c r="W41" s="1065">
        <v>140.921</v>
      </c>
      <c r="X41" s="1065">
        <v>149.689</v>
      </c>
      <c r="Y41" s="1066">
        <v>151.687</v>
      </c>
      <c r="Z41" s="1065">
        <v>159.455</v>
      </c>
      <c r="AA41" s="1065">
        <v>144.075</v>
      </c>
      <c r="AB41" s="1065">
        <v>140.854</v>
      </c>
      <c r="AC41" s="1065">
        <v>139.22</v>
      </c>
      <c r="AD41" s="1065">
        <v>139.886</v>
      </c>
      <c r="AE41" s="1063">
        <f t="shared" si="0"/>
        <v>0.47837954316906917</v>
      </c>
      <c r="AF41" s="598" t="s">
        <v>236</v>
      </c>
    </row>
    <row r="42" spans="1:32" ht="12.75" customHeight="1">
      <c r="A42" s="597"/>
      <c r="B42" s="657" t="s">
        <v>150</v>
      </c>
      <c r="C42" s="1080"/>
      <c r="D42" s="1081" t="s">
        <v>214</v>
      </c>
      <c r="E42" s="1082" t="s">
        <v>214</v>
      </c>
      <c r="F42" s="1082"/>
      <c r="G42" s="1082">
        <f>308.18+379.41</f>
        <v>687.59</v>
      </c>
      <c r="H42" s="1082">
        <f>354.29+406.398</f>
        <v>760.6880000000001</v>
      </c>
      <c r="I42" s="1082">
        <f>374.473+419.374</f>
        <v>793.847</v>
      </c>
      <c r="J42" s="1082">
        <f>397.743+432.216</f>
        <v>829.9590000000001</v>
      </c>
      <c r="K42" s="1082">
        <f>442.788+453.796</f>
        <v>896.5840000000001</v>
      </c>
      <c r="L42" s="1082">
        <f>529.838+489.071</f>
        <v>1018.909</v>
      </c>
      <c r="M42" s="1082">
        <f>626.004+519.749</f>
        <v>1145.7530000000002</v>
      </c>
      <c r="N42" s="1082">
        <f>692.935+531.69</f>
        <v>1224.625</v>
      </c>
      <c r="O42" s="1082">
        <f>794.459+557.295</f>
        <v>1351.754</v>
      </c>
      <c r="P42" s="1082">
        <f>833.175+562.063</f>
        <v>1395.2379999999998</v>
      </c>
      <c r="Q42" s="1082">
        <f>875.381+567.152</f>
        <v>1442.533</v>
      </c>
      <c r="R42" s="1082">
        <f>973.457+579.01</f>
        <v>1552.467</v>
      </c>
      <c r="S42" s="1082">
        <f>1259.867+647.42</f>
        <v>1907.2869999999998</v>
      </c>
      <c r="T42" s="1082">
        <f>1475.057+676.929</f>
        <v>2151.986</v>
      </c>
      <c r="U42" s="1082">
        <f>1695.624+709.535</f>
        <v>2405.159</v>
      </c>
      <c r="V42" s="1082">
        <f>1890.459+729.202</f>
        <v>2619.661</v>
      </c>
      <c r="W42" s="1082">
        <f>2066.007+744.217</f>
        <v>2810.224</v>
      </c>
      <c r="X42" s="1082">
        <f>2204.951+727.302</f>
        <v>2932.253</v>
      </c>
      <c r="Y42" s="1082">
        <f>2399.038+726.359</f>
        <v>3125.397</v>
      </c>
      <c r="Z42" s="1082">
        <f>2611.104+728.458</f>
        <v>3339.562</v>
      </c>
      <c r="AA42" s="1082">
        <f>2794.606+751.65</f>
        <v>3546.2560000000003</v>
      </c>
      <c r="AB42" s="1082">
        <f>2933.05+755.95</f>
        <v>3689</v>
      </c>
      <c r="AC42" s="1082">
        <f>3638.989+197.218</f>
        <v>3836.207</v>
      </c>
      <c r="AD42" s="1082">
        <f>3844.725+214.893</f>
        <v>4059.618</v>
      </c>
      <c r="AE42" s="1081">
        <f t="shared" si="0"/>
        <v>5.823747258685458</v>
      </c>
      <c r="AF42" s="657" t="s">
        <v>150</v>
      </c>
    </row>
    <row r="43" spans="1:32" ht="12.75" customHeight="1">
      <c r="A43" s="597"/>
      <c r="B43" s="833" t="s">
        <v>151</v>
      </c>
      <c r="C43" s="1083"/>
      <c r="D43" s="1084" t="s">
        <v>214</v>
      </c>
      <c r="E43" s="1085">
        <f>7.707+5.415</f>
        <v>13.122</v>
      </c>
      <c r="F43" s="1085">
        <f>7.615+7.008</f>
        <v>14.623000000000001</v>
      </c>
      <c r="G43" s="1085">
        <f>6.777+8.068</f>
        <v>14.844999999999999</v>
      </c>
      <c r="H43" s="1085">
        <f>6.506+7.945</f>
        <v>14.451</v>
      </c>
      <c r="I43" s="1085">
        <f>6.392+7.956</f>
        <v>14.348</v>
      </c>
      <c r="J43" s="1085">
        <f>6.445+8.312</f>
        <v>14.757</v>
      </c>
      <c r="K43" s="1085">
        <f>6.594+8.666</f>
        <v>15.260000000000002</v>
      </c>
      <c r="L43" s="1085">
        <f>6.812+9.216</f>
        <v>16.028</v>
      </c>
      <c r="M43" s="1085">
        <f>6.76+9.79</f>
        <v>16.549999999999997</v>
      </c>
      <c r="N43" s="1085">
        <f>7.028+10.779</f>
        <v>17.807</v>
      </c>
      <c r="O43" s="1085">
        <f>7.466+11.966</f>
        <v>19.432</v>
      </c>
      <c r="P43" s="1085">
        <f>7.618+12.372</f>
        <v>19.990000000000002</v>
      </c>
      <c r="Q43" s="1085">
        <f>7.664+12.614</f>
        <v>20.278</v>
      </c>
      <c r="R43" s="1085">
        <f>8.04+13.195</f>
        <v>21.235</v>
      </c>
      <c r="S43" s="1085">
        <v>23.035</v>
      </c>
      <c r="T43" s="1085">
        <f>9.508+16.036</f>
        <v>25.544</v>
      </c>
      <c r="U43" s="1085">
        <v>28.087</v>
      </c>
      <c r="V43" s="1085">
        <v>31.095</v>
      </c>
      <c r="W43" s="1085">
        <v>31.819</v>
      </c>
      <c r="X43" s="1085">
        <f>10.458+20.465</f>
        <v>30.923000000000002</v>
      </c>
      <c r="Y43" s="1085">
        <v>30.437</v>
      </c>
      <c r="Z43" s="1085">
        <v>30.209</v>
      </c>
      <c r="AA43" s="1085">
        <v>30.338</v>
      </c>
      <c r="AB43" s="1085">
        <v>30.657</v>
      </c>
      <c r="AC43" s="1085">
        <v>31.364</v>
      </c>
      <c r="AD43" s="1085">
        <v>33.023</v>
      </c>
      <c r="AE43" s="1084">
        <f t="shared" si="0"/>
        <v>5.289503889809978</v>
      </c>
      <c r="AF43" s="833" t="s">
        <v>151</v>
      </c>
    </row>
    <row r="44" spans="1:32" ht="12.75" customHeight="1">
      <c r="A44" s="597"/>
      <c r="B44" s="610" t="s">
        <v>152</v>
      </c>
      <c r="C44" s="1058"/>
      <c r="D44" s="1059" t="s">
        <v>214</v>
      </c>
      <c r="E44" s="1055">
        <v>308.299</v>
      </c>
      <c r="F44" s="1055">
        <v>311.063</v>
      </c>
      <c r="G44" s="1055">
        <v>314.882</v>
      </c>
      <c r="H44" s="1055">
        <v>323.387</v>
      </c>
      <c r="I44" s="1055">
        <v>335.779</v>
      </c>
      <c r="J44" s="1055">
        <v>349.504</v>
      </c>
      <c r="K44" s="1055">
        <v>358.128</v>
      </c>
      <c r="L44" s="1055">
        <v>377.01200000000006</v>
      </c>
      <c r="M44" s="1055">
        <v>390.829</v>
      </c>
      <c r="N44" s="1055">
        <v>403.039</v>
      </c>
      <c r="O44" s="1055">
        <v>414.34</v>
      </c>
      <c r="P44" s="1055">
        <v>426.977</v>
      </c>
      <c r="Q44" s="1055">
        <v>431.028</v>
      </c>
      <c r="R44" s="1055">
        <v>438.28200000000004</v>
      </c>
      <c r="S44" s="1055">
        <v>449.801</v>
      </c>
      <c r="T44" s="1055">
        <f>302.956+82.778+79.705</f>
        <v>465.439</v>
      </c>
      <c r="U44" s="1055">
        <f>331.052+73.904+83.609</f>
        <v>488.565</v>
      </c>
      <c r="V44" s="1055">
        <f>361.911+84.742+67.02</f>
        <v>513.673</v>
      </c>
      <c r="W44" s="1055">
        <f>379.343+84.35+59.657</f>
        <v>523.35</v>
      </c>
      <c r="X44" s="1055">
        <f>387.546+53.911+82.694</f>
        <v>524.151</v>
      </c>
      <c r="Y44" s="1055">
        <f>397.279+48.432+81.33</f>
        <v>527.041</v>
      </c>
      <c r="Z44" s="1055">
        <f>410.73+43.371+80.16</f>
        <v>534.261</v>
      </c>
      <c r="AA44" s="1055">
        <v>542.528</v>
      </c>
      <c r="AB44" s="1055">
        <f>434.636+79.437+34.232</f>
        <v>548.305</v>
      </c>
      <c r="AC44" s="1055">
        <f>441.967+78.668+30.247</f>
        <v>550.882</v>
      </c>
      <c r="AD44" s="1055">
        <f>450.385+77.12+26.605</f>
        <v>554.11</v>
      </c>
      <c r="AE44" s="1059">
        <f t="shared" si="0"/>
        <v>0.5859694090567586</v>
      </c>
      <c r="AF44" s="610" t="s">
        <v>152</v>
      </c>
    </row>
    <row r="45" spans="1:32" ht="12.75" customHeight="1">
      <c r="A45" s="597"/>
      <c r="B45" s="598" t="s">
        <v>153</v>
      </c>
      <c r="C45" s="1064">
        <v>106.997</v>
      </c>
      <c r="D45" s="1063">
        <v>169.402</v>
      </c>
      <c r="E45" s="1065">
        <v>252.136</v>
      </c>
      <c r="F45" s="1065">
        <v>257.646</v>
      </c>
      <c r="G45" s="1065">
        <v>256.611</v>
      </c>
      <c r="H45" s="1065">
        <v>253.461</v>
      </c>
      <c r="I45" s="1065">
        <v>256.285</v>
      </c>
      <c r="J45" s="1065">
        <v>262.352</v>
      </c>
      <c r="K45" s="1065">
        <v>263.02</v>
      </c>
      <c r="L45" s="1065">
        <v>264.2</v>
      </c>
      <c r="M45" s="1065">
        <v>267.38</v>
      </c>
      <c r="N45" s="1065">
        <v>273.954</v>
      </c>
      <c r="O45" s="1065">
        <v>278.518</v>
      </c>
      <c r="P45" s="1065">
        <v>285.246</v>
      </c>
      <c r="Q45" s="1065">
        <v>290.142</v>
      </c>
      <c r="R45" s="1065">
        <v>292.329</v>
      </c>
      <c r="S45" s="1065">
        <v>298.193</v>
      </c>
      <c r="T45" s="1065">
        <v>307.161</v>
      </c>
      <c r="U45" s="1065">
        <v>314.04</v>
      </c>
      <c r="V45" s="1065">
        <v>324.153</v>
      </c>
      <c r="W45" s="1065">
        <v>326.232</v>
      </c>
      <c r="X45" s="1065">
        <f>327.808</f>
        <v>327.808</v>
      </c>
      <c r="Y45" s="1065">
        <v>335.2</v>
      </c>
      <c r="Z45" s="1065">
        <v>348.553</v>
      </c>
      <c r="AA45" s="1065">
        <v>361.926</v>
      </c>
      <c r="AB45" s="1065">
        <v>371.361</v>
      </c>
      <c r="AC45" s="1065">
        <v>382.281</v>
      </c>
      <c r="AD45" s="1065">
        <v>393.598</v>
      </c>
      <c r="AE45" s="1063">
        <f t="shared" si="0"/>
        <v>2.960387777577239</v>
      </c>
      <c r="AF45" s="598" t="s">
        <v>153</v>
      </c>
    </row>
    <row r="46" spans="1:32" ht="12.75" customHeight="1">
      <c r="A46" s="597"/>
      <c r="B46" s="657" t="s">
        <v>210</v>
      </c>
      <c r="C46" s="1080"/>
      <c r="D46" s="1081"/>
      <c r="E46" s="1082"/>
      <c r="F46" s="1082"/>
      <c r="G46" s="1082"/>
      <c r="H46" s="1082"/>
      <c r="I46" s="1082"/>
      <c r="J46" s="1082"/>
      <c r="K46" s="1082"/>
      <c r="L46" s="1082"/>
      <c r="M46" s="1082"/>
      <c r="N46" s="1082">
        <v>2.884</v>
      </c>
      <c r="O46" s="1082">
        <v>2.46</v>
      </c>
      <c r="P46" s="1082">
        <v>2.6</v>
      </c>
      <c r="Q46" s="1082">
        <v>2.665</v>
      </c>
      <c r="R46" s="1082">
        <v>2.56</v>
      </c>
      <c r="S46" s="1082">
        <v>2.591</v>
      </c>
      <c r="T46" s="1082">
        <v>2.579</v>
      </c>
      <c r="U46" s="1082">
        <v>2.525</v>
      </c>
      <c r="V46" s="1082">
        <v>2.566</v>
      </c>
      <c r="W46" s="1082">
        <v>2.696</v>
      </c>
      <c r="X46" s="1082">
        <f>2.712</f>
        <v>2.712</v>
      </c>
      <c r="Y46" s="1082">
        <v>2.791</v>
      </c>
      <c r="Z46" s="1082">
        <v>2.89</v>
      </c>
      <c r="AA46" s="1082">
        <v>3.022</v>
      </c>
      <c r="AB46" s="1082">
        <v>3.086</v>
      </c>
      <c r="AC46" s="1086">
        <f>2.846+0.263</f>
        <v>3.109</v>
      </c>
      <c r="AD46" s="1082">
        <v>3.183</v>
      </c>
      <c r="AE46" s="1081">
        <f t="shared" si="0"/>
        <v>2.380186555162439</v>
      </c>
      <c r="AF46" s="657" t="s">
        <v>210</v>
      </c>
    </row>
    <row r="47" spans="2:32" ht="30" customHeight="1">
      <c r="B47" s="1280" t="s">
        <v>259</v>
      </c>
      <c r="C47" s="1280"/>
      <c r="D47" s="1280"/>
      <c r="E47" s="1280"/>
      <c r="F47" s="1280"/>
      <c r="G47" s="1280"/>
      <c r="H47" s="1280"/>
      <c r="I47" s="1280"/>
      <c r="J47" s="1280"/>
      <c r="K47" s="1280"/>
      <c r="L47" s="1280"/>
      <c r="M47" s="1280"/>
      <c r="N47" s="1280"/>
      <c r="O47" s="1280"/>
      <c r="P47" s="1280"/>
      <c r="Q47" s="1280"/>
      <c r="R47" s="1280"/>
      <c r="S47" s="1280"/>
      <c r="T47" s="1280"/>
      <c r="U47" s="1302"/>
      <c r="V47" s="1302"/>
      <c r="W47" s="1302"/>
      <c r="X47" s="1302"/>
      <c r="Y47" s="1302"/>
      <c r="Z47" s="1302"/>
      <c r="AA47" s="1302"/>
      <c r="AB47" s="1302"/>
      <c r="AC47" s="1302"/>
      <c r="AD47" s="1302"/>
      <c r="AE47" s="1302"/>
      <c r="AF47" s="1302"/>
    </row>
    <row r="48" spans="2:32" ht="12.75" customHeight="1">
      <c r="B48" s="1298" t="s">
        <v>260</v>
      </c>
      <c r="C48" s="1299"/>
      <c r="D48" s="1299"/>
      <c r="E48" s="1299"/>
      <c r="F48" s="1299"/>
      <c r="G48" s="1299"/>
      <c r="H48" s="1299"/>
      <c r="I48" s="1299"/>
      <c r="J48" s="1299"/>
      <c r="K48" s="1299"/>
      <c r="L48" s="1299"/>
      <c r="M48" s="1299"/>
      <c r="N48" s="1299"/>
      <c r="O48" s="1299"/>
      <c r="P48" s="1299"/>
      <c r="Q48" s="1299"/>
      <c r="R48" s="1299"/>
      <c r="S48" s="1299"/>
      <c r="T48" s="1299"/>
      <c r="U48" s="1299"/>
      <c r="V48" s="1299"/>
      <c r="W48" s="1299"/>
      <c r="X48" s="1299"/>
      <c r="Y48" s="1299"/>
      <c r="Z48" s="1299"/>
      <c r="AA48" s="1299"/>
      <c r="AB48" s="1299"/>
      <c r="AC48" s="1299"/>
      <c r="AD48" s="1299"/>
      <c r="AE48" s="1299"/>
      <c r="AF48" s="1299"/>
    </row>
    <row r="49" spans="2:32" ht="12.75" customHeight="1">
      <c r="B49" s="1300" t="s">
        <v>261</v>
      </c>
      <c r="C49" s="1300"/>
      <c r="D49" s="1300"/>
      <c r="E49" s="1300"/>
      <c r="F49" s="1300"/>
      <c r="G49" s="1300"/>
      <c r="H49" s="1300"/>
      <c r="I49" s="1300"/>
      <c r="J49" s="1300"/>
      <c r="K49" s="1300"/>
      <c r="L49" s="1300"/>
      <c r="M49" s="1300"/>
      <c r="N49" s="1300"/>
      <c r="O49" s="1300"/>
      <c r="P49" s="1300"/>
      <c r="Q49" s="1300"/>
      <c r="R49" s="1300"/>
      <c r="S49" s="1300"/>
      <c r="T49" s="1300"/>
      <c r="U49" s="1300"/>
      <c r="V49" s="1300"/>
      <c r="W49" s="1300"/>
      <c r="X49" s="1300"/>
      <c r="Y49" s="1300"/>
      <c r="Z49" s="1300"/>
      <c r="AA49" s="1300"/>
      <c r="AB49" s="1300"/>
      <c r="AC49" s="1300"/>
      <c r="AD49" s="1300"/>
      <c r="AE49" s="1300"/>
      <c r="AF49" s="1300"/>
    </row>
    <row r="50" spans="2:32" ht="12" customHeight="1">
      <c r="B50" s="1300" t="s">
        <v>262</v>
      </c>
      <c r="C50" s="1300"/>
      <c r="D50" s="1300"/>
      <c r="E50" s="1300"/>
      <c r="F50" s="1300"/>
      <c r="G50" s="1300"/>
      <c r="H50" s="1300"/>
      <c r="I50" s="1300"/>
      <c r="J50" s="1300"/>
      <c r="K50" s="1300"/>
      <c r="L50" s="1300"/>
      <c r="M50" s="1300"/>
      <c r="N50" s="1300"/>
      <c r="O50" s="1300"/>
      <c r="P50" s="1300"/>
      <c r="Q50" s="1300"/>
      <c r="R50" s="1300"/>
      <c r="S50" s="1300"/>
      <c r="T50" s="1300"/>
      <c r="U50" s="1300"/>
      <c r="V50" s="1300"/>
      <c r="W50" s="1300"/>
      <c r="X50" s="1300"/>
      <c r="Y50" s="1300"/>
      <c r="Z50" s="1300"/>
      <c r="AA50" s="1300"/>
      <c r="AB50" s="1300"/>
      <c r="AC50" s="1300"/>
      <c r="AD50" s="1300"/>
      <c r="AE50" s="1300"/>
      <c r="AF50" s="1300"/>
    </row>
    <row r="51" spans="2:30" ht="11.25">
      <c r="B51" s="573" t="s">
        <v>263</v>
      </c>
      <c r="U51" s="1087"/>
      <c r="V51" s="1087"/>
      <c r="W51" s="1087"/>
      <c r="X51" s="1087"/>
      <c r="Y51" s="1087"/>
      <c r="Z51" s="1087"/>
      <c r="AA51" s="1087"/>
      <c r="AB51" s="1087"/>
      <c r="AC51" s="1088"/>
      <c r="AD51" s="1087"/>
    </row>
    <row r="52" spans="2:30" ht="11.25">
      <c r="B52" s="573" t="s">
        <v>321</v>
      </c>
      <c r="J52" s="1087"/>
      <c r="K52" s="1087"/>
      <c r="L52" s="1087"/>
      <c r="M52" s="1087"/>
      <c r="N52" s="1087"/>
      <c r="O52" s="1087"/>
      <c r="P52" s="1087"/>
      <c r="Q52" s="1087"/>
      <c r="R52" s="1087"/>
      <c r="S52" s="1087"/>
      <c r="T52" s="1087"/>
      <c r="U52" s="1087"/>
      <c r="V52" s="1087"/>
      <c r="W52" s="1087"/>
      <c r="X52" s="1087"/>
      <c r="Y52" s="1087"/>
      <c r="Z52" s="1087"/>
      <c r="AA52" s="1087"/>
      <c r="AB52" s="1087"/>
      <c r="AC52" s="1089"/>
      <c r="AD52" s="1087"/>
    </row>
    <row r="53" spans="5:29" ht="11.25">
      <c r="E53" s="1090"/>
      <c r="X53" s="1087"/>
      <c r="AC53" s="1089"/>
    </row>
    <row r="54" spans="5:29" ht="14.25">
      <c r="E54" s="1090"/>
      <c r="K54" s="268"/>
      <c r="L54" s="269"/>
      <c r="M54" s="269"/>
      <c r="N54" s="269"/>
      <c r="O54" s="269"/>
      <c r="P54" s="269"/>
      <c r="Q54" s="269"/>
      <c r="X54" s="1087"/>
      <c r="AC54" s="1089"/>
    </row>
  </sheetData>
  <sheetProtection/>
  <mergeCells count="7">
    <mergeCell ref="B50:AF50"/>
    <mergeCell ref="B1:C1"/>
    <mergeCell ref="B2:AF2"/>
    <mergeCell ref="B3:AF3"/>
    <mergeCell ref="B47:AF47"/>
    <mergeCell ref="B48:AF48"/>
    <mergeCell ref="B49:AF49"/>
  </mergeCells>
  <printOptions horizontalCentered="1"/>
  <pageMargins left="0.6692913385826772" right="0.6692913385826772" top="0.5118110236220472" bottom="0.2755905511811024" header="0" footer="0"/>
  <pageSetup fitToHeight="1" fitToWidth="1" horizontalDpi="600" verticalDpi="600" orientation="landscape" paperSize="9" scale="89"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Y103"/>
  <sheetViews>
    <sheetView zoomScalePageLayoutView="0" workbookViewId="0" topLeftCell="A1">
      <selection activeCell="AA8" sqref="AA8"/>
    </sheetView>
  </sheetViews>
  <sheetFormatPr defaultColWidth="9.140625" defaultRowHeight="12.75"/>
  <cols>
    <col min="1" max="1" width="3.7109375" style="773" customWidth="1"/>
    <col min="2" max="2" width="4.00390625" style="773" customWidth="1"/>
    <col min="3" max="7" width="7.28125" style="1095" hidden="1" customWidth="1"/>
    <col min="8" max="13" width="7.28125" style="773" hidden="1" customWidth="1"/>
    <col min="14" max="21" width="7.7109375" style="773" customWidth="1"/>
    <col min="22" max="22" width="7.7109375" style="1095" customWidth="1"/>
    <col min="23" max="23" width="7.7109375" style="773" customWidth="1"/>
    <col min="24" max="24" width="6.7109375" style="773" customWidth="1"/>
    <col min="25" max="25" width="7.57421875" style="773" customWidth="1"/>
    <col min="26" max="16384" width="9.140625" style="773" customWidth="1"/>
  </cols>
  <sheetData>
    <row r="1" spans="2:25" ht="14.25" customHeight="1">
      <c r="B1" s="918"/>
      <c r="C1" s="1031"/>
      <c r="D1" s="1031"/>
      <c r="E1" s="1031"/>
      <c r="F1" s="1031"/>
      <c r="G1" s="1031"/>
      <c r="H1" s="777"/>
      <c r="I1" s="777"/>
      <c r="Y1" s="574" t="s">
        <v>215</v>
      </c>
    </row>
    <row r="2" spans="2:25" s="1096" customFormat="1" ht="30" customHeight="1">
      <c r="B2" s="1304" t="s">
        <v>216</v>
      </c>
      <c r="C2" s="1304"/>
      <c r="D2" s="1304"/>
      <c r="E2" s="1304"/>
      <c r="F2" s="1304"/>
      <c r="G2" s="1304"/>
      <c r="H2" s="1304"/>
      <c r="I2" s="1304"/>
      <c r="J2" s="1304"/>
      <c r="K2" s="1304"/>
      <c r="L2" s="1304"/>
      <c r="M2" s="1304"/>
      <c r="N2" s="1304"/>
      <c r="O2" s="1304"/>
      <c r="P2" s="1304"/>
      <c r="Q2" s="1304"/>
      <c r="R2" s="1304"/>
      <c r="S2" s="1304"/>
      <c r="T2" s="1304"/>
      <c r="U2" s="1304"/>
      <c r="V2" s="1304"/>
      <c r="W2" s="1304"/>
      <c r="X2" s="1304"/>
      <c r="Y2" s="1304"/>
    </row>
    <row r="3" spans="2:25" ht="15" customHeight="1">
      <c r="B3" s="1305" t="s">
        <v>208</v>
      </c>
      <c r="C3" s="1305"/>
      <c r="D3" s="1305"/>
      <c r="E3" s="1305"/>
      <c r="F3" s="1305"/>
      <c r="G3" s="1305"/>
      <c r="H3" s="1305"/>
      <c r="I3" s="1305"/>
      <c r="J3" s="1305"/>
      <c r="K3" s="1305"/>
      <c r="L3" s="1305"/>
      <c r="M3" s="1305"/>
      <c r="N3" s="1305"/>
      <c r="O3" s="1305"/>
      <c r="P3" s="1305"/>
      <c r="Q3" s="1305"/>
      <c r="R3" s="1305"/>
      <c r="S3" s="1305"/>
      <c r="T3" s="1305"/>
      <c r="U3" s="1305"/>
      <c r="V3" s="1305"/>
      <c r="W3" s="1305"/>
      <c r="X3" s="1305"/>
      <c r="Y3" s="1305"/>
    </row>
    <row r="4" spans="2:25" ht="12.75" customHeight="1">
      <c r="B4" s="585"/>
      <c r="C4" s="585"/>
      <c r="D4" s="585"/>
      <c r="E4" s="585"/>
      <c r="F4" s="585"/>
      <c r="G4" s="585"/>
      <c r="H4" s="916"/>
      <c r="P4" s="1034"/>
      <c r="Q4" s="1034" t="s">
        <v>209</v>
      </c>
      <c r="R4" s="578"/>
      <c r="S4" s="578"/>
      <c r="T4" s="578"/>
      <c r="U4" s="578"/>
      <c r="V4" s="578"/>
      <c r="W4" s="578"/>
      <c r="Y4" s="578"/>
    </row>
    <row r="5" spans="2:25" ht="19.5" customHeight="1">
      <c r="B5" s="585"/>
      <c r="C5" s="940">
        <v>1995</v>
      </c>
      <c r="D5" s="583">
        <v>1996</v>
      </c>
      <c r="E5" s="583">
        <v>1997</v>
      </c>
      <c r="F5" s="583">
        <v>1998</v>
      </c>
      <c r="G5" s="583">
        <v>1999</v>
      </c>
      <c r="H5" s="583">
        <v>2000</v>
      </c>
      <c r="I5" s="583">
        <v>2001</v>
      </c>
      <c r="J5" s="583">
        <v>2002</v>
      </c>
      <c r="K5" s="583">
        <v>2003</v>
      </c>
      <c r="L5" s="583">
        <v>2004</v>
      </c>
      <c r="M5" s="583">
        <v>2005</v>
      </c>
      <c r="N5" s="583">
        <v>2006</v>
      </c>
      <c r="O5" s="583">
        <v>2007</v>
      </c>
      <c r="P5" s="583">
        <v>2008</v>
      </c>
      <c r="Q5" s="583">
        <v>2009</v>
      </c>
      <c r="R5" s="583">
        <v>2010</v>
      </c>
      <c r="S5" s="583">
        <v>2011</v>
      </c>
      <c r="T5" s="583">
        <v>2012</v>
      </c>
      <c r="U5" s="583">
        <v>2013</v>
      </c>
      <c r="V5" s="583">
        <v>2014</v>
      </c>
      <c r="W5" s="583">
        <v>2015</v>
      </c>
      <c r="X5" s="584" t="s">
        <v>331</v>
      </c>
      <c r="Y5" s="681"/>
    </row>
    <row r="6" spans="2:25" ht="9.75" customHeight="1">
      <c r="B6" s="585"/>
      <c r="C6" s="944"/>
      <c r="D6" s="588"/>
      <c r="E6" s="588"/>
      <c r="F6" s="588"/>
      <c r="G6" s="588"/>
      <c r="H6" s="588"/>
      <c r="I6" s="588"/>
      <c r="J6" s="588"/>
      <c r="K6" s="588"/>
      <c r="L6" s="588"/>
      <c r="M6" s="588"/>
      <c r="N6" s="588"/>
      <c r="O6" s="588"/>
      <c r="P6" s="588"/>
      <c r="Q6" s="588"/>
      <c r="R6" s="588"/>
      <c r="S6" s="588"/>
      <c r="T6" s="588"/>
      <c r="U6" s="588"/>
      <c r="V6" s="588"/>
      <c r="W6" s="588"/>
      <c r="X6" s="590" t="s">
        <v>147</v>
      </c>
      <c r="Y6" s="681"/>
    </row>
    <row r="7" spans="2:25" ht="12.75" customHeight="1">
      <c r="B7" s="591" t="s">
        <v>250</v>
      </c>
      <c r="C7" s="1097"/>
      <c r="D7" s="1098"/>
      <c r="E7" s="1098"/>
      <c r="F7" s="1098"/>
      <c r="G7" s="1098"/>
      <c r="H7" s="1039">
        <v>23389.220999999994</v>
      </c>
      <c r="I7" s="1039">
        <v>26129.616000000005</v>
      </c>
      <c r="J7" s="1039">
        <v>27147.53900000001</v>
      </c>
      <c r="K7" s="1039">
        <v>28044.076999999994</v>
      </c>
      <c r="L7" s="1039">
        <v>28563.183000000005</v>
      </c>
      <c r="M7" s="1039">
        <v>29831.85</v>
      </c>
      <c r="N7" s="1039">
        <v>30867.71899999999</v>
      </c>
      <c r="O7" s="1039">
        <v>32959.48</v>
      </c>
      <c r="P7" s="1039">
        <v>34177.416999999994</v>
      </c>
      <c r="Q7" s="1039">
        <v>34228.703</v>
      </c>
      <c r="R7" s="1039">
        <v>34401.26609999999</v>
      </c>
      <c r="S7" s="1039">
        <v>34928.882000000005</v>
      </c>
      <c r="T7" s="1039">
        <v>34500.324</v>
      </c>
      <c r="U7" s="1039">
        <v>34697.132999999994</v>
      </c>
      <c r="V7" s="1039">
        <v>35202.606999999996</v>
      </c>
      <c r="W7" s="1039">
        <v>35509.138</v>
      </c>
      <c r="X7" s="787">
        <v>0.8707622137190043</v>
      </c>
      <c r="Y7" s="591" t="s">
        <v>250</v>
      </c>
    </row>
    <row r="8" spans="1:25" ht="12.75" customHeight="1">
      <c r="A8" s="573"/>
      <c r="B8" s="598" t="s">
        <v>89</v>
      </c>
      <c r="C8" s="1099"/>
      <c r="D8" s="1100"/>
      <c r="E8" s="1100"/>
      <c r="F8" s="1100"/>
      <c r="G8" s="1100"/>
      <c r="H8" s="1100">
        <v>20805.457</v>
      </c>
      <c r="I8" s="1100">
        <v>23530.213</v>
      </c>
      <c r="J8" s="1100">
        <v>24366.145000000008</v>
      </c>
      <c r="K8" s="1100">
        <v>25275.67</v>
      </c>
      <c r="L8" s="1100">
        <v>26163.246000000003</v>
      </c>
      <c r="M8" s="1100">
        <v>27127.553999999996</v>
      </c>
      <c r="N8" s="1100">
        <v>28072.128999999997</v>
      </c>
      <c r="O8" s="1100">
        <v>30019.300000000003</v>
      </c>
      <c r="P8" s="1100">
        <v>30848.744</v>
      </c>
      <c r="Q8" s="1100">
        <v>30669.734</v>
      </c>
      <c r="R8" s="1100">
        <v>30693.581000000002</v>
      </c>
      <c r="S8" s="1100">
        <v>31004.857999999997</v>
      </c>
      <c r="T8" s="1100">
        <v>30413.528000000002</v>
      </c>
      <c r="U8" s="1100">
        <v>30467.446999999996</v>
      </c>
      <c r="V8" s="1100">
        <v>30863.113</v>
      </c>
      <c r="W8" s="1100">
        <v>30959.996999999996</v>
      </c>
      <c r="X8" s="793">
        <v>0.31391519060308326</v>
      </c>
      <c r="Y8" s="598" t="s">
        <v>89</v>
      </c>
    </row>
    <row r="9" spans="1:25" ht="12.75" customHeight="1">
      <c r="A9" s="573"/>
      <c r="B9" s="604" t="s">
        <v>251</v>
      </c>
      <c r="C9" s="1101"/>
      <c r="D9" s="1102"/>
      <c r="E9" s="1102"/>
      <c r="F9" s="1102"/>
      <c r="G9" s="1102"/>
      <c r="H9" s="1102">
        <v>2583.7639999999956</v>
      </c>
      <c r="I9" s="1102">
        <v>2599.4030000000057</v>
      </c>
      <c r="J9" s="1102">
        <v>2781.394000000004</v>
      </c>
      <c r="K9" s="1102">
        <v>2768.4069999999956</v>
      </c>
      <c r="L9" s="1102">
        <v>2399.9370000000017</v>
      </c>
      <c r="M9" s="1102">
        <v>2704.296000000002</v>
      </c>
      <c r="N9" s="1102">
        <v>2795.589999999993</v>
      </c>
      <c r="O9" s="1102">
        <v>2940.1800000000003</v>
      </c>
      <c r="P9" s="1102">
        <v>3328.672999999995</v>
      </c>
      <c r="Q9" s="1102">
        <v>3558.969000000001</v>
      </c>
      <c r="R9" s="1102">
        <v>3707.6850999999915</v>
      </c>
      <c r="S9" s="1102">
        <v>3924.0240000000085</v>
      </c>
      <c r="T9" s="1102">
        <v>4086.7959999999985</v>
      </c>
      <c r="U9" s="1102">
        <v>4229.685999999998</v>
      </c>
      <c r="V9" s="1102">
        <v>4339.493999999995</v>
      </c>
      <c r="W9" s="1102">
        <v>4549.141000000003</v>
      </c>
      <c r="X9" s="1103">
        <v>4.8311392987294965</v>
      </c>
      <c r="Y9" s="604" t="s">
        <v>251</v>
      </c>
    </row>
    <row r="10" spans="1:25" ht="12.75" customHeight="1">
      <c r="A10" s="597"/>
      <c r="B10" s="833" t="s">
        <v>81</v>
      </c>
      <c r="C10" s="1083">
        <f>371.505+174.907</f>
        <v>546.412</v>
      </c>
      <c r="D10" s="1085">
        <f>366.506+193.685</f>
        <v>560.191</v>
      </c>
      <c r="E10" s="1085">
        <f>362.953+212.767</f>
        <v>575.72</v>
      </c>
      <c r="F10" s="1085">
        <f>362.964+237.767</f>
        <v>600.731</v>
      </c>
      <c r="G10" s="1085">
        <f>359.63+263.297</f>
        <v>622.927</v>
      </c>
      <c r="H10" s="1085">
        <f>352.984+279.728</f>
        <v>632.712</v>
      </c>
      <c r="I10" s="1085">
        <f>346.591+294.843</f>
        <v>641.434</v>
      </c>
      <c r="J10" s="1085">
        <f>304.255+292.569</f>
        <v>596.8240000000001</v>
      </c>
      <c r="K10" s="1085">
        <f>301.387+305.481</f>
        <v>606.8679999999999</v>
      </c>
      <c r="L10" s="1085">
        <f>296.522+315.638</f>
        <v>612.16</v>
      </c>
      <c r="M10" s="1085">
        <f>301.425+326.286</f>
        <v>627.711</v>
      </c>
      <c r="N10" s="1085">
        <f>306.592+338.721</f>
        <v>645.313</v>
      </c>
      <c r="O10" s="1092">
        <f>312.658+354.919</f>
        <v>667.577</v>
      </c>
      <c r="P10" s="1085">
        <v>691.2429999999999</v>
      </c>
      <c r="Q10" s="1085">
        <f>218.135+158.745+305.042+1.234+12.694+16.242</f>
        <v>712.092</v>
      </c>
      <c r="R10" s="1085">
        <f>224.717+168.089+303.908+1.247+14.016+15.875</f>
        <v>727.852</v>
      </c>
      <c r="S10" s="1085">
        <f>301.65+1.31+179.279+230.396+14.106+1.298+0.578+14.812</f>
        <v>743.429</v>
      </c>
      <c r="T10" s="1085">
        <f>299.586+1.458+192.577+236.807+15.522+1.441+0.623+14.378</f>
        <v>762.3920000000002</v>
      </c>
      <c r="U10" s="1085">
        <f>743.648+16.572+1.582+0.674+13.861</f>
        <v>776.337</v>
      </c>
      <c r="V10" s="1085">
        <f>754.739+17.566+1.809+0.708+13.362</f>
        <v>788.184</v>
      </c>
      <c r="W10" s="1085">
        <f>765.576+18.67+1.985+0.744+12.931</f>
        <v>799.9060000000001</v>
      </c>
      <c r="X10" s="665">
        <f aca="true" t="shared" si="0" ref="X10:X46">W10/V10*100-100</f>
        <v>1.48721618302325</v>
      </c>
      <c r="Y10" s="1107" t="s">
        <v>81</v>
      </c>
    </row>
    <row r="11" spans="1:25" ht="12.75" customHeight="1">
      <c r="A11" s="597"/>
      <c r="B11" s="610" t="s">
        <v>60</v>
      </c>
      <c r="C11" s="1058"/>
      <c r="D11" s="1055">
        <v>212.432</v>
      </c>
      <c r="E11" s="1055">
        <v>225.317</v>
      </c>
      <c r="F11" s="1055">
        <v>241.11</v>
      </c>
      <c r="G11" s="1055">
        <v>260.567</v>
      </c>
      <c r="H11" s="1055">
        <v>277.838</v>
      </c>
      <c r="I11" s="1055">
        <v>293.63</v>
      </c>
      <c r="J11" s="1055">
        <v>305.51</v>
      </c>
      <c r="K11" s="1060">
        <v>319.48</v>
      </c>
      <c r="L11" s="1055">
        <v>322.762</v>
      </c>
      <c r="M11" s="1060">
        <v>346.293</v>
      </c>
      <c r="N11" s="1055">
        <v>359.764</v>
      </c>
      <c r="O11" s="1055">
        <v>374</v>
      </c>
      <c r="P11" s="1055">
        <v>388</v>
      </c>
      <c r="Q11" s="1055">
        <v>404</v>
      </c>
      <c r="R11" s="1055">
        <v>419</v>
      </c>
      <c r="S11" s="1055">
        <v>434</v>
      </c>
      <c r="T11" s="1055">
        <v>441</v>
      </c>
      <c r="U11" s="1055">
        <v>450.793</v>
      </c>
      <c r="V11" s="1055">
        <v>456.512</v>
      </c>
      <c r="W11" s="1055">
        <v>465.786</v>
      </c>
      <c r="X11" s="632">
        <f t="shared" si="0"/>
        <v>2.0314909575213704</v>
      </c>
      <c r="Y11" s="889" t="s">
        <v>60</v>
      </c>
    </row>
    <row r="12" spans="1:25" ht="12.75" customHeight="1">
      <c r="A12" s="597"/>
      <c r="B12" s="598" t="s">
        <v>101</v>
      </c>
      <c r="C12" s="1048">
        <v>519.3</v>
      </c>
      <c r="D12" s="1050">
        <v>521.7</v>
      </c>
      <c r="E12" s="1050">
        <v>525</v>
      </c>
      <c r="F12" s="1051">
        <v>515.7</v>
      </c>
      <c r="G12" s="1050">
        <v>519.2</v>
      </c>
      <c r="H12" s="1050">
        <v>520.5</v>
      </c>
      <c r="I12" s="1050">
        <v>524.1</v>
      </c>
      <c r="J12" s="1050">
        <v>528.3</v>
      </c>
      <c r="K12" s="1050">
        <v>533.7</v>
      </c>
      <c r="L12" s="1050">
        <v>137.7</v>
      </c>
      <c r="M12" s="1050">
        <v>146.5</v>
      </c>
      <c r="N12" s="1050">
        <v>76.254</v>
      </c>
      <c r="O12" s="1050">
        <v>90.318</v>
      </c>
      <c r="P12" s="1050">
        <v>106.911</v>
      </c>
      <c r="Q12" s="1050">
        <f>117.595</f>
        <v>117.595</v>
      </c>
      <c r="R12" s="1050">
        <v>125.4</v>
      </c>
      <c r="S12" s="1050">
        <v>131.8</v>
      </c>
      <c r="T12" s="1050">
        <v>139.8</v>
      </c>
      <c r="U12" s="1050">
        <v>147.9</v>
      </c>
      <c r="V12" s="1050">
        <v>154.8</v>
      </c>
      <c r="W12" s="1050">
        <v>163.3</v>
      </c>
      <c r="X12" s="640">
        <f t="shared" si="0"/>
        <v>5.490956072351423</v>
      </c>
      <c r="Y12" s="743" t="s">
        <v>101</v>
      </c>
    </row>
    <row r="13" spans="1:25" ht="12.75" customHeight="1">
      <c r="A13" s="597"/>
      <c r="B13" s="610" t="s">
        <v>71</v>
      </c>
      <c r="C13" s="1058">
        <v>50.393</v>
      </c>
      <c r="D13" s="1055"/>
      <c r="E13" s="1055"/>
      <c r="F13" s="1055">
        <v>44.337</v>
      </c>
      <c r="G13" s="1055">
        <v>44.756</v>
      </c>
      <c r="H13" s="1055">
        <v>43.315</v>
      </c>
      <c r="I13" s="1055">
        <v>41.985</v>
      </c>
      <c r="J13" s="1055">
        <v>40.276</v>
      </c>
      <c r="K13" s="1055">
        <v>41.516</v>
      </c>
      <c r="L13" s="1055">
        <v>41.396</v>
      </c>
      <c r="M13" s="1060">
        <v>40.381</v>
      </c>
      <c r="N13" s="1055">
        <v>40.359</v>
      </c>
      <c r="O13" s="1055">
        <v>41.211</v>
      </c>
      <c r="P13" s="1055">
        <v>43.219</v>
      </c>
      <c r="Q13" s="1055">
        <f>23.473+19.217</f>
        <v>42.69</v>
      </c>
      <c r="R13" s="1055">
        <f>23.677+17.05</f>
        <v>40.727000000000004</v>
      </c>
      <c r="S13" s="1055">
        <f>23.864+15.939</f>
        <v>39.803</v>
      </c>
      <c r="T13" s="1055">
        <f>25.293+15.812</f>
        <v>41.105</v>
      </c>
      <c r="U13" s="1104">
        <f>14.745+25.224</f>
        <v>39.969</v>
      </c>
      <c r="V13" s="1055">
        <f>14.392+26.578</f>
        <v>40.97</v>
      </c>
      <c r="W13" s="1055">
        <f>13.48+25.802</f>
        <v>39.282</v>
      </c>
      <c r="X13" s="632">
        <f t="shared" si="0"/>
        <v>-4.120087869172579</v>
      </c>
      <c r="Y13" s="889" t="s">
        <v>71</v>
      </c>
    </row>
    <row r="14" spans="1:25" ht="12.75" customHeight="1">
      <c r="A14" s="597"/>
      <c r="B14" s="610" t="s">
        <v>61</v>
      </c>
      <c r="C14" s="1058">
        <v>915.229</v>
      </c>
      <c r="D14" s="1060">
        <v>918.159</v>
      </c>
      <c r="E14" s="1055">
        <v>929.627</v>
      </c>
      <c r="F14" s="1055">
        <v>927.08</v>
      </c>
      <c r="G14" s="1055">
        <v>799.647</v>
      </c>
      <c r="H14" s="1055">
        <v>748.14</v>
      </c>
      <c r="I14" s="1055">
        <v>755.482</v>
      </c>
      <c r="J14" s="1055">
        <v>760.219</v>
      </c>
      <c r="K14" s="1055">
        <v>751.634</v>
      </c>
      <c r="L14" s="1055">
        <v>756.559</v>
      </c>
      <c r="M14" s="1055">
        <v>794</v>
      </c>
      <c r="N14" s="1055">
        <v>822.703</v>
      </c>
      <c r="O14" s="1055">
        <v>860.131</v>
      </c>
      <c r="P14" s="1055">
        <v>892.796</v>
      </c>
      <c r="Q14" s="1055">
        <v>903.346</v>
      </c>
      <c r="R14" s="1055">
        <v>924.291</v>
      </c>
      <c r="S14" s="1055">
        <v>944.171</v>
      </c>
      <c r="T14" s="1055">
        <v>976.911</v>
      </c>
      <c r="U14" s="1055">
        <v>977.197</v>
      </c>
      <c r="V14" s="1055">
        <v>998.816</v>
      </c>
      <c r="W14" s="1055">
        <v>1046.467</v>
      </c>
      <c r="X14" s="632">
        <f t="shared" si="0"/>
        <v>4.770748566302501</v>
      </c>
      <c r="Y14" s="889" t="s">
        <v>61</v>
      </c>
    </row>
    <row r="15" spans="1:25" ht="12.75" customHeight="1">
      <c r="A15" s="597"/>
      <c r="B15" s="610" t="s">
        <v>63</v>
      </c>
      <c r="C15" s="1058">
        <f>1728.057+2267.428</f>
        <v>3995.4849999999997</v>
      </c>
      <c r="D15" s="1055">
        <f>1666.995+2470.451</f>
        <v>4137.446</v>
      </c>
      <c r="E15" s="1055">
        <f>1634.083+2096.673</f>
        <v>3730.756</v>
      </c>
      <c r="F15" s="1055">
        <f>1747.139+2427.207</f>
        <v>4174.346</v>
      </c>
      <c r="G15" s="1055">
        <f>1742.704+2646.497</f>
        <v>4389.201</v>
      </c>
      <c r="H15" s="1055">
        <f>1594.749+2843.333</f>
        <v>4438.082</v>
      </c>
      <c r="I15" s="1055">
        <f>1682.523+2984.626</f>
        <v>4667.149</v>
      </c>
      <c r="J15" s="1055">
        <f>1583.917+3093.968</f>
        <v>4677.885</v>
      </c>
      <c r="K15" s="1055">
        <f>1662.765+3201.042</f>
        <v>4863.807</v>
      </c>
      <c r="L15" s="1055">
        <f>1785.62+3292.362</f>
        <v>5077.982</v>
      </c>
      <c r="M15" s="1055">
        <f>1818.629+3384.272</f>
        <v>5202.901</v>
      </c>
      <c r="N15" s="1055">
        <f>1930.185+3475.715</f>
        <v>5405.9</v>
      </c>
      <c r="O15" s="1055">
        <f>1983.845+3566.122</f>
        <v>5549.967</v>
      </c>
      <c r="P15" s="1055">
        <v>5852.283</v>
      </c>
      <c r="Q15" s="1055">
        <f>3762.561+2104.204</f>
        <v>5866.765</v>
      </c>
      <c r="R15" s="1055">
        <f>2042.996+3827.894</f>
        <v>5870.889999999999</v>
      </c>
      <c r="S15" s="1061">
        <f>2096.161+3908.072</f>
        <v>6004.233</v>
      </c>
      <c r="T15" s="1055">
        <f>2088.623+3982.978</f>
        <v>6071.601000000001</v>
      </c>
      <c r="U15" s="1055">
        <f>4054.946+2044.104</f>
        <v>6099.05</v>
      </c>
      <c r="V15" s="1055">
        <f>4145.392+2036.352</f>
        <v>6181.744</v>
      </c>
      <c r="W15" s="1062">
        <f>4228.238+2020.36</f>
        <v>6248.598</v>
      </c>
      <c r="X15" s="632">
        <f t="shared" si="0"/>
        <v>1.08147474240279</v>
      </c>
      <c r="Y15" s="889" t="s">
        <v>63</v>
      </c>
    </row>
    <row r="16" spans="1:25" ht="12.75" customHeight="1">
      <c r="A16" s="597"/>
      <c r="B16" s="598" t="s">
        <v>14</v>
      </c>
      <c r="C16" s="1048">
        <v>58.014</v>
      </c>
      <c r="D16" s="1050">
        <v>73.85</v>
      </c>
      <c r="E16" s="1050">
        <v>93.875</v>
      </c>
      <c r="F16" s="1050">
        <v>112.12</v>
      </c>
      <c r="G16" s="1050">
        <v>126.938</v>
      </c>
      <c r="H16" s="1050">
        <v>138.31</v>
      </c>
      <c r="I16" s="1050">
        <v>146.365</v>
      </c>
      <c r="J16" s="1050">
        <v>151.322</v>
      </c>
      <c r="K16" s="1050">
        <v>155.74</v>
      </c>
      <c r="L16" s="1050">
        <v>162.128</v>
      </c>
      <c r="M16" s="1050">
        <f>105.264+66.653</f>
        <v>171.917</v>
      </c>
      <c r="N16" s="1050">
        <f>118.752+65.284</f>
        <v>184.036</v>
      </c>
      <c r="O16" s="1050">
        <f>133.914+63.263</f>
        <v>197.177</v>
      </c>
      <c r="P16" s="1050">
        <v>204.76999999999998</v>
      </c>
      <c r="Q16" s="1050">
        <f>147.373+57.866</f>
        <v>205.23899999999998</v>
      </c>
      <c r="R16" s="1050">
        <f>148.766+54.842</f>
        <v>203.608</v>
      </c>
      <c r="S16" s="1050">
        <v>200.597</v>
      </c>
      <c r="T16" s="1050">
        <v>199.243</v>
      </c>
      <c r="U16" s="1050">
        <v>198.076</v>
      </c>
      <c r="V16" s="1050">
        <f>151.542+45.97</f>
        <v>197.512</v>
      </c>
      <c r="W16" s="1050">
        <f>153.411+44.624</f>
        <v>198.035</v>
      </c>
      <c r="X16" s="640">
        <f t="shared" si="0"/>
        <v>0.26479403783061173</v>
      </c>
      <c r="Y16" s="743" t="s">
        <v>14</v>
      </c>
    </row>
    <row r="17" spans="1:25" ht="12.75" customHeight="1">
      <c r="A17" s="597"/>
      <c r="B17" s="598" t="s">
        <v>64</v>
      </c>
      <c r="C17" s="1048">
        <v>3.3</v>
      </c>
      <c r="D17" s="1050">
        <v>4.7</v>
      </c>
      <c r="E17" s="1050">
        <v>5.3</v>
      </c>
      <c r="F17" s="1050">
        <v>6.1</v>
      </c>
      <c r="G17" s="1050">
        <v>6.7</v>
      </c>
      <c r="H17" s="1050">
        <v>6.7</v>
      </c>
      <c r="I17" s="1050">
        <v>6.8</v>
      </c>
      <c r="J17" s="1050">
        <v>7.3</v>
      </c>
      <c r="K17" s="1050">
        <v>8.1</v>
      </c>
      <c r="L17" s="1050">
        <v>9.1</v>
      </c>
      <c r="M17" s="1050">
        <v>10.234</v>
      </c>
      <c r="N17" s="1050">
        <v>12.594</v>
      </c>
      <c r="O17" s="1050">
        <v>14.78</v>
      </c>
      <c r="P17" s="1050">
        <v>17.622</v>
      </c>
      <c r="Q17" s="1050">
        <f>18.6</f>
        <v>18.6</v>
      </c>
      <c r="R17" s="1050">
        <v>19.7</v>
      </c>
      <c r="S17" s="1050">
        <v>23.217</v>
      </c>
      <c r="T17" s="1050">
        <v>35.273</v>
      </c>
      <c r="U17" s="1050">
        <f>24.8+13.9</f>
        <v>38.7</v>
      </c>
      <c r="V17" s="1050">
        <f>27+15.3</f>
        <v>42.3</v>
      </c>
      <c r="W17" s="1050">
        <f>16.5+29</f>
        <v>45.5</v>
      </c>
      <c r="X17" s="640">
        <f t="shared" si="0"/>
        <v>7.56501182033098</v>
      </c>
      <c r="Y17" s="743" t="s">
        <v>64</v>
      </c>
    </row>
    <row r="18" spans="1:25" ht="12.75" customHeight="1">
      <c r="A18" s="597"/>
      <c r="B18" s="598" t="s">
        <v>15</v>
      </c>
      <c r="C18" s="1048"/>
      <c r="D18" s="1050"/>
      <c r="E18" s="1050"/>
      <c r="F18" s="1050"/>
      <c r="G18" s="1050"/>
      <c r="H18" s="1051">
        <v>781.361</v>
      </c>
      <c r="I18" s="1050">
        <v>853.366</v>
      </c>
      <c r="J18" s="1050">
        <v>910.555</v>
      </c>
      <c r="K18" s="1050">
        <v>969.895</v>
      </c>
      <c r="L18" s="1050">
        <v>1042.605</v>
      </c>
      <c r="M18" s="1050">
        <v>1124.172</v>
      </c>
      <c r="N18" s="1050">
        <v>1205.816</v>
      </c>
      <c r="O18" s="1050">
        <v>1298.688</v>
      </c>
      <c r="P18" s="1050">
        <v>1388.607</v>
      </c>
      <c r="Q18" s="1050">
        <v>1448.851</v>
      </c>
      <c r="R18" s="1050">
        <v>1499.133</v>
      </c>
      <c r="S18" s="1050">
        <v>1534.902</v>
      </c>
      <c r="T18" s="1050">
        <v>1556.435</v>
      </c>
      <c r="U18" s="1050">
        <f>1568.596</f>
        <v>1568.596</v>
      </c>
      <c r="V18" s="1050">
        <v>1619.621</v>
      </c>
      <c r="W18" s="1050">
        <v>1653.528</v>
      </c>
      <c r="X18" s="640">
        <f t="shared" si="0"/>
        <v>2.0935144703606596</v>
      </c>
      <c r="Y18" s="743" t="s">
        <v>15</v>
      </c>
    </row>
    <row r="19" spans="1:25" ht="12.75" customHeight="1">
      <c r="A19" s="597"/>
      <c r="B19" s="610" t="s">
        <v>66</v>
      </c>
      <c r="C19" s="1058">
        <v>1301.18</v>
      </c>
      <c r="D19" s="1055">
        <v>1308.208</v>
      </c>
      <c r="E19" s="1055">
        <v>1326.333</v>
      </c>
      <c r="F19" s="1055">
        <v>1361.155</v>
      </c>
      <c r="G19" s="1055">
        <v>1403.771</v>
      </c>
      <c r="H19" s="1055">
        <v>1445.644</v>
      </c>
      <c r="I19" s="1055">
        <f>1483.442+1806.758</f>
        <v>3290.2</v>
      </c>
      <c r="J19" s="1055">
        <f>1517.208+2044.242</f>
        <v>3561.45</v>
      </c>
      <c r="K19" s="1055">
        <f>1513.526+2143.593</f>
        <v>3657.1189999999997</v>
      </c>
      <c r="L19" s="1055">
        <f>1612.082+2242.046</f>
        <v>3854.1279999999997</v>
      </c>
      <c r="M19" s="1055">
        <f>1805.827+2311.773</f>
        <v>4117.6</v>
      </c>
      <c r="N19" s="1055">
        <f>2058.022+2343.124</f>
        <v>4401.146</v>
      </c>
      <c r="O19" s="1061">
        <f>2311.346+2430.414</f>
        <v>4741.76</v>
      </c>
      <c r="P19" s="1055">
        <f>2500.819+2410.685</f>
        <v>4911.504</v>
      </c>
      <c r="Q19" s="1055">
        <f>2352.205+2606.674</f>
        <v>4958.879</v>
      </c>
      <c r="R19" s="1055">
        <f>2290.207+2707.482</f>
        <v>4997.689</v>
      </c>
      <c r="S19" s="1055">
        <f>2229.418+2798.043</f>
        <v>5027.461</v>
      </c>
      <c r="T19" s="1055">
        <f>2852.297+2169.668</f>
        <v>5021.965</v>
      </c>
      <c r="U19" s="1055">
        <f>2107.116+2891.204</f>
        <v>4998.32</v>
      </c>
      <c r="V19" s="1055">
        <f>2061.044+2972.165</f>
        <v>5033.209</v>
      </c>
      <c r="W19" s="1055">
        <f>3079.463+2023.211</f>
        <v>5102.674</v>
      </c>
      <c r="X19" s="632">
        <f t="shared" si="0"/>
        <v>1.3801334297860421</v>
      </c>
      <c r="Y19" s="889" t="s">
        <v>66</v>
      </c>
    </row>
    <row r="20" spans="1:25" ht="12.75" customHeight="1">
      <c r="A20" s="597"/>
      <c r="B20" s="598" t="s">
        <v>87</v>
      </c>
      <c r="C20" s="1065">
        <f>65.095+94.43</f>
        <v>159.525</v>
      </c>
      <c r="D20" s="1065">
        <f>66.468+96.32</f>
        <v>162.788</v>
      </c>
      <c r="E20" s="1065">
        <f>68.552+98.062</f>
        <v>166.614</v>
      </c>
      <c r="F20" s="1065">
        <f>72.704+100.621</f>
        <v>173.325</v>
      </c>
      <c r="G20" s="1065">
        <f>80.178+103.01</f>
        <v>183.188</v>
      </c>
      <c r="H20" s="1065">
        <f>90.877+102.545</f>
        <v>193.422</v>
      </c>
      <c r="I20" s="1071">
        <f>102.811+103.424</f>
        <v>206.235</v>
      </c>
      <c r="J20" s="1065">
        <f>116.021+107.556</f>
        <v>223.577</v>
      </c>
      <c r="K20" s="1065">
        <f>129.67+115.712</f>
        <v>245.382</v>
      </c>
      <c r="L20" s="1065">
        <f>142.703+129.017</f>
        <v>271.72</v>
      </c>
      <c r="M20" s="1065">
        <f>156.487+145.318</f>
        <v>301.805</v>
      </c>
      <c r="N20" s="1065">
        <f>172.283+166.16</f>
        <v>338.443</v>
      </c>
      <c r="O20" s="1065">
        <f>188.144+188.388</f>
        <v>376.53200000000004</v>
      </c>
      <c r="P20" s="1065">
        <v>421.544</v>
      </c>
      <c r="Q20" s="1065">
        <f>216.443+239.754</f>
        <v>456.197</v>
      </c>
      <c r="R20" s="1065">
        <f>226.877+259.889</f>
        <v>486.766</v>
      </c>
      <c r="S20" s="1065">
        <f>279+237</f>
        <v>516</v>
      </c>
      <c r="T20" s="1065">
        <f>244.968+293.051</f>
        <v>538.019</v>
      </c>
      <c r="U20" s="1065">
        <f>302.727+251.525</f>
        <v>554.252</v>
      </c>
      <c r="V20" s="1065">
        <f>257.094+311.097</f>
        <v>568.191</v>
      </c>
      <c r="W20" s="1065">
        <f>261.826+319.321</f>
        <v>581.147</v>
      </c>
      <c r="X20" s="640">
        <f t="shared" si="0"/>
        <v>2.2802191516584998</v>
      </c>
      <c r="Y20" s="886" t="s">
        <v>87</v>
      </c>
    </row>
    <row r="21" spans="1:25" ht="12.75" customHeight="1">
      <c r="A21" s="597"/>
      <c r="B21" s="598" t="s">
        <v>67</v>
      </c>
      <c r="C21" s="1048">
        <f>1562+727</f>
        <v>2289</v>
      </c>
      <c r="D21" s="1050">
        <f>1540+738</f>
        <v>2278</v>
      </c>
      <c r="E21" s="1050">
        <f>1518+780</f>
        <v>2298</v>
      </c>
      <c r="F21" s="1050">
        <f>1482+839</f>
        <v>2321</v>
      </c>
      <c r="G21" s="1050">
        <f>1461+912</f>
        <v>2373</v>
      </c>
      <c r="H21" s="1050">
        <f>1442+968</f>
        <v>2410</v>
      </c>
      <c r="I21" s="1050">
        <f>1421+1019</f>
        <v>2440</v>
      </c>
      <c r="J21" s="1050">
        <f>1387+1054</f>
        <v>2441</v>
      </c>
      <c r="K21" s="1050">
        <f>1357+1091</f>
        <v>2448</v>
      </c>
      <c r="L21" s="1050">
        <f>1331+1131</f>
        <v>2462</v>
      </c>
      <c r="M21" s="1050">
        <f>1297.698+1177.608</f>
        <v>2475.306</v>
      </c>
      <c r="N21" s="1050">
        <f>1295.316+1248.245</f>
        <v>2543.5609999999997</v>
      </c>
      <c r="O21" s="1050">
        <f>1939+1801</f>
        <v>3740</v>
      </c>
      <c r="P21" s="1050">
        <v>3857</v>
      </c>
      <c r="Q21" s="1050">
        <f>1748+1784</f>
        <v>3532</v>
      </c>
      <c r="R21" s="1050">
        <f>1713+1847.951</f>
        <v>3560.951</v>
      </c>
      <c r="S21" s="1050">
        <f>1591.636+1847.781</f>
        <v>3439.417</v>
      </c>
      <c r="T21" s="1050">
        <v>3089.125</v>
      </c>
      <c r="U21" s="1050">
        <f>1343.411+1592.882</f>
        <v>2936.293</v>
      </c>
      <c r="V21" s="1050">
        <f>1272.214+1542.88</f>
        <v>2815.094</v>
      </c>
      <c r="W21" s="1050">
        <f>1197.031+1497.135</f>
        <v>2694.166</v>
      </c>
      <c r="X21" s="640">
        <f t="shared" si="0"/>
        <v>-4.295700250151498</v>
      </c>
      <c r="Y21" s="743" t="s">
        <v>67</v>
      </c>
    </row>
    <row r="22" spans="1:25" ht="12.75" customHeight="1">
      <c r="A22" s="597"/>
      <c r="B22" s="610" t="s">
        <v>148</v>
      </c>
      <c r="C22" s="1058">
        <v>9.933</v>
      </c>
      <c r="D22" s="1055">
        <v>14.128</v>
      </c>
      <c r="E22" s="1055">
        <v>17.401</v>
      </c>
      <c r="F22" s="1055">
        <v>18.957</v>
      </c>
      <c r="G22" s="1055">
        <v>20.499</v>
      </c>
      <c r="H22" s="1055">
        <v>21.868</v>
      </c>
      <c r="I22" s="1055">
        <v>24.305</v>
      </c>
      <c r="J22" s="1055">
        <v>85.217</v>
      </c>
      <c r="K22" s="1055">
        <v>99.137</v>
      </c>
      <c r="L22" s="1055">
        <v>112.907</v>
      </c>
      <c r="M22" s="1055">
        <v>128.382</v>
      </c>
      <c r="N22" s="1055">
        <v>143.486</v>
      </c>
      <c r="O22" s="1055">
        <f>56.401+106.343</f>
        <v>162.744</v>
      </c>
      <c r="P22" s="1055">
        <v>183.814</v>
      </c>
      <c r="Q22" s="1055">
        <f>63.691+120.792</f>
        <v>184.483</v>
      </c>
      <c r="R22" s="1055">
        <f>62.21+114.563</f>
        <v>176.773</v>
      </c>
      <c r="S22" s="1055">
        <f>112.166+62.876</f>
        <v>175.042</v>
      </c>
      <c r="T22" s="1055">
        <v>156.981</v>
      </c>
      <c r="U22" s="1055">
        <v>154.782</v>
      </c>
      <c r="V22" s="1055">
        <v>153.053</v>
      </c>
      <c r="W22" s="1055">
        <v>151.277</v>
      </c>
      <c r="X22" s="632">
        <f t="shared" si="0"/>
        <v>-1.1603823512116804</v>
      </c>
      <c r="Y22" s="889" t="s">
        <v>148</v>
      </c>
    </row>
    <row r="23" spans="1:25" ht="12.75" customHeight="1">
      <c r="A23" s="597"/>
      <c r="B23" s="610" t="s">
        <v>77</v>
      </c>
      <c r="C23" s="1058"/>
      <c r="D23" s="1055"/>
      <c r="E23" s="1055"/>
      <c r="F23" s="1055"/>
      <c r="G23" s="1055">
        <v>87.573</v>
      </c>
      <c r="H23" s="1060">
        <v>91.193</v>
      </c>
      <c r="I23" s="1055">
        <v>93.088</v>
      </c>
      <c r="J23" s="1055">
        <v>97.593</v>
      </c>
      <c r="K23" s="1060">
        <v>103.493</v>
      </c>
      <c r="L23" s="1055">
        <v>114.038</v>
      </c>
      <c r="M23" s="1055">
        <v>122.705</v>
      </c>
      <c r="N23" s="1055">
        <v>130.188</v>
      </c>
      <c r="O23" s="1055">
        <v>135.865</v>
      </c>
      <c r="P23" s="1055">
        <v>141.54</v>
      </c>
      <c r="Q23" s="1055">
        <f>141.956</f>
        <v>141.956</v>
      </c>
      <c r="R23" s="1061">
        <v>142.251</v>
      </c>
      <c r="S23" s="1055">
        <f>147.382</f>
        <v>147.382</v>
      </c>
      <c r="T23" s="1055">
        <f>151.405</f>
        <v>151.405</v>
      </c>
      <c r="U23" s="1055">
        <f>157.178</f>
        <v>157.178</v>
      </c>
      <c r="V23" s="1055">
        <v>161.54</v>
      </c>
      <c r="W23" s="1055">
        <v>162.828</v>
      </c>
      <c r="X23" s="632">
        <f t="shared" si="0"/>
        <v>0.7973257397548679</v>
      </c>
      <c r="Y23" s="889" t="s">
        <v>77</v>
      </c>
    </row>
    <row r="24" spans="1:25" ht="12.75" customHeight="1">
      <c r="A24" s="597"/>
      <c r="B24" s="610" t="s">
        <v>68</v>
      </c>
      <c r="C24" s="1058">
        <v>23.452</v>
      </c>
      <c r="D24" s="1055">
        <v>23.847</v>
      </c>
      <c r="E24" s="1055">
        <v>24.424</v>
      </c>
      <c r="F24" s="1055">
        <v>24.398</v>
      </c>
      <c r="G24" s="1055">
        <v>26.677</v>
      </c>
      <c r="H24" s="1055">
        <v>30.638</v>
      </c>
      <c r="I24" s="1055">
        <v>32.913</v>
      </c>
      <c r="J24" s="1055">
        <v>33.147</v>
      </c>
      <c r="K24" s="1055">
        <v>35.094</v>
      </c>
      <c r="L24" s="1055">
        <v>34.854</v>
      </c>
      <c r="M24" s="1055">
        <v>34.3</v>
      </c>
      <c r="N24" s="1060">
        <v>34.927</v>
      </c>
      <c r="O24" s="1061">
        <v>37.178</v>
      </c>
      <c r="P24" s="1055">
        <v>39.409</v>
      </c>
      <c r="Q24" s="1055">
        <v>39.552</v>
      </c>
      <c r="R24" s="1055">
        <f>38.145</f>
        <v>38.145</v>
      </c>
      <c r="S24" s="1055">
        <v>36.582</v>
      </c>
      <c r="T24" s="1055">
        <v>35.106</v>
      </c>
      <c r="U24" s="1055">
        <v>36.623</v>
      </c>
      <c r="V24" s="1061">
        <v>36.573</v>
      </c>
      <c r="W24" s="1062">
        <v>36.974</v>
      </c>
      <c r="X24" s="632">
        <f t="shared" si="0"/>
        <v>1.0964372624613645</v>
      </c>
      <c r="Y24" s="889" t="s">
        <v>68</v>
      </c>
    </row>
    <row r="25" spans="1:25" ht="12.75" customHeight="1">
      <c r="A25" s="597"/>
      <c r="B25" s="598" t="s">
        <v>69</v>
      </c>
      <c r="C25" s="1064">
        <f>2530.75+3697.545</f>
        <v>6228.295</v>
      </c>
      <c r="D25" s="1065">
        <f>2572.926+3818.309</f>
        <v>6391.235000000001</v>
      </c>
      <c r="E25" s="1065">
        <f>2597.857+3831.657</f>
        <v>6429.514</v>
      </c>
      <c r="F25" s="1065">
        <f>2723.002+4100.321</f>
        <v>6823.323</v>
      </c>
      <c r="G25" s="1065">
        <f>2975.651+4431.146</f>
        <v>7406.797</v>
      </c>
      <c r="H25" s="1065">
        <f>3375.782+4451.124</f>
        <v>7826.906</v>
      </c>
      <c r="I25" s="1065">
        <f>3732.306+4495.813</f>
        <v>8228.119</v>
      </c>
      <c r="J25" s="1065">
        <f>4037.48+4540.906</f>
        <v>8578.386</v>
      </c>
      <c r="K25" s="1065">
        <f>4375.947+4586.452</f>
        <v>8962.399000000001</v>
      </c>
      <c r="L25" s="1065">
        <f>4632.399+4574.644</f>
        <v>9207.043000000001</v>
      </c>
      <c r="M25" s="1065">
        <f>4360+4938.359</f>
        <v>9298.359</v>
      </c>
      <c r="N25" s="1065">
        <f>4050+5288.818</f>
        <v>9338.818</v>
      </c>
      <c r="O25" s="1065">
        <f>3690+5590.259</f>
        <v>9280.259</v>
      </c>
      <c r="P25" s="1065">
        <v>9180.094000000001</v>
      </c>
      <c r="Q25" s="1065">
        <f>6118.098+2900</f>
        <v>9018.098</v>
      </c>
      <c r="R25" s="1065">
        <f>6305.032+2550</f>
        <v>8855.032</v>
      </c>
      <c r="S25" s="1065">
        <f>6428.476+2550</f>
        <v>8978.475999999999</v>
      </c>
      <c r="T25" s="1065">
        <f>6428.796+2153.454</f>
        <v>8582.25</v>
      </c>
      <c r="U25" s="1066">
        <f>6481.77+2256.078</f>
        <v>8737.848</v>
      </c>
      <c r="V25" s="1065">
        <f>6505.62+2516.612</f>
        <v>9022.232</v>
      </c>
      <c r="W25" s="1106">
        <f>6543.612+2421.947</f>
        <v>8965.559000000001</v>
      </c>
      <c r="X25" s="640">
        <f t="shared" si="0"/>
        <v>-0.6281483340264202</v>
      </c>
      <c r="Y25" s="886" t="s">
        <v>69</v>
      </c>
    </row>
    <row r="26" spans="1:25" ht="12.75" customHeight="1">
      <c r="A26" s="597"/>
      <c r="B26" s="610" t="s">
        <v>73</v>
      </c>
      <c r="C26" s="1058">
        <v>20.033</v>
      </c>
      <c r="D26" s="1055">
        <v>19.402</v>
      </c>
      <c r="E26" s="1055">
        <v>19.128</v>
      </c>
      <c r="F26" s="1055">
        <v>19.266</v>
      </c>
      <c r="G26" s="1055">
        <v>19.515</v>
      </c>
      <c r="H26" s="1055">
        <v>19.842</v>
      </c>
      <c r="I26" s="1055">
        <v>20.244</v>
      </c>
      <c r="J26" s="1055">
        <v>21.017</v>
      </c>
      <c r="K26" s="1055">
        <v>21.873</v>
      </c>
      <c r="L26" s="1055">
        <v>22.861</v>
      </c>
      <c r="M26" s="1055">
        <v>24.027</v>
      </c>
      <c r="N26" s="1055">
        <v>25.478</v>
      </c>
      <c r="O26" s="1055">
        <f>28.826+6.444</f>
        <v>35.27</v>
      </c>
      <c r="P26" s="1055">
        <v>45.617000000000004</v>
      </c>
      <c r="Q26" s="1055">
        <f>14.81+36.562</f>
        <v>51.372</v>
      </c>
      <c r="R26" s="1055">
        <f>38.995+17.276</f>
        <v>56.271</v>
      </c>
      <c r="S26" s="1055">
        <f>41.349+18.775</f>
        <v>60.123999999999995</v>
      </c>
      <c r="T26" s="1055">
        <v>64.249</v>
      </c>
      <c r="U26" s="1055">
        <f>22.169+45.983</f>
        <v>68.152</v>
      </c>
      <c r="V26" s="1055">
        <f>23.374+9.789</f>
        <v>33.163</v>
      </c>
      <c r="W26" s="1055">
        <f>26.651+11.102</f>
        <v>37.753</v>
      </c>
      <c r="X26" s="632">
        <f t="shared" si="0"/>
        <v>13.840726110424285</v>
      </c>
      <c r="Y26" s="889" t="s">
        <v>73</v>
      </c>
    </row>
    <row r="27" spans="1:25" ht="12.75" customHeight="1">
      <c r="A27" s="597"/>
      <c r="B27" s="598" t="s">
        <v>76</v>
      </c>
      <c r="C27" s="1105">
        <f>8.405+20</f>
        <v>28.405</v>
      </c>
      <c r="D27" s="1065">
        <f>8.716+20.185</f>
        <v>28.900999999999996</v>
      </c>
      <c r="E27" s="1065">
        <f>9.297+20.377</f>
        <v>29.674</v>
      </c>
      <c r="F27" s="1065">
        <f>9.947+20.641</f>
        <v>30.587999999999997</v>
      </c>
      <c r="G27" s="1065">
        <f>10.819+20.943</f>
        <v>31.762</v>
      </c>
      <c r="H27" s="1065">
        <f>11.488+21.286</f>
        <v>32.774</v>
      </c>
      <c r="I27" s="1065">
        <f>11.961+21.615</f>
        <v>33.576</v>
      </c>
      <c r="J27" s="1065">
        <f>12.671+22.03</f>
        <v>34.701</v>
      </c>
      <c r="K27" s="1065">
        <f>13.38+22.579</f>
        <v>35.959</v>
      </c>
      <c r="L27" s="1065">
        <f>13.901+23.008</f>
        <v>36.909</v>
      </c>
      <c r="M27" s="1065">
        <f>23.471+14.268</f>
        <v>37.739000000000004</v>
      </c>
      <c r="N27" s="1065">
        <f>24.029+14.609</f>
        <v>38.638</v>
      </c>
      <c r="O27" s="1065">
        <f>24.532+14.947</f>
        <v>39.479</v>
      </c>
      <c r="P27" s="1065">
        <v>40.285</v>
      </c>
      <c r="Q27" s="1065">
        <f>25.7+15.551</f>
        <v>41.251</v>
      </c>
      <c r="R27" s="1066">
        <f>26.34+15.753</f>
        <v>42.093</v>
      </c>
      <c r="S27" s="1065">
        <f>27.11+16.225</f>
        <v>43.335</v>
      </c>
      <c r="T27" s="1065">
        <v>44.526</v>
      </c>
      <c r="U27" s="1065">
        <f>8.527+17.226</f>
        <v>25.753</v>
      </c>
      <c r="V27" s="1065">
        <f>9.385+17.89</f>
        <v>27.275</v>
      </c>
      <c r="W27" s="1065">
        <f>18.569+9.69</f>
        <v>28.259</v>
      </c>
      <c r="X27" s="640">
        <f t="shared" si="0"/>
        <v>3.60769935838681</v>
      </c>
      <c r="Y27" s="886" t="s">
        <v>76</v>
      </c>
    </row>
    <row r="28" spans="1:25" ht="12.75" customHeight="1">
      <c r="A28" s="597"/>
      <c r="B28" s="598" t="s">
        <v>72</v>
      </c>
      <c r="C28" s="1064">
        <v>15.792</v>
      </c>
      <c r="D28" s="1065">
        <v>18.444</v>
      </c>
      <c r="E28" s="1065">
        <v>19.267</v>
      </c>
      <c r="F28" s="1065">
        <v>19.409</v>
      </c>
      <c r="G28" s="1065">
        <v>20.057</v>
      </c>
      <c r="H28" s="1065">
        <v>20.732</v>
      </c>
      <c r="I28" s="1065">
        <v>21.37</v>
      </c>
      <c r="J28" s="1065">
        <v>22.16</v>
      </c>
      <c r="K28" s="1065">
        <v>22.88</v>
      </c>
      <c r="L28" s="1065">
        <f>23.982+5.943</f>
        <v>29.924999999999997</v>
      </c>
      <c r="M28" s="1065">
        <f>25.193+7.284</f>
        <v>32.477000000000004</v>
      </c>
      <c r="N28" s="1065">
        <f>27.21+9.664</f>
        <v>36.874</v>
      </c>
      <c r="O28" s="1065">
        <f>30.87+13.542</f>
        <v>44.412</v>
      </c>
      <c r="P28" s="1065">
        <v>51.284000000000006</v>
      </c>
      <c r="Q28" s="1065">
        <f>18.373+33.59</f>
        <v>51.96300000000001</v>
      </c>
      <c r="R28" s="1065">
        <f>19.486+17.188</f>
        <v>36.674</v>
      </c>
      <c r="S28" s="1065">
        <f>21.238+17.385</f>
        <v>38.623000000000005</v>
      </c>
      <c r="T28" s="1065">
        <v>41.088</v>
      </c>
      <c r="U28" s="1065">
        <v>43.588</v>
      </c>
      <c r="V28" s="1065">
        <v>46.422</v>
      </c>
      <c r="W28" s="1065">
        <v>49.288</v>
      </c>
      <c r="X28" s="640">
        <f t="shared" si="0"/>
        <v>6.173796906639083</v>
      </c>
      <c r="Y28" s="886" t="s">
        <v>72</v>
      </c>
    </row>
    <row r="29" spans="1:25" ht="12.75" customHeight="1">
      <c r="A29" s="597"/>
      <c r="B29" s="598" t="s">
        <v>78</v>
      </c>
      <c r="C29" s="1064">
        <v>17.411</v>
      </c>
      <c r="D29" s="1065">
        <v>11.663</v>
      </c>
      <c r="E29" s="1065">
        <v>13.881</v>
      </c>
      <c r="F29" s="1065">
        <v>14.847</v>
      </c>
      <c r="G29" s="1065">
        <v>11.87</v>
      </c>
      <c r="H29" s="1065">
        <v>12.402</v>
      </c>
      <c r="I29" s="1071">
        <v>12.83</v>
      </c>
      <c r="J29" s="1065">
        <v>13.324</v>
      </c>
      <c r="K29" s="1065">
        <v>13.667</v>
      </c>
      <c r="L29" s="1065">
        <f>12.639+0.143</f>
        <v>12.782</v>
      </c>
      <c r="M29" s="1065">
        <f>11.905+0.088</f>
        <v>11.992999999999999</v>
      </c>
      <c r="N29" s="1065">
        <f>12.192+0.094</f>
        <v>12.286</v>
      </c>
      <c r="O29" s="1065">
        <v>12.791</v>
      </c>
      <c r="P29" s="1065">
        <v>14.413000000000002</v>
      </c>
      <c r="Q29" s="1065">
        <f>14.301+0.005+0.074</f>
        <v>14.38</v>
      </c>
      <c r="R29" s="1065">
        <f>14.635+0.067+0.0141</f>
        <v>14.716099999999999</v>
      </c>
      <c r="S29" s="1065">
        <f>15.314+0.068+0.181</f>
        <v>15.562999999999999</v>
      </c>
      <c r="T29" s="1065">
        <f>15.568+0.062+0.185</f>
        <v>15.815</v>
      </c>
      <c r="U29" s="1065">
        <f>16.62+0.231+0.05</f>
        <v>16.901000000000003</v>
      </c>
      <c r="V29" s="1065">
        <f>0.036+0.276+18.088</f>
        <v>18.400000000000002</v>
      </c>
      <c r="W29" s="1065">
        <v>20.088</v>
      </c>
      <c r="X29" s="640">
        <f t="shared" si="0"/>
        <v>9.173913043478251</v>
      </c>
      <c r="Y29" s="886" t="s">
        <v>78</v>
      </c>
    </row>
    <row r="30" spans="1:25" ht="12.75" customHeight="1">
      <c r="A30" s="597"/>
      <c r="B30" s="610" t="s">
        <v>16</v>
      </c>
      <c r="C30" s="1058">
        <f>307.993+547</f>
        <v>854.9929999999999</v>
      </c>
      <c r="D30" s="1055">
        <f>335+553</f>
        <v>888</v>
      </c>
      <c r="E30" s="1055">
        <f>373+543</f>
        <v>916</v>
      </c>
      <c r="F30" s="1055">
        <f>451.425+546</f>
        <v>997.425</v>
      </c>
      <c r="G30" s="1055">
        <f>413.989+520</f>
        <v>933.989</v>
      </c>
      <c r="H30" s="1060">
        <f>437.798+533</f>
        <v>970.798</v>
      </c>
      <c r="I30" s="1055">
        <f>460.822+504</f>
        <v>964.822</v>
      </c>
      <c r="J30" s="1055">
        <f>494.45+508</f>
        <v>1002.45</v>
      </c>
      <c r="K30" s="1055">
        <f>516.567+499</f>
        <v>1015.567</v>
      </c>
      <c r="L30" s="1060">
        <f>536.934+502</f>
        <v>1038.934</v>
      </c>
      <c r="M30" s="1055">
        <f>552.949+560</f>
        <v>1112.949</v>
      </c>
      <c r="N30" s="1055">
        <f>567.911+711.792</f>
        <v>1279.703</v>
      </c>
      <c r="O30" s="1055">
        <f>585.204+786.409</f>
        <v>1371.6129999999998</v>
      </c>
      <c r="P30" s="1055">
        <v>1479.476</v>
      </c>
      <c r="Q30" s="1055">
        <f>623.442+951.452</f>
        <v>1574.894</v>
      </c>
      <c r="R30" s="1055">
        <f>636.199+1023.582</f>
        <v>1659.781</v>
      </c>
      <c r="S30" s="1055">
        <f>1057.1+646.995</f>
        <v>1704.0949999999998</v>
      </c>
      <c r="T30" s="1055">
        <f>1080.514+653.245</f>
        <v>1733.759</v>
      </c>
      <c r="U30" s="1055">
        <f>653.991+1097.18</f>
        <v>1751.171</v>
      </c>
      <c r="V30" s="1055">
        <f>652.336+1119.877</f>
        <v>1772.213</v>
      </c>
      <c r="W30" s="1055">
        <f>652.544+1145.603</f>
        <v>1798.147</v>
      </c>
      <c r="X30" s="632">
        <f t="shared" si="0"/>
        <v>1.4633681165864232</v>
      </c>
      <c r="Y30" s="889" t="s">
        <v>16</v>
      </c>
    </row>
    <row r="31" spans="1:25" ht="12.75" customHeight="1">
      <c r="A31" s="597"/>
      <c r="B31" s="610" t="s">
        <v>80</v>
      </c>
      <c r="C31" s="1058">
        <v>929</v>
      </c>
      <c r="D31" s="1055"/>
      <c r="E31" s="1055"/>
      <c r="F31" s="1055">
        <v>820</v>
      </c>
      <c r="G31" s="1055">
        <v>804</v>
      </c>
      <c r="H31" s="1055">
        <v>803</v>
      </c>
      <c r="I31" s="1055">
        <v>803</v>
      </c>
      <c r="J31" s="1055">
        <v>869</v>
      </c>
      <c r="K31" s="1055">
        <v>845.456</v>
      </c>
      <c r="L31" s="1060">
        <v>835.79</v>
      </c>
      <c r="M31" s="1055">
        <f>753.648+337.511</f>
        <v>1091.159</v>
      </c>
      <c r="N31" s="1055">
        <f>784.176+405.917</f>
        <v>1190.093</v>
      </c>
      <c r="O31" s="1055">
        <f>825.305+525.484</f>
        <v>1350.789</v>
      </c>
      <c r="P31" s="1055">
        <v>1607.316</v>
      </c>
      <c r="Q31" s="1055">
        <f>974.906+833.817</f>
        <v>1808.723</v>
      </c>
      <c r="R31" s="1055">
        <f>1013.014+922.126</f>
        <v>1935.1399999999999</v>
      </c>
      <c r="S31" s="1055">
        <f>1069.195+1032.98</f>
        <v>2102.175</v>
      </c>
      <c r="T31" s="1055">
        <v>2207.556</v>
      </c>
      <c r="U31" s="1055">
        <f>1153.169+1163.441</f>
        <v>2316.61</v>
      </c>
      <c r="V31" s="1055">
        <f>1189.527+1216.578</f>
        <v>2406.105</v>
      </c>
      <c r="W31" s="1055">
        <f>1272.333+1259.187</f>
        <v>2531.52</v>
      </c>
      <c r="X31" s="632">
        <f t="shared" si="0"/>
        <v>5.212366043875889</v>
      </c>
      <c r="Y31" s="889" t="s">
        <v>80</v>
      </c>
    </row>
    <row r="32" spans="1:25" ht="12.75" customHeight="1">
      <c r="A32" s="597"/>
      <c r="B32" s="598" t="s">
        <v>92</v>
      </c>
      <c r="C32" s="1064">
        <v>216.296</v>
      </c>
      <c r="D32" s="1065">
        <v>240.946</v>
      </c>
      <c r="E32" s="1065">
        <v>271.708</v>
      </c>
      <c r="F32" s="1065">
        <v>301.045</v>
      </c>
      <c r="G32" s="1065">
        <v>323.854</v>
      </c>
      <c r="H32" s="1065">
        <v>345.903</v>
      </c>
      <c r="I32" s="1065">
        <v>368.063</v>
      </c>
      <c r="J32" s="1065">
        <v>386.969</v>
      </c>
      <c r="K32" s="1065">
        <v>402.759</v>
      </c>
      <c r="L32" s="1065">
        <v>418.704</v>
      </c>
      <c r="M32" s="1065">
        <v>588.42</v>
      </c>
      <c r="N32" s="1071">
        <f>401+157.72</f>
        <v>558.72</v>
      </c>
      <c r="O32" s="1066">
        <f>377+159.645</f>
        <v>536.645</v>
      </c>
      <c r="P32" s="1065">
        <v>535</v>
      </c>
      <c r="Q32" s="1065">
        <f>199.27+334</f>
        <v>533.27</v>
      </c>
      <c r="R32" s="1065">
        <f>292+206</f>
        <v>498</v>
      </c>
      <c r="S32" s="1065">
        <f>287+210</f>
        <v>497</v>
      </c>
      <c r="T32" s="1065">
        <f>280+212.5</f>
        <v>492.5</v>
      </c>
      <c r="U32" s="1065">
        <f>272.5+212.5</f>
        <v>485</v>
      </c>
      <c r="V32" s="1065">
        <f>272.5+213.5</f>
        <v>486</v>
      </c>
      <c r="W32" s="1065">
        <f>271.5+230</f>
        <v>501.5</v>
      </c>
      <c r="X32" s="640">
        <f t="shared" si="0"/>
        <v>3.1893004115226375</v>
      </c>
      <c r="Y32" s="886" t="s">
        <v>92</v>
      </c>
    </row>
    <row r="33" spans="1:25" ht="12.75" customHeight="1">
      <c r="A33" s="597"/>
      <c r="B33" s="610" t="s">
        <v>102</v>
      </c>
      <c r="C33" s="1058">
        <f>205.032+122.692</f>
        <v>327.724</v>
      </c>
      <c r="D33" s="1055">
        <f>160.073+94.923</f>
        <v>254.996</v>
      </c>
      <c r="E33" s="1055">
        <f>153.768+96.742</f>
        <v>250.51</v>
      </c>
      <c r="F33" s="1055">
        <f>146.725+98.994</f>
        <v>245.719</v>
      </c>
      <c r="G33" s="1055">
        <f>141.49+101.093</f>
        <v>242.58300000000003</v>
      </c>
      <c r="H33" s="1060">
        <f>137.103+102.105</f>
        <v>239.20800000000003</v>
      </c>
      <c r="I33" s="1060">
        <f>134.152+103.749</f>
        <v>237.90099999999998</v>
      </c>
      <c r="J33" s="1055">
        <f>132.955+105.525</f>
        <v>238.48000000000002</v>
      </c>
      <c r="K33" s="1055">
        <f>132.88+102.97</f>
        <v>235.85</v>
      </c>
      <c r="L33" s="1055">
        <f>130.193+104.509</f>
        <v>234.702</v>
      </c>
      <c r="M33" s="1055">
        <f>103.556+93.845</f>
        <v>197.401</v>
      </c>
      <c r="N33" s="1055">
        <f>101.474+92.507</f>
        <v>193.981</v>
      </c>
      <c r="O33" s="1055">
        <f>29.403+27.076</f>
        <v>56.479</v>
      </c>
      <c r="P33" s="1055">
        <v>71.827</v>
      </c>
      <c r="Q33" s="1055">
        <f>79.99</f>
        <v>79.99</v>
      </c>
      <c r="R33" s="1055">
        <f>85.171</f>
        <v>85.171</v>
      </c>
      <c r="S33" s="1055">
        <v>90.082</v>
      </c>
      <c r="T33" s="1055">
        <v>95.45</v>
      </c>
      <c r="U33" s="1055">
        <v>101.622</v>
      </c>
      <c r="V33" s="1055">
        <v>107.338</v>
      </c>
      <c r="W33" s="1055">
        <v>112.866</v>
      </c>
      <c r="X33" s="632">
        <f t="shared" si="0"/>
        <v>5.150086642195689</v>
      </c>
      <c r="Y33" s="889" t="s">
        <v>102</v>
      </c>
    </row>
    <row r="34" spans="1:25" ht="12.75" customHeight="1">
      <c r="A34" s="597"/>
      <c r="B34" s="610" t="s">
        <v>88</v>
      </c>
      <c r="C34" s="1058">
        <f>117.387+146.793</f>
        <v>264.18</v>
      </c>
      <c r="D34" s="1055">
        <f>121.95+150.765</f>
        <v>272.715</v>
      </c>
      <c r="E34" s="1055">
        <f>130.041+149.38</f>
        <v>279.421</v>
      </c>
      <c r="F34" s="1060">
        <f>137.466+148.454</f>
        <v>285.92</v>
      </c>
      <c r="G34" s="1055">
        <f>149.97+150.49</f>
        <v>300.46000000000004</v>
      </c>
      <c r="H34" s="1055">
        <f>167.346+142.723</f>
        <v>310.069</v>
      </c>
      <c r="I34" s="1055">
        <f>190.607+145.734</f>
        <v>336.341</v>
      </c>
      <c r="J34" s="1055">
        <f>220.75+151.619</f>
        <v>372.369</v>
      </c>
      <c r="K34" s="1055">
        <f>247.129+148.472</f>
        <v>395.601</v>
      </c>
      <c r="L34" s="1055">
        <f>205.567+155.754+41.996</f>
        <v>403.317</v>
      </c>
      <c r="M34" s="1055">
        <f>225.038+169.574+58.47</f>
        <v>453.082</v>
      </c>
      <c r="N34" s="1055">
        <f>245.039+177.306+75.399</f>
        <v>497.744</v>
      </c>
      <c r="O34" s="1055">
        <f>259.017+184.231+84.877</f>
        <v>528.125</v>
      </c>
      <c r="P34" s="1055">
        <v>553.929</v>
      </c>
      <c r="Q34" s="1055">
        <f>277.626+91.677+202.587</f>
        <v>571.89</v>
      </c>
      <c r="R34" s="1055">
        <f>277.745+78.348+214.147</f>
        <v>570.24</v>
      </c>
      <c r="S34" s="1055">
        <f>280.562+222.764+75.169</f>
        <v>578.495</v>
      </c>
      <c r="T34" s="1055">
        <f>236.704+73.163+283.942</f>
        <v>593.809</v>
      </c>
      <c r="U34" s="1055">
        <f>284.969+73.176+247.445</f>
        <v>605.5899999999999</v>
      </c>
      <c r="V34" s="1055">
        <f>288.629+75.211+254.713</f>
        <v>618.553</v>
      </c>
      <c r="W34" s="1055">
        <f>292.368+75.678+264.572</f>
        <v>632.6179999999999</v>
      </c>
      <c r="X34" s="632">
        <f t="shared" si="0"/>
        <v>2.273855271900686</v>
      </c>
      <c r="Y34" s="889" t="s">
        <v>88</v>
      </c>
    </row>
    <row r="35" spans="1:25" ht="12.75" customHeight="1">
      <c r="A35" s="597"/>
      <c r="B35" s="598" t="s">
        <v>83</v>
      </c>
      <c r="C35" s="1064">
        <v>8.546</v>
      </c>
      <c r="D35" s="1065">
        <v>8.173</v>
      </c>
      <c r="E35" s="1065">
        <v>8.283</v>
      </c>
      <c r="F35" s="1065">
        <v>9.14</v>
      </c>
      <c r="G35" s="1065">
        <v>9.906</v>
      </c>
      <c r="H35" s="1065">
        <v>11.217</v>
      </c>
      <c r="I35" s="1065">
        <v>11.622</v>
      </c>
      <c r="J35" s="1065">
        <f>11.93+38.678</f>
        <v>50.608</v>
      </c>
      <c r="K35" s="1065">
        <f>12.048+30.344</f>
        <v>42.392</v>
      </c>
      <c r="L35" s="1065">
        <f>11.574+28.626</f>
        <v>40.2</v>
      </c>
      <c r="M35" s="1065">
        <f>14.473+34.198</f>
        <v>48.671</v>
      </c>
      <c r="N35" s="1065">
        <f>18.801+34.392</f>
        <v>53.193</v>
      </c>
      <c r="O35" s="1065">
        <f>34.162+37.331</f>
        <v>71.493</v>
      </c>
      <c r="P35" s="1065">
        <v>81.99600000000001</v>
      </c>
      <c r="Q35" s="1065">
        <f>46.185+42.243</f>
        <v>88.428</v>
      </c>
      <c r="R35" s="1065">
        <f>48.686+42.322</f>
        <v>91.00800000000001</v>
      </c>
      <c r="S35" s="1065">
        <f>49.887+42.296</f>
        <v>92.18299999999999</v>
      </c>
      <c r="T35" s="1065">
        <v>93.1</v>
      </c>
      <c r="U35" s="1065">
        <f>41.05+51.936</f>
        <v>92.98599999999999</v>
      </c>
      <c r="V35" s="1065">
        <f>41.165+54.631</f>
        <v>95.79599999999999</v>
      </c>
      <c r="W35" s="1065">
        <v>100.32</v>
      </c>
      <c r="X35" s="640">
        <f t="shared" si="0"/>
        <v>4.722535387698869</v>
      </c>
      <c r="Y35" s="886" t="s">
        <v>83</v>
      </c>
    </row>
    <row r="36" spans="1:25" ht="12.75" customHeight="1">
      <c r="A36" s="597"/>
      <c r="B36" s="610" t="s">
        <v>85</v>
      </c>
      <c r="C36" s="1058">
        <v>81.847</v>
      </c>
      <c r="D36" s="1055">
        <v>79.479</v>
      </c>
      <c r="E36" s="1055">
        <v>81.062</v>
      </c>
      <c r="F36" s="1055">
        <v>100.891</v>
      </c>
      <c r="G36" s="1055">
        <v>44.215</v>
      </c>
      <c r="H36" s="1055">
        <v>45.647</v>
      </c>
      <c r="I36" s="1055">
        <v>46.676</v>
      </c>
      <c r="J36" s="1055">
        <v>47.9</v>
      </c>
      <c r="K36" s="1055">
        <v>48.709</v>
      </c>
      <c r="L36" s="1055">
        <v>51.977</v>
      </c>
      <c r="M36" s="1055">
        <v>56.366</v>
      </c>
      <c r="N36" s="1055">
        <v>58.101</v>
      </c>
      <c r="O36" s="1055">
        <v>63.897</v>
      </c>
      <c r="P36" s="1055">
        <v>70.318</v>
      </c>
      <c r="Q36" s="1055">
        <v>55.443</v>
      </c>
      <c r="R36" s="1055">
        <f>59.563</f>
        <v>59.563</v>
      </c>
      <c r="S36" s="1055">
        <f>63.859</f>
        <v>63.859</v>
      </c>
      <c r="T36" s="1055">
        <v>68.063</v>
      </c>
      <c r="U36" s="1055">
        <f>74.101</f>
        <v>74.101</v>
      </c>
      <c r="V36" s="1055">
        <v>80.791</v>
      </c>
      <c r="W36" s="1055">
        <v>88.652</v>
      </c>
      <c r="X36" s="632">
        <f t="shared" si="0"/>
        <v>9.730044188090275</v>
      </c>
      <c r="Y36" s="889" t="s">
        <v>85</v>
      </c>
    </row>
    <row r="37" spans="1:25" ht="12.75" customHeight="1">
      <c r="A37" s="597"/>
      <c r="B37" s="604" t="s">
        <v>13</v>
      </c>
      <c r="C37" s="1075">
        <v>714</v>
      </c>
      <c r="D37" s="1077">
        <v>752</v>
      </c>
      <c r="E37" s="1077">
        <v>766</v>
      </c>
      <c r="F37" s="1077">
        <v>828</v>
      </c>
      <c r="G37" s="1077">
        <v>905</v>
      </c>
      <c r="H37" s="1077">
        <v>971</v>
      </c>
      <c r="I37" s="1077">
        <v>1028</v>
      </c>
      <c r="J37" s="1077">
        <v>1090</v>
      </c>
      <c r="K37" s="1077">
        <v>1162</v>
      </c>
      <c r="L37" s="1077">
        <v>1218</v>
      </c>
      <c r="M37" s="1077">
        <v>1235</v>
      </c>
      <c r="N37" s="1077">
        <f>1209.6+30</f>
        <v>1239.6</v>
      </c>
      <c r="O37" s="1077">
        <f>1248.3+32</f>
        <v>1280.3</v>
      </c>
      <c r="P37" s="1077">
        <v>1305.6</v>
      </c>
      <c r="Q37" s="1077">
        <f>1275.6+31.156</f>
        <v>1306.7559999999999</v>
      </c>
      <c r="R37" s="1077">
        <f>30.001+1234.4</f>
        <v>1264.401</v>
      </c>
      <c r="S37" s="1077">
        <f>1238.3+28.536</f>
        <v>1266.836</v>
      </c>
      <c r="T37" s="1077">
        <f>1224.8+26.998</f>
        <v>1251.798</v>
      </c>
      <c r="U37" s="1077">
        <f>1219.4+24.345</f>
        <v>1243.7450000000001</v>
      </c>
      <c r="V37" s="1077">
        <v>1240.2</v>
      </c>
      <c r="W37" s="1077">
        <v>1253.1</v>
      </c>
      <c r="X37" s="667">
        <f t="shared" si="0"/>
        <v>1.0401548137397185</v>
      </c>
      <c r="Y37" s="866" t="s">
        <v>13</v>
      </c>
    </row>
    <row r="38" spans="1:25" ht="12.75" customHeight="1">
      <c r="A38" s="597"/>
      <c r="B38" s="610" t="s">
        <v>289</v>
      </c>
      <c r="C38" s="1055">
        <v>6.946</v>
      </c>
      <c r="D38" s="1055">
        <v>5.541</v>
      </c>
      <c r="E38" s="1055">
        <v>3.645</v>
      </c>
      <c r="F38" s="1055">
        <v>4.109</v>
      </c>
      <c r="G38" s="1055">
        <v>3.214</v>
      </c>
      <c r="H38" s="1055">
        <v>3.808</v>
      </c>
      <c r="I38" s="1055">
        <v>3.447</v>
      </c>
      <c r="J38" s="1055">
        <v>3.4</v>
      </c>
      <c r="K38" s="1055">
        <v>3.896</v>
      </c>
      <c r="L38" s="1055">
        <v>4.877</v>
      </c>
      <c r="M38" s="1055">
        <v>7.17</v>
      </c>
      <c r="N38" s="1055">
        <v>11.639</v>
      </c>
      <c r="O38" s="1055">
        <v>13.859</v>
      </c>
      <c r="P38" s="1055">
        <v>18.329</v>
      </c>
      <c r="Q38" s="1055">
        <v>20.874</v>
      </c>
      <c r="R38" s="1055">
        <v>24.022</v>
      </c>
      <c r="S38" s="1055">
        <v>24.009</v>
      </c>
      <c r="T38" s="1055">
        <v>25.492</v>
      </c>
      <c r="U38" s="1055">
        <v>26.664</v>
      </c>
      <c r="V38" s="1055">
        <v>30.975</v>
      </c>
      <c r="W38" s="1055">
        <v>33.07</v>
      </c>
      <c r="X38" s="632">
        <f t="shared" si="0"/>
        <v>6.763518966908791</v>
      </c>
      <c r="Y38" s="889" t="s">
        <v>289</v>
      </c>
    </row>
    <row r="39" spans="1:25" ht="12.75" customHeight="1">
      <c r="A39" s="597"/>
      <c r="B39" s="598" t="s">
        <v>235</v>
      </c>
      <c r="C39" s="1065"/>
      <c r="D39" s="1065"/>
      <c r="E39" s="1065"/>
      <c r="F39" s="1065"/>
      <c r="G39" s="1065"/>
      <c r="H39" s="1065"/>
      <c r="I39" s="1065"/>
      <c r="J39" s="1065"/>
      <c r="K39" s="1065"/>
      <c r="L39" s="1065"/>
      <c r="M39" s="1065"/>
      <c r="N39" s="1065"/>
      <c r="O39" s="1065"/>
      <c r="P39" s="1065"/>
      <c r="Q39" s="1065"/>
      <c r="R39" s="1065"/>
      <c r="S39" s="1065">
        <v>4.661</v>
      </c>
      <c r="T39" s="1065">
        <v>4.576</v>
      </c>
      <c r="U39" s="1065">
        <v>5.046</v>
      </c>
      <c r="V39" s="1065">
        <v>3.703</v>
      </c>
      <c r="W39" s="1065">
        <v>4.201</v>
      </c>
      <c r="X39" s="640">
        <f t="shared" si="0"/>
        <v>13.44855522549284</v>
      </c>
      <c r="Y39" s="886" t="s">
        <v>235</v>
      </c>
    </row>
    <row r="40" spans="1:25" ht="12.75" customHeight="1">
      <c r="A40" s="597"/>
      <c r="B40" s="610" t="s">
        <v>149</v>
      </c>
      <c r="C40" s="1055"/>
      <c r="D40" s="1055"/>
      <c r="E40" s="1055"/>
      <c r="F40" s="1055"/>
      <c r="G40" s="1055"/>
      <c r="H40" s="1055"/>
      <c r="I40" s="1055"/>
      <c r="J40" s="1055"/>
      <c r="K40" s="1055">
        <v>2.142</v>
      </c>
      <c r="L40" s="1055">
        <v>1.382</v>
      </c>
      <c r="M40" s="1055">
        <v>1.724</v>
      </c>
      <c r="N40" s="1055">
        <v>3.442</v>
      </c>
      <c r="O40" s="1055">
        <v>4.437</v>
      </c>
      <c r="P40" s="1055">
        <v>8.626</v>
      </c>
      <c r="Q40" s="1055">
        <f>9.097</f>
        <v>9.097</v>
      </c>
      <c r="R40" s="1055">
        <f>7.761</f>
        <v>7.761</v>
      </c>
      <c r="S40" s="1055">
        <f>8.373</f>
        <v>8.373</v>
      </c>
      <c r="T40" s="1055">
        <v>8.473</v>
      </c>
      <c r="U40" s="1055">
        <v>8.093</v>
      </c>
      <c r="V40" s="1055">
        <v>8.634</v>
      </c>
      <c r="W40" s="1055">
        <v>10.05</v>
      </c>
      <c r="X40" s="632">
        <f t="shared" si="0"/>
        <v>16.400277970813065</v>
      </c>
      <c r="Y40" s="889" t="s">
        <v>149</v>
      </c>
    </row>
    <row r="41" spans="1:25" ht="12.75" customHeight="1">
      <c r="A41" s="597"/>
      <c r="B41" s="598" t="s">
        <v>236</v>
      </c>
      <c r="C41" s="1065"/>
      <c r="D41" s="1065"/>
      <c r="E41" s="1065"/>
      <c r="F41" s="1065"/>
      <c r="G41" s="1065"/>
      <c r="H41" s="1065"/>
      <c r="I41" s="1065">
        <v>13.097</v>
      </c>
      <c r="J41" s="1065">
        <v>12.339</v>
      </c>
      <c r="K41" s="1065">
        <v>13.287</v>
      </c>
      <c r="L41" s="1065">
        <v>14.771</v>
      </c>
      <c r="M41" s="1065">
        <v>16.042</v>
      </c>
      <c r="N41" s="1065">
        <v>20.38</v>
      </c>
      <c r="O41" s="1065">
        <v>24.897</v>
      </c>
      <c r="P41" s="1065">
        <v>31.803</v>
      </c>
      <c r="Q41" s="1065">
        <v>34.5</v>
      </c>
      <c r="R41" s="1066">
        <v>37.946</v>
      </c>
      <c r="S41" s="1065">
        <v>39.135</v>
      </c>
      <c r="T41" s="1065">
        <v>47.237</v>
      </c>
      <c r="U41" s="1065">
        <f>22.294+36.403</f>
        <v>58.697</v>
      </c>
      <c r="V41" s="1065">
        <f>25.065+38.102</f>
        <v>63.167</v>
      </c>
      <c r="W41" s="1065">
        <f>24.845+39.396</f>
        <v>64.241</v>
      </c>
      <c r="X41" s="640">
        <f t="shared" si="0"/>
        <v>1.7002548799214736</v>
      </c>
      <c r="Y41" s="886" t="s">
        <v>236</v>
      </c>
    </row>
    <row r="42" spans="1:25" ht="12.75" customHeight="1">
      <c r="A42" s="597"/>
      <c r="B42" s="657" t="s">
        <v>150</v>
      </c>
      <c r="C42" s="1055">
        <v>819.922</v>
      </c>
      <c r="D42" s="1055">
        <v>854.15</v>
      </c>
      <c r="E42" s="1055">
        <v>905.121</v>
      </c>
      <c r="F42" s="1055">
        <v>940.935</v>
      </c>
      <c r="G42" s="1055">
        <v>975.746</v>
      </c>
      <c r="H42" s="1055">
        <v>1011.284</v>
      </c>
      <c r="I42" s="1055">
        <v>1031.221</v>
      </c>
      <c r="J42" s="1055">
        <v>1046.907</v>
      </c>
      <c r="K42" s="1055">
        <v>1073.415</v>
      </c>
      <c r="L42" s="1055">
        <v>1218.677</v>
      </c>
      <c r="M42" s="1055">
        <v>1441.066</v>
      </c>
      <c r="N42" s="1055">
        <v>1822.831</v>
      </c>
      <c r="O42" s="1055">
        <v>2003.492</v>
      </c>
      <c r="P42" s="1055">
        <v>2181.383</v>
      </c>
      <c r="Q42" s="1055">
        <v>2303.261</v>
      </c>
      <c r="R42" s="1055">
        <f>2389.488</f>
        <v>2389.488</v>
      </c>
      <c r="S42" s="1055">
        <f>2527.19</f>
        <v>2527.19</v>
      </c>
      <c r="T42" s="1055">
        <v>2657.722</v>
      </c>
      <c r="U42" s="1055">
        <f>2722.826</f>
        <v>2722.826</v>
      </c>
      <c r="V42" s="1055">
        <v>2828.466</v>
      </c>
      <c r="W42" s="1055">
        <v>2938.364</v>
      </c>
      <c r="X42" s="632">
        <f t="shared" si="0"/>
        <v>3.885427648767916</v>
      </c>
      <c r="Y42" s="881" t="s">
        <v>150</v>
      </c>
    </row>
    <row r="43" spans="1:25" ht="12.75" customHeight="1">
      <c r="A43" s="597"/>
      <c r="B43" s="833" t="s">
        <v>151</v>
      </c>
      <c r="C43" s="1085">
        <v>1.881</v>
      </c>
      <c r="D43" s="1085">
        <v>1.95</v>
      </c>
      <c r="E43" s="1085">
        <v>2.047</v>
      </c>
      <c r="F43" s="1085">
        <v>1.906</v>
      </c>
      <c r="G43" s="1085">
        <v>2.084</v>
      </c>
      <c r="H43" s="1085">
        <v>2.278</v>
      </c>
      <c r="I43" s="1085">
        <v>2.444</v>
      </c>
      <c r="J43" s="1085">
        <v>2.557</v>
      </c>
      <c r="K43" s="1085">
        <v>2.747</v>
      </c>
      <c r="L43" s="1085">
        <v>3.105</v>
      </c>
      <c r="M43" s="1085">
        <v>4.183</v>
      </c>
      <c r="N43" s="1085">
        <v>5.699</v>
      </c>
      <c r="O43" s="1085">
        <v>8.074</v>
      </c>
      <c r="P43" s="1085">
        <v>9.009</v>
      </c>
      <c r="Q43" s="1085">
        <v>9.42</v>
      </c>
      <c r="R43" s="1085">
        <v>9.651</v>
      </c>
      <c r="S43" s="1085">
        <f>9.922</f>
        <v>9.922</v>
      </c>
      <c r="T43" s="1085">
        <v>10.135</v>
      </c>
      <c r="U43" s="1085">
        <v>10.213</v>
      </c>
      <c r="V43" s="1085">
        <v>10.306</v>
      </c>
      <c r="W43" s="1085">
        <v>10.399</v>
      </c>
      <c r="X43" s="665">
        <f t="shared" si="0"/>
        <v>0.9023869590529756</v>
      </c>
      <c r="Y43" s="1107" t="s">
        <v>151</v>
      </c>
    </row>
    <row r="44" spans="1:25" ht="12.75" customHeight="1">
      <c r="A44" s="597"/>
      <c r="B44" s="610" t="s">
        <v>152</v>
      </c>
      <c r="C44" s="1055">
        <v>158.624</v>
      </c>
      <c r="D44" s="1055">
        <v>164.775</v>
      </c>
      <c r="E44" s="1055">
        <v>174.603</v>
      </c>
      <c r="F44" s="1055">
        <v>184.34699999999998</v>
      </c>
      <c r="G44" s="1055">
        <v>193.00099999999998</v>
      </c>
      <c r="H44" s="1055">
        <v>201.564</v>
      </c>
      <c r="I44" s="1055">
        <v>211.42700000000002</v>
      </c>
      <c r="J44" s="1055">
        <v>225.173</v>
      </c>
      <c r="K44" s="1055">
        <v>239.596</v>
      </c>
      <c r="L44" s="1055">
        <v>248.57099999999997</v>
      </c>
      <c r="M44" s="1055">
        <f>148.161+13.63+95.708</f>
        <v>257.499</v>
      </c>
      <c r="N44" s="1055">
        <f>116.875+151.67</f>
        <v>268.54499999999996</v>
      </c>
      <c r="O44" s="1055">
        <f>156.287+16.589+109.618</f>
        <v>282.494</v>
      </c>
      <c r="P44" s="1055">
        <f>161.662+17.677+117.044</f>
        <v>296.383</v>
      </c>
      <c r="Q44" s="1055">
        <f>141.235+165.557</f>
        <v>306.79200000000003</v>
      </c>
      <c r="R44" s="1055">
        <f>146.592+168.904</f>
        <v>315.496</v>
      </c>
      <c r="S44" s="1055">
        <f>151.65+171.846</f>
        <v>323.496</v>
      </c>
      <c r="T44" s="1055">
        <v>331.699</v>
      </c>
      <c r="U44" s="1055">
        <f>176.087+21.349+140.474</f>
        <v>337.90999999999997</v>
      </c>
      <c r="V44" s="1055">
        <f>177.502+22.115+145.534</f>
        <v>345.151</v>
      </c>
      <c r="W44" s="1055">
        <f>178.235+23.509+152.531</f>
        <v>354.27500000000003</v>
      </c>
      <c r="X44" s="632">
        <f t="shared" si="0"/>
        <v>2.643480679470727</v>
      </c>
      <c r="Y44" s="889" t="s">
        <v>152</v>
      </c>
    </row>
    <row r="45" spans="1:25" ht="12.75" customHeight="1">
      <c r="A45" s="597"/>
      <c r="B45" s="598" t="s">
        <v>153</v>
      </c>
      <c r="C45" s="1065">
        <v>688.4833449318011</v>
      </c>
      <c r="D45" s="1065">
        <v>682.9949516840975</v>
      </c>
      <c r="E45" s="1065">
        <v>691.217</v>
      </c>
      <c r="F45" s="1065">
        <v>700.464</v>
      </c>
      <c r="G45" s="1065">
        <v>710.375</v>
      </c>
      <c r="H45" s="1065">
        <v>712.713</v>
      </c>
      <c r="I45" s="1065">
        <v>720.423</v>
      </c>
      <c r="J45" s="1065">
        <v>731.943</v>
      </c>
      <c r="K45" s="1065">
        <v>740.844</v>
      </c>
      <c r="L45" s="1065">
        <v>748.01</v>
      </c>
      <c r="M45" s="1065">
        <v>747.96</v>
      </c>
      <c r="N45" s="1065">
        <v>759.223</v>
      </c>
      <c r="O45" s="1065">
        <v>763.87</v>
      </c>
      <c r="P45" s="1065">
        <v>778.089</v>
      </c>
      <c r="Q45" s="1065">
        <v>781.997</v>
      </c>
      <c r="R45" s="1065">
        <v>790.75</v>
      </c>
      <c r="S45" s="1065">
        <v>808.704</v>
      </c>
      <c r="T45" s="1065">
        <v>825.806</v>
      </c>
      <c r="U45" s="1065">
        <v>835.237</v>
      </c>
      <c r="V45" s="1065">
        <v>852.567</v>
      </c>
      <c r="W45" s="1065">
        <f>710.022+159.915</f>
        <v>869.937</v>
      </c>
      <c r="X45" s="640">
        <f t="shared" si="0"/>
        <v>2.0373765346301127</v>
      </c>
      <c r="Y45" s="886" t="s">
        <v>153</v>
      </c>
    </row>
    <row r="46" spans="1:25" ht="12.75" customHeight="1">
      <c r="A46" s="597"/>
      <c r="B46" s="657" t="s">
        <v>210</v>
      </c>
      <c r="C46" s="1082"/>
      <c r="D46" s="1082"/>
      <c r="E46" s="1082"/>
      <c r="F46" s="1082"/>
      <c r="G46" s="1082">
        <v>2.443</v>
      </c>
      <c r="H46" s="1082">
        <v>2.594</v>
      </c>
      <c r="I46" s="1082">
        <v>2.754</v>
      </c>
      <c r="J46" s="1082">
        <v>2.878</v>
      </c>
      <c r="K46" s="1082">
        <v>2.98</v>
      </c>
      <c r="L46" s="1082">
        <v>3.003</v>
      </c>
      <c r="M46" s="1082">
        <v>3.11</v>
      </c>
      <c r="N46" s="1082">
        <v>3.17</v>
      </c>
      <c r="O46" s="1082">
        <v>3.256</v>
      </c>
      <c r="P46" s="1082">
        <v>3.438</v>
      </c>
      <c r="Q46" s="1082">
        <f>3.577</f>
        <v>3.577</v>
      </c>
      <c r="R46" s="1082">
        <v>3.734</v>
      </c>
      <c r="S46" s="1082">
        <f>3.753</f>
        <v>3.753</v>
      </c>
      <c r="T46" s="1082">
        <v>3.931</v>
      </c>
      <c r="U46" s="1082">
        <f>3.999</f>
        <v>3.999</v>
      </c>
      <c r="V46" s="1082">
        <v>4.154</v>
      </c>
      <c r="W46" s="1082">
        <v>4.262</v>
      </c>
      <c r="X46" s="662">
        <f t="shared" si="0"/>
        <v>2.5999037072701014</v>
      </c>
      <c r="Y46" s="881" t="s">
        <v>210</v>
      </c>
    </row>
    <row r="47" spans="2:25" ht="24" customHeight="1">
      <c r="B47" s="1306" t="s">
        <v>322</v>
      </c>
      <c r="C47" s="1307"/>
      <c r="D47" s="1307"/>
      <c r="E47" s="1307"/>
      <c r="F47" s="1307"/>
      <c r="G47" s="1307"/>
      <c r="H47" s="1307"/>
      <c r="I47" s="1307"/>
      <c r="J47" s="1307"/>
      <c r="K47" s="1307"/>
      <c r="L47" s="1307"/>
      <c r="M47" s="1307"/>
      <c r="N47" s="1307"/>
      <c r="O47" s="1307"/>
      <c r="P47" s="1307"/>
      <c r="Q47" s="1307"/>
      <c r="R47" s="1307"/>
      <c r="S47" s="1307"/>
      <c r="T47" s="1307"/>
      <c r="U47" s="1307"/>
      <c r="V47" s="1307"/>
      <c r="W47" s="1307"/>
      <c r="X47" s="1307"/>
      <c r="Y47" s="1307"/>
    </row>
    <row r="48" spans="2:25" ht="12.75" customHeight="1">
      <c r="B48" s="1308" t="s">
        <v>264</v>
      </c>
      <c r="C48" s="1309"/>
      <c r="D48" s="1309"/>
      <c r="E48" s="1309"/>
      <c r="F48" s="1309"/>
      <c r="G48" s="1309"/>
      <c r="H48" s="1309"/>
      <c r="I48" s="1309"/>
      <c r="J48" s="1309"/>
      <c r="K48" s="1309"/>
      <c r="L48" s="1309"/>
      <c r="M48" s="1309"/>
      <c r="N48" s="1309"/>
      <c r="O48" s="1309"/>
      <c r="P48" s="1309"/>
      <c r="Q48" s="1309"/>
      <c r="R48" s="1309"/>
      <c r="S48" s="1309"/>
      <c r="T48" s="1309"/>
      <c r="U48" s="1309"/>
      <c r="V48" s="1309"/>
      <c r="W48" s="1309"/>
      <c r="X48" s="1309"/>
      <c r="Y48" s="1309"/>
    </row>
    <row r="49" spans="2:25" ht="12.75" customHeight="1">
      <c r="B49" s="1303" t="s">
        <v>265</v>
      </c>
      <c r="C49" s="1303"/>
      <c r="D49" s="1303"/>
      <c r="E49" s="1303"/>
      <c r="F49" s="1303"/>
      <c r="G49" s="1303"/>
      <c r="H49" s="1303"/>
      <c r="I49" s="1303"/>
      <c r="J49" s="1303"/>
      <c r="K49" s="1303"/>
      <c r="L49" s="1303"/>
      <c r="M49" s="1303"/>
      <c r="N49" s="1303"/>
      <c r="O49" s="1303"/>
      <c r="P49" s="1303"/>
      <c r="Q49" s="1303"/>
      <c r="R49" s="1303"/>
      <c r="S49" s="1303"/>
      <c r="T49" s="1303"/>
      <c r="U49" s="1303"/>
      <c r="V49" s="1303"/>
      <c r="W49" s="1303"/>
      <c r="X49" s="1303"/>
      <c r="Y49" s="1303"/>
    </row>
    <row r="50" spans="2:25" ht="12.75" customHeight="1">
      <c r="B50" s="1303" t="s">
        <v>266</v>
      </c>
      <c r="C50" s="1303"/>
      <c r="D50" s="1303"/>
      <c r="E50" s="1303"/>
      <c r="F50" s="1303"/>
      <c r="G50" s="1303"/>
      <c r="H50" s="1303"/>
      <c r="I50" s="1303"/>
      <c r="J50" s="1303"/>
      <c r="K50" s="1303"/>
      <c r="L50" s="1303"/>
      <c r="M50" s="1303"/>
      <c r="N50" s="1303"/>
      <c r="O50" s="1303"/>
      <c r="P50" s="1303"/>
      <c r="Q50" s="1303"/>
      <c r="R50" s="1303"/>
      <c r="S50" s="1303"/>
      <c r="T50" s="1303"/>
      <c r="U50" s="1303"/>
      <c r="V50" s="1303"/>
      <c r="W50" s="1303"/>
      <c r="X50" s="1303"/>
      <c r="Y50" s="1303"/>
    </row>
    <row r="51" spans="2:25" ht="12.75" customHeight="1">
      <c r="B51" s="1303" t="s">
        <v>267</v>
      </c>
      <c r="C51" s="1303"/>
      <c r="D51" s="1303"/>
      <c r="E51" s="1303"/>
      <c r="F51" s="1303"/>
      <c r="G51" s="1303"/>
      <c r="H51" s="1303"/>
      <c r="I51" s="1303"/>
      <c r="J51" s="1303"/>
      <c r="K51" s="1303"/>
      <c r="L51" s="1303"/>
      <c r="M51" s="1303"/>
      <c r="N51" s="1303"/>
      <c r="O51" s="1303"/>
      <c r="P51" s="1303"/>
      <c r="Q51" s="1303"/>
      <c r="R51" s="1303"/>
      <c r="S51" s="1303"/>
      <c r="T51" s="1303"/>
      <c r="U51" s="1303"/>
      <c r="V51" s="1303"/>
      <c r="W51" s="1303"/>
      <c r="X51" s="1303"/>
      <c r="Y51" s="1303"/>
    </row>
    <row r="52" spans="2:25" ht="16.5" customHeight="1">
      <c r="B52" s="1303" t="s">
        <v>268</v>
      </c>
      <c r="C52" s="1303"/>
      <c r="D52" s="1303"/>
      <c r="E52" s="1303"/>
      <c r="F52" s="1303"/>
      <c r="G52" s="1303"/>
      <c r="H52" s="1303"/>
      <c r="I52" s="1303"/>
      <c r="J52" s="1303"/>
      <c r="K52" s="1303"/>
      <c r="L52" s="1303"/>
      <c r="M52" s="1303"/>
      <c r="N52" s="1303"/>
      <c r="O52" s="1303"/>
      <c r="P52" s="1303"/>
      <c r="Q52" s="1303"/>
      <c r="R52" s="1303"/>
      <c r="S52" s="1303"/>
      <c r="T52" s="1303"/>
      <c r="U52" s="1303"/>
      <c r="V52" s="1303"/>
      <c r="W52" s="1303"/>
      <c r="X52" s="1303"/>
      <c r="Y52" s="1303"/>
    </row>
    <row r="56" spans="10:25" ht="14.25">
      <c r="J56" s="1108"/>
      <c r="K56" s="1108"/>
      <c r="L56" s="1108"/>
      <c r="M56" s="1108"/>
      <c r="N56" s="1108"/>
      <c r="O56" s="1108"/>
      <c r="P56" s="1109"/>
      <c r="Q56" s="1109"/>
      <c r="R56" s="1109"/>
      <c r="S56" s="1109"/>
      <c r="T56" s="1109"/>
      <c r="U56" s="1109"/>
      <c r="V56" s="1110"/>
      <c r="W56" s="1109"/>
      <c r="X56" s="269"/>
      <c r="Y56" s="269"/>
    </row>
    <row r="58" spans="10:25" ht="14.25">
      <c r="J58" s="268"/>
      <c r="K58" s="270"/>
      <c r="L58" s="269"/>
      <c r="M58" s="269"/>
      <c r="N58" s="269"/>
      <c r="Q58" s="268"/>
      <c r="R58" s="270"/>
      <c r="S58" s="269"/>
      <c r="T58" s="269"/>
      <c r="U58" s="269"/>
      <c r="V58" s="1111"/>
      <c r="W58" s="269"/>
      <c r="X58" s="269"/>
      <c r="Y58" s="269"/>
    </row>
    <row r="59" spans="10:25" ht="14.25">
      <c r="J59" s="268"/>
      <c r="K59" s="270"/>
      <c r="L59" s="269"/>
      <c r="M59" s="269"/>
      <c r="N59" s="269"/>
      <c r="Q59" s="268"/>
      <c r="R59" s="270"/>
      <c r="S59" s="269"/>
      <c r="T59" s="269"/>
      <c r="U59" s="269"/>
      <c r="V59" s="1111"/>
      <c r="W59" s="269"/>
      <c r="X59" s="269"/>
      <c r="Y59" s="269"/>
    </row>
    <row r="60" spans="10:25" ht="14.25">
      <c r="J60" s="268"/>
      <c r="K60" s="268"/>
      <c r="L60" s="269"/>
      <c r="M60" s="269"/>
      <c r="N60" s="269"/>
      <c r="Q60" s="268"/>
      <c r="R60" s="268"/>
      <c r="S60" s="269"/>
      <c r="T60" s="269"/>
      <c r="U60" s="269"/>
      <c r="V60" s="1111"/>
      <c r="W60" s="269"/>
      <c r="X60" s="269"/>
      <c r="Y60" s="269"/>
    </row>
    <row r="62" spans="10:25" ht="14.25">
      <c r="J62" s="268"/>
      <c r="K62" s="270"/>
      <c r="L62" s="269"/>
      <c r="M62" s="269"/>
      <c r="N62" s="269"/>
      <c r="Q62" s="268"/>
      <c r="S62" s="268"/>
      <c r="T62" s="268"/>
      <c r="U62" s="268"/>
      <c r="V62" s="268"/>
      <c r="W62" s="268"/>
      <c r="X62" s="270"/>
      <c r="Y62" s="269"/>
    </row>
    <row r="63" spans="10:25" ht="14.25">
      <c r="J63" s="268"/>
      <c r="K63" s="270"/>
      <c r="L63" s="269"/>
      <c r="M63" s="269"/>
      <c r="N63" s="269"/>
      <c r="Q63" s="268"/>
      <c r="S63" s="268"/>
      <c r="T63" s="268"/>
      <c r="U63" s="268"/>
      <c r="V63" s="268"/>
      <c r="W63" s="268"/>
      <c r="X63" s="270"/>
      <c r="Y63" s="269"/>
    </row>
    <row r="64" spans="10:25" ht="14.25">
      <c r="J64" s="268"/>
      <c r="K64" s="270"/>
      <c r="L64" s="269"/>
      <c r="M64" s="269"/>
      <c r="N64" s="269"/>
      <c r="Q64" s="268"/>
      <c r="S64" s="268"/>
      <c r="T64" s="268"/>
      <c r="U64" s="268"/>
      <c r="V64" s="268"/>
      <c r="W64" s="268"/>
      <c r="X64" s="270"/>
      <c r="Y64" s="269"/>
    </row>
    <row r="65" spans="10:25" ht="14.25">
      <c r="J65" s="268"/>
      <c r="K65" s="270"/>
      <c r="L65" s="269"/>
      <c r="M65" s="269"/>
      <c r="N65" s="269"/>
      <c r="Q65" s="268"/>
      <c r="S65" s="268"/>
      <c r="T65" s="268"/>
      <c r="U65" s="268"/>
      <c r="V65" s="268"/>
      <c r="W65" s="268"/>
      <c r="X65" s="270"/>
      <c r="Y65" s="269"/>
    </row>
    <row r="66" spans="10:25" ht="14.25">
      <c r="J66" s="268"/>
      <c r="K66" s="270"/>
      <c r="L66" s="269"/>
      <c r="M66" s="269"/>
      <c r="N66" s="269"/>
      <c r="Q66" s="268"/>
      <c r="S66" s="268"/>
      <c r="T66" s="268"/>
      <c r="U66" s="268"/>
      <c r="V66" s="268"/>
      <c r="W66" s="268"/>
      <c r="X66" s="270"/>
      <c r="Y66" s="269"/>
    </row>
    <row r="67" spans="10:25" ht="14.25">
      <c r="J67" s="268"/>
      <c r="K67" s="270"/>
      <c r="L67" s="269"/>
      <c r="M67" s="269"/>
      <c r="N67" s="269"/>
      <c r="Q67" s="268"/>
      <c r="S67" s="268"/>
      <c r="T67" s="268"/>
      <c r="U67" s="268"/>
      <c r="V67" s="268"/>
      <c r="W67" s="268"/>
      <c r="X67" s="270"/>
      <c r="Y67" s="269"/>
    </row>
    <row r="68" spans="10:25" ht="14.25">
      <c r="J68" s="268"/>
      <c r="K68" s="270"/>
      <c r="L68" s="269"/>
      <c r="M68" s="269"/>
      <c r="N68" s="269"/>
      <c r="Q68" s="268"/>
      <c r="S68" s="268"/>
      <c r="T68" s="268"/>
      <c r="U68" s="268"/>
      <c r="V68" s="268"/>
      <c r="W68" s="268"/>
      <c r="X68" s="270"/>
      <c r="Y68" s="269"/>
    </row>
    <row r="69" spans="10:25" ht="14.25">
      <c r="J69" s="268"/>
      <c r="K69" s="270"/>
      <c r="L69" s="269"/>
      <c r="M69" s="269"/>
      <c r="N69" s="269"/>
      <c r="Q69" s="268"/>
      <c r="S69" s="268"/>
      <c r="T69" s="268"/>
      <c r="U69" s="268"/>
      <c r="V69" s="268"/>
      <c r="W69" s="268"/>
      <c r="X69" s="270"/>
      <c r="Y69" s="269"/>
    </row>
    <row r="70" spans="10:25" ht="14.25">
      <c r="J70" s="268"/>
      <c r="K70" s="270"/>
      <c r="L70" s="269"/>
      <c r="M70" s="269"/>
      <c r="N70" s="269"/>
      <c r="Q70" s="268"/>
      <c r="S70" s="268"/>
      <c r="T70" s="268"/>
      <c r="U70" s="268"/>
      <c r="V70" s="268"/>
      <c r="W70" s="268"/>
      <c r="X70" s="270"/>
      <c r="Y70" s="269"/>
    </row>
    <row r="71" spans="10:25" ht="14.25">
      <c r="J71" s="268"/>
      <c r="K71" s="270"/>
      <c r="L71" s="269"/>
      <c r="M71" s="269"/>
      <c r="N71" s="269"/>
      <c r="Q71" s="268"/>
      <c r="S71" s="268"/>
      <c r="T71" s="268"/>
      <c r="U71" s="268"/>
      <c r="V71" s="268"/>
      <c r="W71" s="268"/>
      <c r="X71" s="270"/>
      <c r="Y71" s="269"/>
    </row>
    <row r="72" spans="10:25" ht="14.25">
      <c r="J72" s="268"/>
      <c r="K72" s="270"/>
      <c r="L72" s="269"/>
      <c r="M72" s="269"/>
      <c r="N72" s="269"/>
      <c r="Q72" s="268"/>
      <c r="S72" s="268"/>
      <c r="T72" s="268"/>
      <c r="U72" s="268"/>
      <c r="V72" s="268"/>
      <c r="W72" s="268"/>
      <c r="X72" s="270"/>
      <c r="Y72" s="269"/>
    </row>
    <row r="73" spans="10:25" ht="14.25">
      <c r="J73" s="268"/>
      <c r="K73" s="270"/>
      <c r="L73" s="269"/>
      <c r="M73" s="269"/>
      <c r="N73" s="269"/>
      <c r="Q73" s="268"/>
      <c r="S73" s="268"/>
      <c r="T73" s="268"/>
      <c r="U73" s="268"/>
      <c r="V73" s="268"/>
      <c r="W73" s="268"/>
      <c r="X73" s="270"/>
      <c r="Y73" s="269"/>
    </row>
    <row r="74" spans="10:25" ht="14.25">
      <c r="J74" s="268"/>
      <c r="K74" s="270"/>
      <c r="L74" s="269"/>
      <c r="M74" s="269"/>
      <c r="N74" s="269"/>
      <c r="Q74" s="268"/>
      <c r="S74" s="268"/>
      <c r="T74" s="268"/>
      <c r="U74" s="268"/>
      <c r="V74" s="268"/>
      <c r="W74" s="268"/>
      <c r="X74" s="270"/>
      <c r="Y74" s="269"/>
    </row>
    <row r="75" spans="10:25" ht="14.25">
      <c r="J75" s="268"/>
      <c r="K75" s="270"/>
      <c r="L75" s="269"/>
      <c r="M75" s="269"/>
      <c r="N75" s="269"/>
      <c r="Q75" s="268"/>
      <c r="S75" s="268"/>
      <c r="T75" s="268"/>
      <c r="U75" s="268"/>
      <c r="V75" s="268"/>
      <c r="W75" s="268"/>
      <c r="X75" s="270"/>
      <c r="Y75" s="269"/>
    </row>
    <row r="76" spans="10:25" ht="14.25">
      <c r="J76" s="268"/>
      <c r="K76" s="270"/>
      <c r="L76" s="269"/>
      <c r="M76" s="269"/>
      <c r="N76" s="269"/>
      <c r="Q76" s="268"/>
      <c r="S76" s="268"/>
      <c r="T76" s="268"/>
      <c r="U76" s="268"/>
      <c r="V76" s="268"/>
      <c r="W76" s="268"/>
      <c r="X76" s="270"/>
      <c r="Y76" s="269"/>
    </row>
    <row r="77" spans="10:25" ht="14.25">
      <c r="J77" s="268"/>
      <c r="K77" s="270"/>
      <c r="L77" s="269"/>
      <c r="M77" s="269"/>
      <c r="N77" s="269"/>
      <c r="Q77" s="268"/>
      <c r="S77" s="268"/>
      <c r="T77" s="268"/>
      <c r="U77" s="268"/>
      <c r="V77" s="268"/>
      <c r="W77" s="268"/>
      <c r="X77" s="270"/>
      <c r="Y77" s="269"/>
    </row>
    <row r="78" spans="10:25" ht="14.25">
      <c r="J78" s="268"/>
      <c r="K78" s="270"/>
      <c r="L78" s="269"/>
      <c r="M78" s="269"/>
      <c r="N78" s="269"/>
      <c r="Q78" s="268"/>
      <c r="S78" s="268"/>
      <c r="T78" s="268"/>
      <c r="U78" s="268"/>
      <c r="V78" s="268"/>
      <c r="W78" s="268"/>
      <c r="X78" s="270"/>
      <c r="Y78" s="269"/>
    </row>
    <row r="79" spans="10:25" ht="14.25">
      <c r="J79" s="268"/>
      <c r="K79" s="270"/>
      <c r="L79" s="269"/>
      <c r="M79" s="269"/>
      <c r="N79" s="269"/>
      <c r="Q79" s="268"/>
      <c r="S79" s="268"/>
      <c r="T79" s="268"/>
      <c r="U79" s="268"/>
      <c r="V79" s="268"/>
      <c r="W79" s="268"/>
      <c r="X79" s="270"/>
      <c r="Y79" s="269"/>
    </row>
    <row r="80" spans="10:25" ht="14.25">
      <c r="J80" s="268"/>
      <c r="K80" s="270"/>
      <c r="L80" s="269"/>
      <c r="M80" s="269"/>
      <c r="N80" s="269"/>
      <c r="Q80" s="268"/>
      <c r="S80" s="268"/>
      <c r="T80" s="268"/>
      <c r="U80" s="268"/>
      <c r="V80" s="268"/>
      <c r="W80" s="268"/>
      <c r="X80" s="270"/>
      <c r="Y80" s="269"/>
    </row>
    <row r="81" spans="10:25" ht="14.25">
      <c r="J81" s="268"/>
      <c r="K81" s="270"/>
      <c r="L81" s="269"/>
      <c r="M81" s="269"/>
      <c r="N81" s="269"/>
      <c r="Q81" s="268"/>
      <c r="S81" s="268"/>
      <c r="T81" s="268"/>
      <c r="U81" s="268"/>
      <c r="V81" s="268"/>
      <c r="W81" s="268"/>
      <c r="X81" s="270"/>
      <c r="Y81" s="269"/>
    </row>
    <row r="82" spans="10:25" ht="14.25">
      <c r="J82" s="268"/>
      <c r="K82" s="270"/>
      <c r="L82" s="269"/>
      <c r="M82" s="269"/>
      <c r="N82" s="269"/>
      <c r="Q82" s="268"/>
      <c r="S82" s="268"/>
      <c r="T82" s="268"/>
      <c r="U82" s="268"/>
      <c r="V82" s="268"/>
      <c r="W82" s="268"/>
      <c r="X82" s="270"/>
      <c r="Y82" s="269"/>
    </row>
    <row r="83" spans="10:25" ht="14.25">
      <c r="J83" s="268"/>
      <c r="K83" s="270"/>
      <c r="L83" s="269"/>
      <c r="M83" s="269"/>
      <c r="N83" s="269"/>
      <c r="Q83" s="268"/>
      <c r="S83" s="268"/>
      <c r="T83" s="268"/>
      <c r="U83" s="268"/>
      <c r="V83" s="268"/>
      <c r="W83" s="268"/>
      <c r="X83" s="270"/>
      <c r="Y83" s="269"/>
    </row>
    <row r="84" spans="10:25" ht="14.25">
      <c r="J84" s="268"/>
      <c r="K84" s="270"/>
      <c r="L84" s="269"/>
      <c r="M84" s="269"/>
      <c r="N84" s="269"/>
      <c r="Q84" s="268"/>
      <c r="S84" s="268"/>
      <c r="T84" s="268"/>
      <c r="U84" s="268"/>
      <c r="V84" s="268"/>
      <c r="W84" s="268"/>
      <c r="X84" s="270"/>
      <c r="Y84" s="269"/>
    </row>
    <row r="85" spans="10:25" ht="14.25">
      <c r="J85" s="268"/>
      <c r="K85" s="270"/>
      <c r="L85" s="269"/>
      <c r="M85" s="269"/>
      <c r="N85" s="269"/>
      <c r="Q85" s="268"/>
      <c r="S85" s="268"/>
      <c r="T85" s="268"/>
      <c r="U85" s="268"/>
      <c r="V85" s="268"/>
      <c r="W85" s="268"/>
      <c r="X85" s="270"/>
      <c r="Y85" s="269"/>
    </row>
    <row r="86" spans="10:25" ht="14.25">
      <c r="J86" s="268"/>
      <c r="K86" s="270"/>
      <c r="L86" s="269"/>
      <c r="M86" s="269"/>
      <c r="N86" s="269"/>
      <c r="Q86" s="268"/>
      <c r="S86" s="268"/>
      <c r="T86" s="268"/>
      <c r="U86" s="268"/>
      <c r="V86" s="268"/>
      <c r="W86" s="268"/>
      <c r="X86" s="270"/>
      <c r="Y86" s="269"/>
    </row>
    <row r="87" spans="10:25" ht="14.25">
      <c r="J87" s="268"/>
      <c r="K87" s="270"/>
      <c r="L87" s="269"/>
      <c r="M87" s="269"/>
      <c r="N87" s="269"/>
      <c r="Q87" s="268"/>
      <c r="S87" s="268"/>
      <c r="T87" s="268"/>
      <c r="U87" s="268"/>
      <c r="V87" s="268"/>
      <c r="W87" s="268"/>
      <c r="X87" s="270"/>
      <c r="Y87" s="269"/>
    </row>
    <row r="88" spans="10:25" ht="14.25">
      <c r="J88" s="268"/>
      <c r="K88" s="270"/>
      <c r="L88" s="269"/>
      <c r="M88" s="269"/>
      <c r="N88" s="269"/>
      <c r="Q88" s="268"/>
      <c r="S88" s="268"/>
      <c r="T88" s="268"/>
      <c r="U88" s="268"/>
      <c r="V88" s="268"/>
      <c r="W88" s="268"/>
      <c r="X88" s="270"/>
      <c r="Y88" s="269"/>
    </row>
    <row r="89" spans="10:25" ht="14.25">
      <c r="J89" s="268"/>
      <c r="K89" s="270"/>
      <c r="L89" s="269"/>
      <c r="M89" s="269"/>
      <c r="N89" s="269"/>
      <c r="Q89" s="268"/>
      <c r="S89" s="268"/>
      <c r="T89" s="268"/>
      <c r="U89" s="268"/>
      <c r="V89" s="268"/>
      <c r="W89" s="268"/>
      <c r="X89" s="270"/>
      <c r="Y89" s="269"/>
    </row>
    <row r="90" spans="10:25" ht="14.25">
      <c r="J90" s="268"/>
      <c r="K90" s="270"/>
      <c r="L90" s="269"/>
      <c r="M90" s="269"/>
      <c r="N90" s="269"/>
      <c r="Q90" s="268"/>
      <c r="S90" s="268"/>
      <c r="T90" s="268"/>
      <c r="U90" s="268"/>
      <c r="V90" s="268"/>
      <c r="W90" s="268"/>
      <c r="X90" s="270"/>
      <c r="Y90" s="269"/>
    </row>
    <row r="91" spans="10:25" ht="14.25">
      <c r="J91" s="268"/>
      <c r="K91" s="270"/>
      <c r="L91" s="269"/>
      <c r="M91" s="269"/>
      <c r="N91" s="269"/>
      <c r="Q91" s="268"/>
      <c r="S91" s="268"/>
      <c r="T91" s="268"/>
      <c r="U91" s="268"/>
      <c r="V91" s="268"/>
      <c r="W91" s="268"/>
      <c r="X91" s="270"/>
      <c r="Y91" s="269"/>
    </row>
    <row r="92" spans="10:25" ht="14.25">
      <c r="J92" s="268"/>
      <c r="K92" s="270"/>
      <c r="L92" s="269"/>
      <c r="M92" s="269"/>
      <c r="N92" s="269"/>
      <c r="Q92" s="268"/>
      <c r="S92" s="268"/>
      <c r="T92" s="268"/>
      <c r="U92" s="268"/>
      <c r="V92" s="268"/>
      <c r="W92" s="268"/>
      <c r="X92" s="270"/>
      <c r="Y92" s="269"/>
    </row>
    <row r="93" spans="10:25" ht="14.25">
      <c r="J93" s="268"/>
      <c r="K93" s="270"/>
      <c r="L93" s="269"/>
      <c r="M93" s="269"/>
      <c r="N93" s="269"/>
      <c r="Q93" s="268"/>
      <c r="S93" s="268"/>
      <c r="T93" s="268"/>
      <c r="U93" s="268"/>
      <c r="V93" s="268"/>
      <c r="W93" s="268"/>
      <c r="X93" s="270"/>
      <c r="Y93" s="269"/>
    </row>
    <row r="94" spans="10:25" ht="14.25">
      <c r="J94" s="268"/>
      <c r="K94" s="270"/>
      <c r="L94" s="269"/>
      <c r="M94" s="269"/>
      <c r="N94" s="269"/>
      <c r="Q94" s="268"/>
      <c r="S94" s="268"/>
      <c r="T94" s="268"/>
      <c r="U94" s="268"/>
      <c r="V94" s="268"/>
      <c r="W94" s="268"/>
      <c r="X94" s="270"/>
      <c r="Y94" s="269"/>
    </row>
    <row r="95" spans="10:25" ht="14.25">
      <c r="J95" s="268"/>
      <c r="K95" s="270"/>
      <c r="L95" s="269"/>
      <c r="M95" s="269"/>
      <c r="N95" s="269"/>
      <c r="Q95" s="268"/>
      <c r="S95" s="268"/>
      <c r="T95" s="268"/>
      <c r="U95" s="268"/>
      <c r="V95" s="268"/>
      <c r="W95" s="268"/>
      <c r="X95" s="270"/>
      <c r="Y95" s="269"/>
    </row>
    <row r="96" spans="10:25" ht="14.25">
      <c r="J96" s="268"/>
      <c r="K96" s="270"/>
      <c r="L96" s="269"/>
      <c r="M96" s="269"/>
      <c r="N96" s="269"/>
      <c r="Q96" s="268"/>
      <c r="S96" s="268"/>
      <c r="T96" s="268"/>
      <c r="U96" s="268"/>
      <c r="V96" s="268"/>
      <c r="W96" s="268"/>
      <c r="X96" s="270"/>
      <c r="Y96" s="269"/>
    </row>
    <row r="97" spans="10:25" ht="14.25">
      <c r="J97" s="268"/>
      <c r="K97" s="270"/>
      <c r="L97" s="269"/>
      <c r="M97" s="269"/>
      <c r="N97" s="269"/>
      <c r="Q97" s="268"/>
      <c r="S97" s="268"/>
      <c r="T97" s="268"/>
      <c r="U97" s="268"/>
      <c r="V97" s="268"/>
      <c r="W97" s="268"/>
      <c r="X97" s="270"/>
      <c r="Y97" s="269"/>
    </row>
    <row r="98" spans="10:25" ht="14.25">
      <c r="J98" s="268"/>
      <c r="K98" s="270"/>
      <c r="L98" s="269"/>
      <c r="M98" s="269"/>
      <c r="N98" s="269"/>
      <c r="Q98" s="268"/>
      <c r="S98" s="268"/>
      <c r="T98" s="268"/>
      <c r="U98" s="268"/>
      <c r="V98" s="268"/>
      <c r="W98" s="268"/>
      <c r="X98" s="270"/>
      <c r="Y98" s="269"/>
    </row>
    <row r="99" spans="10:25" ht="14.25">
      <c r="J99" s="268"/>
      <c r="K99" s="270"/>
      <c r="L99" s="269"/>
      <c r="M99" s="269"/>
      <c r="N99" s="269"/>
      <c r="Q99" s="268"/>
      <c r="S99" s="268"/>
      <c r="T99" s="268"/>
      <c r="U99" s="268"/>
      <c r="V99" s="268"/>
      <c r="W99" s="268"/>
      <c r="X99" s="270"/>
      <c r="Y99" s="269"/>
    </row>
    <row r="100" spans="10:25" ht="14.25">
      <c r="J100" s="268"/>
      <c r="K100" s="270"/>
      <c r="L100" s="269"/>
      <c r="M100" s="269"/>
      <c r="N100" s="269"/>
      <c r="Q100" s="268"/>
      <c r="S100" s="268"/>
      <c r="T100" s="268"/>
      <c r="U100" s="268"/>
      <c r="V100" s="268"/>
      <c r="W100" s="268"/>
      <c r="X100" s="270"/>
      <c r="Y100" s="269"/>
    </row>
    <row r="101" spans="10:25" ht="14.25">
      <c r="J101" s="268"/>
      <c r="K101" s="270"/>
      <c r="L101" s="269"/>
      <c r="M101" s="269"/>
      <c r="N101" s="269"/>
      <c r="Q101" s="268"/>
      <c r="S101" s="268"/>
      <c r="T101" s="268"/>
      <c r="U101" s="268"/>
      <c r="V101" s="268"/>
      <c r="W101" s="268"/>
      <c r="X101" s="270"/>
      <c r="Y101" s="269"/>
    </row>
    <row r="102" spans="10:14" ht="14.25">
      <c r="J102" s="268"/>
      <c r="K102" s="268"/>
      <c r="L102" s="269"/>
      <c r="M102" s="269"/>
      <c r="N102" s="269"/>
    </row>
    <row r="103" spans="10:14" ht="14.25">
      <c r="J103" s="268"/>
      <c r="K103" s="268"/>
      <c r="L103" s="269"/>
      <c r="M103" s="269"/>
      <c r="N103" s="269"/>
    </row>
  </sheetData>
  <sheetProtection/>
  <mergeCells count="8">
    <mergeCell ref="B51:Y51"/>
    <mergeCell ref="B52:Y52"/>
    <mergeCell ref="B2:Y2"/>
    <mergeCell ref="B3:Y3"/>
    <mergeCell ref="B47:Y47"/>
    <mergeCell ref="B48:Y48"/>
    <mergeCell ref="B49:Y49"/>
    <mergeCell ref="B50:Y50"/>
  </mergeCells>
  <printOptions horizontalCentered="1"/>
  <pageMargins left="0.6692913385826772" right="0.6692913385826772"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
    </sheetView>
  </sheetViews>
  <sheetFormatPr defaultColWidth="9.140625" defaultRowHeight="12.75"/>
  <cols>
    <col min="2" max="2" width="1.7109375" style="0" customWidth="1"/>
    <col min="3" max="3" width="142.8515625" style="0" customWidth="1"/>
    <col min="4" max="4" width="1.8515625" style="0" hidden="1" customWidth="1"/>
    <col min="5" max="5" width="76.421875" style="0" customWidth="1"/>
  </cols>
  <sheetData>
    <row r="1" spans="1:3" s="35" customFormat="1" ht="25.5">
      <c r="A1" s="64" t="s">
        <v>45</v>
      </c>
      <c r="C1" s="63" t="s">
        <v>127</v>
      </c>
    </row>
    <row r="2" spans="1:3" s="35" customFormat="1" ht="12.75">
      <c r="A2" s="35" t="s">
        <v>91</v>
      </c>
      <c r="C2" s="35" t="s">
        <v>116</v>
      </c>
    </row>
    <row r="3" spans="1:3" s="35" customFormat="1" ht="12.75">
      <c r="A3" s="35" t="s">
        <v>49</v>
      </c>
      <c r="C3" s="35" t="s">
        <v>98</v>
      </c>
    </row>
    <row r="4" spans="1:3" s="35" customFormat="1" ht="12.75">
      <c r="A4" s="35" t="s">
        <v>96</v>
      </c>
      <c r="C4" s="35" t="s">
        <v>124</v>
      </c>
    </row>
    <row r="5" spans="1:3" s="35" customFormat="1" ht="12.75">
      <c r="A5" s="187" t="s">
        <v>231</v>
      </c>
      <c r="C5" s="187" t="s">
        <v>278</v>
      </c>
    </row>
    <row r="6" spans="1:3" s="35" customFormat="1" ht="12.75">
      <c r="A6" s="35" t="s">
        <v>90</v>
      </c>
      <c r="C6" s="35" t="s">
        <v>125</v>
      </c>
    </row>
    <row r="7" spans="1:3" s="35" customFormat="1" ht="12.75">
      <c r="A7" s="273" t="s">
        <v>276</v>
      </c>
      <c r="C7" s="187" t="s">
        <v>277</v>
      </c>
    </row>
    <row r="8" spans="1:3" s="35" customFormat="1" ht="12.75">
      <c r="A8" s="35" t="s">
        <v>93</v>
      </c>
      <c r="C8" s="35" t="s">
        <v>143</v>
      </c>
    </row>
    <row r="9" spans="1:3" s="35" customFormat="1" ht="12.75">
      <c r="A9" s="35" t="s">
        <v>117</v>
      </c>
      <c r="C9" s="35" t="s">
        <v>144</v>
      </c>
    </row>
    <row r="10" spans="1:3" s="35" customFormat="1" ht="12.75">
      <c r="A10" s="35" t="s">
        <v>114</v>
      </c>
      <c r="C10" s="35" t="s">
        <v>100</v>
      </c>
    </row>
    <row r="12" ht="12.75">
      <c r="C12" s="61"/>
    </row>
    <row r="13" ht="4.5" customHeight="1"/>
  </sheetData>
  <sheetProtection/>
  <printOptions/>
  <pageMargins left="0.75" right="0.75" top="1" bottom="1" header="0.5" footer="0.5"/>
  <pageSetup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X47"/>
  <sheetViews>
    <sheetView zoomScalePageLayoutView="0" workbookViewId="0" topLeftCell="A1">
      <selection activeCell="U9" sqref="U9:U36"/>
    </sheetView>
  </sheetViews>
  <sheetFormatPr defaultColWidth="9.140625" defaultRowHeight="12.75"/>
  <cols>
    <col min="1" max="1" width="3.7109375" style="773" customWidth="1"/>
    <col min="2" max="2" width="4.00390625" style="773" customWidth="1"/>
    <col min="3" max="4" width="8.7109375" style="1113" hidden="1" customWidth="1"/>
    <col min="5" max="5" width="9.7109375" style="1113" hidden="1" customWidth="1"/>
    <col min="6" max="9" width="8.7109375" style="1113" hidden="1" customWidth="1"/>
    <col min="10" max="10" width="9.7109375" style="1113" hidden="1" customWidth="1"/>
    <col min="11" max="17" width="9.7109375" style="1113" customWidth="1"/>
    <col min="18" max="21" width="8.140625" style="773" customWidth="1"/>
    <col min="22" max="22" width="5.8515625" style="773" customWidth="1"/>
    <col min="23" max="23" width="2.7109375" style="773" customWidth="1"/>
    <col min="24" max="24" width="7.421875" style="773" customWidth="1"/>
    <col min="25" max="16384" width="9.140625" style="773" customWidth="1"/>
  </cols>
  <sheetData>
    <row r="1" spans="2:22" ht="14.25" customHeight="1">
      <c r="B1" s="918"/>
      <c r="C1" s="1112"/>
      <c r="D1" s="1112"/>
      <c r="E1" s="1112"/>
      <c r="F1" s="1112"/>
      <c r="G1" s="1112"/>
      <c r="J1" s="1114"/>
      <c r="R1" s="1115" t="s">
        <v>132</v>
      </c>
      <c r="S1" s="1115"/>
      <c r="T1" s="1115"/>
      <c r="U1" s="1115"/>
      <c r="V1" s="1115"/>
    </row>
    <row r="2" spans="2:22" s="1096" customFormat="1" ht="30" customHeight="1">
      <c r="B2" s="1310" t="s">
        <v>207</v>
      </c>
      <c r="C2" s="1310"/>
      <c r="D2" s="1310"/>
      <c r="E2" s="1310"/>
      <c r="F2" s="1310"/>
      <c r="G2" s="1310"/>
      <c r="H2" s="1310"/>
      <c r="I2" s="1310"/>
      <c r="J2" s="1310"/>
      <c r="K2" s="1310"/>
      <c r="L2" s="1310"/>
      <c r="M2" s="1310"/>
      <c r="N2" s="1310"/>
      <c r="O2" s="1310"/>
      <c r="P2" s="1310"/>
      <c r="Q2" s="1310"/>
      <c r="R2" s="1310"/>
      <c r="S2" s="1116"/>
      <c r="T2" s="1116"/>
      <c r="U2" s="1116"/>
      <c r="V2" s="1116"/>
    </row>
    <row r="3" spans="2:22" ht="15" customHeight="1">
      <c r="B3" s="1311" t="s">
        <v>217</v>
      </c>
      <c r="C3" s="1311"/>
      <c r="D3" s="1311"/>
      <c r="E3" s="1311"/>
      <c r="F3" s="1311"/>
      <c r="G3" s="1311"/>
      <c r="H3" s="1311"/>
      <c r="I3" s="1311"/>
      <c r="J3" s="1311"/>
      <c r="K3" s="1311"/>
      <c r="L3" s="1311"/>
      <c r="M3" s="1311"/>
      <c r="N3" s="1311"/>
      <c r="O3" s="1311"/>
      <c r="P3" s="1311"/>
      <c r="Q3" s="1311"/>
      <c r="R3" s="1311"/>
      <c r="S3" s="1117"/>
      <c r="T3" s="1117"/>
      <c r="U3" s="1117"/>
      <c r="V3" s="1117"/>
    </row>
    <row r="4" spans="2:22" ht="12.75">
      <c r="B4" s="585"/>
      <c r="C4" s="1118"/>
      <c r="D4" s="1118"/>
      <c r="E4" s="1118"/>
      <c r="J4" s="1119"/>
      <c r="L4" s="1119"/>
      <c r="N4" s="1119"/>
      <c r="O4" s="1119" t="s">
        <v>209</v>
      </c>
      <c r="P4" s="1119"/>
      <c r="Q4" s="1119"/>
      <c r="R4" s="1120"/>
      <c r="S4" s="1120"/>
      <c r="T4" s="1120"/>
      <c r="U4" s="1120"/>
      <c r="V4" s="1120"/>
    </row>
    <row r="5" spans="2:24" ht="24.75" customHeight="1">
      <c r="B5" s="585"/>
      <c r="C5" s="913">
        <v>1998</v>
      </c>
      <c r="D5" s="912">
        <v>1999</v>
      </c>
      <c r="E5" s="913">
        <v>2000</v>
      </c>
      <c r="F5" s="912">
        <v>2001</v>
      </c>
      <c r="G5" s="912">
        <v>2002</v>
      </c>
      <c r="H5" s="912">
        <v>2003</v>
      </c>
      <c r="I5" s="912">
        <v>2004</v>
      </c>
      <c r="J5" s="912">
        <v>2005</v>
      </c>
      <c r="K5" s="912">
        <v>2006</v>
      </c>
      <c r="L5" s="912">
        <v>2007</v>
      </c>
      <c r="M5" s="912">
        <v>2008</v>
      </c>
      <c r="N5" s="912">
        <v>2009</v>
      </c>
      <c r="O5" s="912">
        <v>2010</v>
      </c>
      <c r="P5" s="912">
        <v>2011</v>
      </c>
      <c r="Q5" s="912">
        <v>2012</v>
      </c>
      <c r="R5" s="912">
        <v>2013</v>
      </c>
      <c r="S5" s="912">
        <v>2014</v>
      </c>
      <c r="T5" s="912">
        <v>2015</v>
      </c>
      <c r="U5" s="1121">
        <v>2016</v>
      </c>
      <c r="V5" s="681"/>
      <c r="X5" s="1122" t="s">
        <v>352</v>
      </c>
    </row>
    <row r="6" spans="2:24" ht="12.75" customHeight="1">
      <c r="B6" s="591" t="s">
        <v>250</v>
      </c>
      <c r="C6" s="782"/>
      <c r="D6" s="784"/>
      <c r="E6" s="1123"/>
      <c r="F6" s="1039"/>
      <c r="G6" s="1039"/>
      <c r="H6" s="1039">
        <v>14957.836</v>
      </c>
      <c r="I6" s="1039">
        <v>15248.556000000004</v>
      </c>
      <c r="J6" s="1039">
        <v>15194.297000000002</v>
      </c>
      <c r="K6" s="1039">
        <v>15564.844999999998</v>
      </c>
      <c r="L6" s="1039">
        <v>15711.160000000002</v>
      </c>
      <c r="M6" s="1039">
        <v>14457.125000000005</v>
      </c>
      <c r="N6" s="1039">
        <v>14232.843</v>
      </c>
      <c r="O6" s="1039">
        <v>13438.243999999999</v>
      </c>
      <c r="P6" s="1039">
        <v>13215.976000000004</v>
      </c>
      <c r="Q6" s="1039">
        <v>12103.864999999998</v>
      </c>
      <c r="R6" s="1039">
        <v>11886.097999999998</v>
      </c>
      <c r="S6" s="1039">
        <v>12557.214</v>
      </c>
      <c r="T6" s="1039">
        <v>13713.420000000002</v>
      </c>
      <c r="U6" s="1124">
        <v>14647.589999999998</v>
      </c>
      <c r="V6" s="591" t="s">
        <v>250</v>
      </c>
      <c r="X6" s="1041">
        <f>U6/T6*100-100</f>
        <v>6.812086262945314</v>
      </c>
    </row>
    <row r="7" spans="2:24" ht="12.75" customHeight="1">
      <c r="B7" s="598" t="s">
        <v>89</v>
      </c>
      <c r="C7" s="789">
        <v>13940.822999999999</v>
      </c>
      <c r="D7" s="1125">
        <v>14632.826</v>
      </c>
      <c r="E7" s="1126">
        <v>14319.107</v>
      </c>
      <c r="F7" s="1127">
        <v>14401.916999999998</v>
      </c>
      <c r="G7" s="1127">
        <v>14008.012999999999</v>
      </c>
      <c r="H7" s="1127">
        <v>13842.554</v>
      </c>
      <c r="I7" s="1127">
        <v>14127.452000000001</v>
      </c>
      <c r="J7" s="1127">
        <v>14111.851</v>
      </c>
      <c r="K7" s="1127">
        <v>14367.267999999998</v>
      </c>
      <c r="L7" s="1127">
        <v>14363.818000000001</v>
      </c>
      <c r="M7" s="1127">
        <v>13152.925</v>
      </c>
      <c r="N7" s="1127">
        <v>13298.97</v>
      </c>
      <c r="O7" s="1127">
        <v>12554.592</v>
      </c>
      <c r="P7" s="1100">
        <v>12347.393000000004</v>
      </c>
      <c r="Q7" s="1100">
        <v>11297.139</v>
      </c>
      <c r="R7" s="1100">
        <v>11097.111</v>
      </c>
      <c r="S7" s="1100">
        <v>11657.751999999999</v>
      </c>
      <c r="T7" s="1100">
        <v>12705.169000000002</v>
      </c>
      <c r="U7" s="1128">
        <v>13480.429999999997</v>
      </c>
      <c r="V7" s="598" t="s">
        <v>89</v>
      </c>
      <c r="X7" s="1129">
        <f>U7/T7*100-100</f>
        <v>6.101933787736272</v>
      </c>
    </row>
    <row r="8" spans="2:24" ht="12.75" customHeight="1">
      <c r="B8" s="604" t="s">
        <v>251</v>
      </c>
      <c r="C8" s="1130"/>
      <c r="D8" s="960"/>
      <c r="E8" s="1131"/>
      <c r="F8" s="1102"/>
      <c r="G8" s="1102"/>
      <c r="H8" s="1102">
        <v>1115.2819999999992</v>
      </c>
      <c r="I8" s="1102">
        <v>1121.104000000003</v>
      </c>
      <c r="J8" s="1102">
        <v>1082.4460000000017</v>
      </c>
      <c r="K8" s="1102">
        <v>1197.5769999999993</v>
      </c>
      <c r="L8" s="1102">
        <v>1347.3420000000006</v>
      </c>
      <c r="M8" s="1102">
        <v>1304.2000000000062</v>
      </c>
      <c r="N8" s="1102">
        <v>933.8730000000014</v>
      </c>
      <c r="O8" s="1102">
        <v>883.6519999999982</v>
      </c>
      <c r="P8" s="1102">
        <v>868.5830000000005</v>
      </c>
      <c r="Q8" s="1102">
        <v>806.7259999999987</v>
      </c>
      <c r="R8" s="1102">
        <v>788.9869999999974</v>
      </c>
      <c r="S8" s="1102">
        <v>899.4620000000014</v>
      </c>
      <c r="T8" s="1102">
        <v>1008.2510000000002</v>
      </c>
      <c r="U8" s="1132">
        <v>1167.1600000000017</v>
      </c>
      <c r="V8" s="604" t="s">
        <v>251</v>
      </c>
      <c r="X8" s="1133">
        <f>U8/T8*100-100</f>
        <v>15.760857167511006</v>
      </c>
    </row>
    <row r="9" spans="1:24" ht="12.75" customHeight="1">
      <c r="A9" s="597"/>
      <c r="B9" s="833" t="s">
        <v>81</v>
      </c>
      <c r="C9" s="1145">
        <v>295.865</v>
      </c>
      <c r="D9" s="664">
        <v>314.182</v>
      </c>
      <c r="E9" s="1085">
        <v>309.427</v>
      </c>
      <c r="F9" s="1085">
        <v>293.528</v>
      </c>
      <c r="G9" s="1085">
        <v>279.493</v>
      </c>
      <c r="H9" s="1085">
        <v>300.121</v>
      </c>
      <c r="I9" s="1085">
        <v>311.292</v>
      </c>
      <c r="J9" s="1085">
        <v>307.915</v>
      </c>
      <c r="K9" s="1085">
        <v>308.594</v>
      </c>
      <c r="L9" s="1085">
        <v>298.182</v>
      </c>
      <c r="M9" s="1085">
        <v>293.697</v>
      </c>
      <c r="N9" s="1085">
        <v>319.403</v>
      </c>
      <c r="O9" s="1085">
        <v>328.563</v>
      </c>
      <c r="P9" s="1085">
        <v>356.145</v>
      </c>
      <c r="Q9" s="1085">
        <v>336.01</v>
      </c>
      <c r="R9" s="1085">
        <v>319.035</v>
      </c>
      <c r="S9" s="1085">
        <v>303.318</v>
      </c>
      <c r="T9" s="1085">
        <v>308.555</v>
      </c>
      <c r="U9" s="1146">
        <v>329.604</v>
      </c>
      <c r="V9" s="1107" t="s">
        <v>81</v>
      </c>
      <c r="X9" s="1047">
        <f>U9/T9*100-100</f>
        <v>6.821798382784266</v>
      </c>
    </row>
    <row r="10" spans="1:24" ht="12.75" customHeight="1">
      <c r="A10" s="597"/>
      <c r="B10" s="610" t="s">
        <v>60</v>
      </c>
      <c r="C10" s="1134">
        <v>452.129</v>
      </c>
      <c r="D10" s="622">
        <v>489.621</v>
      </c>
      <c r="E10" s="1055">
        <v>515.204</v>
      </c>
      <c r="F10" s="1055">
        <v>488.683</v>
      </c>
      <c r="G10" s="1055">
        <v>467.569</v>
      </c>
      <c r="H10" s="1055">
        <v>458.796</v>
      </c>
      <c r="I10" s="1055">
        <v>484.757</v>
      </c>
      <c r="J10" s="1055">
        <v>480.088</v>
      </c>
      <c r="K10" s="1055">
        <v>526.141</v>
      </c>
      <c r="L10" s="1055">
        <v>524.795</v>
      </c>
      <c r="M10" s="1055">
        <v>535.947</v>
      </c>
      <c r="N10" s="1055">
        <v>476.194</v>
      </c>
      <c r="O10" s="1055">
        <v>547.34</v>
      </c>
      <c r="P10" s="1055">
        <v>572.211</v>
      </c>
      <c r="Q10" s="1055">
        <v>487.377</v>
      </c>
      <c r="R10" s="1055">
        <v>486.065</v>
      </c>
      <c r="S10" s="1055">
        <v>482.939</v>
      </c>
      <c r="T10" s="1055">
        <v>501.066</v>
      </c>
      <c r="U10" s="1062">
        <v>539.281</v>
      </c>
      <c r="V10" s="889" t="s">
        <v>60</v>
      </c>
      <c r="X10" s="1063">
        <f aca="true" t="shared" si="0" ref="X10:X44">U10/T10*100-100</f>
        <v>7.626739790766095</v>
      </c>
    </row>
    <row r="11" spans="1:24" ht="12.75" customHeight="1">
      <c r="A11" s="597"/>
      <c r="B11" s="598" t="s">
        <v>101</v>
      </c>
      <c r="C11" s="641"/>
      <c r="D11" s="615"/>
      <c r="E11" s="1050"/>
      <c r="F11" s="1050"/>
      <c r="G11" s="1050">
        <v>13.82</v>
      </c>
      <c r="H11" s="1050">
        <v>16.64</v>
      </c>
      <c r="I11" s="1050">
        <v>24.91</v>
      </c>
      <c r="J11" s="1050">
        <v>32.7</v>
      </c>
      <c r="K11" s="1050">
        <v>32.481</v>
      </c>
      <c r="L11" s="1050">
        <v>41.042</v>
      </c>
      <c r="M11" s="1050">
        <v>43.758</v>
      </c>
      <c r="N11" s="1050">
        <v>24.972</v>
      </c>
      <c r="O11" s="1050">
        <v>15.646</v>
      </c>
      <c r="P11" s="1065">
        <v>18.631</v>
      </c>
      <c r="Q11" s="1065">
        <v>19.752</v>
      </c>
      <c r="R11" s="1065">
        <v>20.718</v>
      </c>
      <c r="S11" s="1065">
        <v>21.186</v>
      </c>
      <c r="T11" s="1065">
        <v>24.256</v>
      </c>
      <c r="U11" s="1106">
        <v>27.466</v>
      </c>
      <c r="V11" s="743" t="s">
        <v>101</v>
      </c>
      <c r="X11" s="1059">
        <f t="shared" si="0"/>
        <v>13.233839050131934</v>
      </c>
    </row>
    <row r="12" spans="1:24" ht="12.75" customHeight="1">
      <c r="A12" s="597"/>
      <c r="B12" s="610" t="s">
        <v>71</v>
      </c>
      <c r="C12" s="1134"/>
      <c r="D12" s="622"/>
      <c r="E12" s="1055">
        <f>7.103+0.051+1.057</f>
        <v>8.211</v>
      </c>
      <c r="F12" s="1055">
        <f>7.562+0.117+2.323</f>
        <v>10.002</v>
      </c>
      <c r="G12" s="1055">
        <f>7.942+0.065+1.115</f>
        <v>9.122</v>
      </c>
      <c r="H12" s="1055">
        <f>7.797+0.12+1.228</f>
        <v>9.145</v>
      </c>
      <c r="I12" s="1055">
        <f>18.22+0.055+1.375</f>
        <v>19.65</v>
      </c>
      <c r="J12" s="1055">
        <f>17.687+0.09+1.433</f>
        <v>19.21</v>
      </c>
      <c r="K12" s="1055">
        <f>18.639+0.076+1.629</f>
        <v>20.344</v>
      </c>
      <c r="L12" s="1055">
        <f>22.878+0.087+2.142</f>
        <v>25.107</v>
      </c>
      <c r="M12" s="1055">
        <f>22.241+0.044+1.928</f>
        <v>24.213</v>
      </c>
      <c r="N12" s="1055">
        <v>15.945</v>
      </c>
      <c r="O12" s="1055">
        <v>15.062</v>
      </c>
      <c r="P12" s="1055">
        <v>14.665</v>
      </c>
      <c r="Q12" s="1055">
        <v>10.967</v>
      </c>
      <c r="R12" s="1055">
        <v>7.047</v>
      </c>
      <c r="S12" s="1055">
        <v>8.271</v>
      </c>
      <c r="T12" s="1055">
        <v>10.078</v>
      </c>
      <c r="U12" s="1062">
        <v>12.468</v>
      </c>
      <c r="V12" s="889" t="s">
        <v>71</v>
      </c>
      <c r="X12" s="1063">
        <f t="shared" si="0"/>
        <v>23.715022821988498</v>
      </c>
    </row>
    <row r="13" spans="1:24" ht="12.75" customHeight="1">
      <c r="A13" s="597"/>
      <c r="B13" s="610" t="s">
        <v>61</v>
      </c>
      <c r="C13" s="1134"/>
      <c r="D13" s="622"/>
      <c r="E13" s="1055"/>
      <c r="F13" s="1055"/>
      <c r="G13" s="1055"/>
      <c r="H13" s="1055">
        <v>152.981</v>
      </c>
      <c r="I13" s="1055">
        <v>143.622</v>
      </c>
      <c r="J13" s="1055">
        <v>151.699</v>
      </c>
      <c r="K13" s="1055">
        <v>156.686</v>
      </c>
      <c r="L13" s="1055">
        <v>174.456</v>
      </c>
      <c r="M13" s="1055">
        <v>182.554</v>
      </c>
      <c r="N13" s="1055">
        <v>167.708</v>
      </c>
      <c r="O13" s="1055">
        <v>169.58</v>
      </c>
      <c r="P13" s="1055">
        <v>173.595</v>
      </c>
      <c r="Q13" s="1055">
        <v>173.997</v>
      </c>
      <c r="R13" s="1055">
        <v>164.746</v>
      </c>
      <c r="S13" s="1055">
        <v>192.314</v>
      </c>
      <c r="T13" s="1055">
        <v>230.857</v>
      </c>
      <c r="U13" s="1062">
        <v>259.693</v>
      </c>
      <c r="V13" s="889" t="s">
        <v>61</v>
      </c>
      <c r="X13" s="1059">
        <f t="shared" si="0"/>
        <v>12.490849313644375</v>
      </c>
    </row>
    <row r="14" spans="1:24" ht="12.75" customHeight="1">
      <c r="A14" s="597"/>
      <c r="B14" s="610" t="s">
        <v>63</v>
      </c>
      <c r="C14" s="1134">
        <v>3735.987</v>
      </c>
      <c r="D14" s="622">
        <v>3802.176</v>
      </c>
      <c r="E14" s="1055">
        <v>3378.343</v>
      </c>
      <c r="F14" s="1055">
        <v>3341.718</v>
      </c>
      <c r="G14" s="1055">
        <v>3252.898</v>
      </c>
      <c r="H14" s="1055">
        <v>3236.938</v>
      </c>
      <c r="I14" s="1055">
        <v>3266.825</v>
      </c>
      <c r="J14" s="1055">
        <v>3319.259</v>
      </c>
      <c r="K14" s="1055">
        <v>3467.961</v>
      </c>
      <c r="L14" s="1055">
        <v>3148.163</v>
      </c>
      <c r="M14" s="1055">
        <v>3090.04</v>
      </c>
      <c r="N14" s="1055">
        <v>3807.175</v>
      </c>
      <c r="O14" s="1055">
        <v>2916.259</v>
      </c>
      <c r="P14" s="1055">
        <v>3173.634</v>
      </c>
      <c r="Q14" s="1055">
        <v>3082.58</v>
      </c>
      <c r="R14" s="1055">
        <v>2952.431</v>
      </c>
      <c r="S14" s="1055">
        <v>3036.773</v>
      </c>
      <c r="T14" s="1055">
        <v>3206.042</v>
      </c>
      <c r="U14" s="1062">
        <v>3351.607</v>
      </c>
      <c r="V14" s="889" t="s">
        <v>63</v>
      </c>
      <c r="X14" s="1063">
        <f t="shared" si="0"/>
        <v>4.540333532748477</v>
      </c>
    </row>
    <row r="15" spans="1:24" ht="12.75" customHeight="1">
      <c r="A15" s="597"/>
      <c r="B15" s="598" t="s">
        <v>14</v>
      </c>
      <c r="C15" s="641">
        <v>162.508</v>
      </c>
      <c r="D15" s="615">
        <v>143.727</v>
      </c>
      <c r="E15" s="1050">
        <v>112.69</v>
      </c>
      <c r="F15" s="1050">
        <v>96.173</v>
      </c>
      <c r="G15" s="1050">
        <v>111.585</v>
      </c>
      <c r="H15" s="1050">
        <v>96.078</v>
      </c>
      <c r="I15" s="1050">
        <v>121.49</v>
      </c>
      <c r="J15" s="1050">
        <v>146.885</v>
      </c>
      <c r="K15" s="1050">
        <v>154.385</v>
      </c>
      <c r="L15" s="1050">
        <v>159.347</v>
      </c>
      <c r="M15" s="1050">
        <v>150.145</v>
      </c>
      <c r="N15" s="1050">
        <v>112.201</v>
      </c>
      <c r="O15" s="1050">
        <v>153.587</v>
      </c>
      <c r="P15" s="1065">
        <v>169.974</v>
      </c>
      <c r="Q15" s="1065">
        <v>170.531</v>
      </c>
      <c r="R15" s="1065">
        <v>181.896</v>
      </c>
      <c r="S15" s="1065">
        <v>188.612</v>
      </c>
      <c r="T15" s="1065">
        <v>206.999</v>
      </c>
      <c r="U15" s="1106">
        <v>222.895</v>
      </c>
      <c r="V15" s="743" t="s">
        <v>14</v>
      </c>
      <c r="X15" s="1059">
        <f t="shared" si="0"/>
        <v>7.679264151034545</v>
      </c>
    </row>
    <row r="16" spans="1:24" ht="12.75" customHeight="1">
      <c r="A16" s="597"/>
      <c r="B16" s="598" t="s">
        <v>64</v>
      </c>
      <c r="C16" s="641"/>
      <c r="D16" s="615"/>
      <c r="E16" s="1050"/>
      <c r="F16" s="1050"/>
      <c r="G16" s="1050"/>
      <c r="H16" s="1050">
        <v>15.602</v>
      </c>
      <c r="I16" s="1050">
        <v>16.436</v>
      </c>
      <c r="J16" s="1050">
        <v>19.64</v>
      </c>
      <c r="K16" s="1050">
        <v>25.363</v>
      </c>
      <c r="L16" s="1050">
        <v>30.912</v>
      </c>
      <c r="M16" s="1050">
        <v>24.579</v>
      </c>
      <c r="N16" s="1050">
        <v>9.946</v>
      </c>
      <c r="O16" s="1050">
        <v>10.295</v>
      </c>
      <c r="P16" s="1065">
        <v>17.07</v>
      </c>
      <c r="Q16" s="1065">
        <v>19.424</v>
      </c>
      <c r="R16" s="1065">
        <v>19.694</v>
      </c>
      <c r="S16" s="1065">
        <v>21.135</v>
      </c>
      <c r="T16" s="1065">
        <v>21.033</v>
      </c>
      <c r="U16" s="1106">
        <v>22.997</v>
      </c>
      <c r="V16" s="743" t="s">
        <v>64</v>
      </c>
      <c r="X16" s="1063">
        <f t="shared" si="0"/>
        <v>9.337707412161848</v>
      </c>
    </row>
    <row r="17" spans="1:24" ht="12.75" customHeight="1">
      <c r="A17" s="597"/>
      <c r="B17" s="598" t="s">
        <v>15</v>
      </c>
      <c r="C17" s="641">
        <v>180.145</v>
      </c>
      <c r="D17" s="615">
        <v>261.711</v>
      </c>
      <c r="E17" s="1050">
        <v>290.222</v>
      </c>
      <c r="F17" s="1050">
        <v>280.214</v>
      </c>
      <c r="G17" s="1050">
        <v>268.489</v>
      </c>
      <c r="H17" s="1050">
        <v>257.293</v>
      </c>
      <c r="I17" s="1050">
        <v>289.691</v>
      </c>
      <c r="J17" s="1050">
        <v>269.728</v>
      </c>
      <c r="K17" s="1050">
        <v>267.669</v>
      </c>
      <c r="L17" s="1050">
        <v>279.745</v>
      </c>
      <c r="M17" s="1050">
        <v>267.295</v>
      </c>
      <c r="N17" s="1050">
        <v>219.73</v>
      </c>
      <c r="O17" s="1050">
        <v>141.501</v>
      </c>
      <c r="P17" s="1065">
        <v>97.68</v>
      </c>
      <c r="Q17" s="1065">
        <v>58.479</v>
      </c>
      <c r="R17" s="1065">
        <v>58.696</v>
      </c>
      <c r="S17" s="1065">
        <v>71.222</v>
      </c>
      <c r="T17" s="1065">
        <v>75.804</v>
      </c>
      <c r="U17" s="1106">
        <v>78.873</v>
      </c>
      <c r="V17" s="743" t="s">
        <v>15</v>
      </c>
      <c r="X17" s="1059">
        <f t="shared" si="0"/>
        <v>4.0485990185214575</v>
      </c>
    </row>
    <row r="18" spans="1:24" ht="12.75" customHeight="1">
      <c r="A18" s="597"/>
      <c r="B18" s="610" t="s">
        <v>66</v>
      </c>
      <c r="C18" s="1134">
        <v>1192.53</v>
      </c>
      <c r="D18" s="622">
        <v>1406.246</v>
      </c>
      <c r="E18" s="1055">
        <v>1381.256</v>
      </c>
      <c r="F18" s="1055">
        <v>1425.573</v>
      </c>
      <c r="G18" s="1055">
        <v>1331.877</v>
      </c>
      <c r="H18" s="1055">
        <v>1382.109</v>
      </c>
      <c r="I18" s="1055">
        <v>1517.286</v>
      </c>
      <c r="J18" s="1055">
        <v>1528.877</v>
      </c>
      <c r="K18" s="1055">
        <v>1634.608</v>
      </c>
      <c r="L18" s="1055">
        <v>1614.835</v>
      </c>
      <c r="M18" s="1055">
        <v>1161.176</v>
      </c>
      <c r="N18" s="1055">
        <v>952.772</v>
      </c>
      <c r="O18" s="1055">
        <v>982.015</v>
      </c>
      <c r="P18" s="1055">
        <v>808.051</v>
      </c>
      <c r="Q18" s="1055">
        <v>699.589</v>
      </c>
      <c r="R18" s="1055">
        <v>722.689</v>
      </c>
      <c r="S18" s="1055">
        <v>855.308</v>
      </c>
      <c r="T18" s="1055">
        <v>1034.232</v>
      </c>
      <c r="U18" s="1062">
        <v>1147.007</v>
      </c>
      <c r="V18" s="889" t="s">
        <v>66</v>
      </c>
      <c r="X18" s="1063">
        <f t="shared" si="0"/>
        <v>10.904226517841266</v>
      </c>
    </row>
    <row r="19" spans="1:24" ht="12.75" customHeight="1">
      <c r="A19" s="597"/>
      <c r="B19" s="598" t="s">
        <v>87</v>
      </c>
      <c r="C19" s="641">
        <v>125.751</v>
      </c>
      <c r="D19" s="615">
        <v>136.324</v>
      </c>
      <c r="E19" s="1065">
        <v>134.646</v>
      </c>
      <c r="F19" s="1065">
        <v>109.487</v>
      </c>
      <c r="G19" s="1065">
        <v>116.877</v>
      </c>
      <c r="H19" s="1065">
        <v>147.222</v>
      </c>
      <c r="I19" s="1065">
        <v>142.439</v>
      </c>
      <c r="J19" s="1065">
        <v>147.949</v>
      </c>
      <c r="K19" s="1065">
        <v>145.689</v>
      </c>
      <c r="L19" s="1065">
        <v>125.285</v>
      </c>
      <c r="M19" s="1065">
        <v>139.611</v>
      </c>
      <c r="N19" s="1065">
        <v>88.344</v>
      </c>
      <c r="O19" s="1065">
        <v>107.346</v>
      </c>
      <c r="P19" s="1065">
        <v>121.171</v>
      </c>
      <c r="Q19" s="1065">
        <v>107.166</v>
      </c>
      <c r="R19" s="1066">
        <v>103.314</v>
      </c>
      <c r="S19" s="1065">
        <v>106.259</v>
      </c>
      <c r="T19" s="1065">
        <v>108.844</v>
      </c>
      <c r="U19" s="1106">
        <v>118.912</v>
      </c>
      <c r="V19" s="886" t="s">
        <v>87</v>
      </c>
      <c r="X19" s="1059">
        <f t="shared" si="0"/>
        <v>9.249935687773345</v>
      </c>
    </row>
    <row r="20" spans="1:24" ht="12.75" customHeight="1">
      <c r="A20" s="597"/>
      <c r="B20" s="598" t="s">
        <v>67</v>
      </c>
      <c r="C20" s="641">
        <v>1943.553</v>
      </c>
      <c r="D20" s="615">
        <v>2148.423</v>
      </c>
      <c r="E20" s="1050">
        <v>2133.884</v>
      </c>
      <c r="F20" s="1050">
        <v>2254.732</v>
      </c>
      <c r="G20" s="1050">
        <v>2145.071</v>
      </c>
      <c r="H20" s="1050">
        <v>2009.246</v>
      </c>
      <c r="I20" s="1050">
        <v>2013.709</v>
      </c>
      <c r="J20" s="1050">
        <v>2067.789</v>
      </c>
      <c r="K20" s="1050">
        <v>2000.549</v>
      </c>
      <c r="L20" s="1050">
        <v>2064.543</v>
      </c>
      <c r="M20" s="1050">
        <v>2050.282</v>
      </c>
      <c r="N20" s="1050">
        <v>2302.398</v>
      </c>
      <c r="O20" s="1050">
        <v>2251.669</v>
      </c>
      <c r="P20" s="1065">
        <v>2204.229</v>
      </c>
      <c r="Q20" s="1065">
        <v>1898.76</v>
      </c>
      <c r="R20" s="1065">
        <v>1790.456</v>
      </c>
      <c r="S20" s="1065">
        <v>1795.885</v>
      </c>
      <c r="T20" s="1065">
        <v>1917.226</v>
      </c>
      <c r="U20" s="1106">
        <v>2015.177</v>
      </c>
      <c r="V20" s="743" t="s">
        <v>67</v>
      </c>
      <c r="X20" s="1063">
        <f t="shared" si="0"/>
        <v>5.108996018205474</v>
      </c>
    </row>
    <row r="21" spans="1:24" ht="12.75" customHeight="1">
      <c r="A21" s="597"/>
      <c r="B21" s="610" t="s">
        <v>148</v>
      </c>
      <c r="C21" s="1134"/>
      <c r="D21" s="622"/>
      <c r="E21" s="1055">
        <v>92.36</v>
      </c>
      <c r="F21" s="1055">
        <v>108.633</v>
      </c>
      <c r="G21" s="1055">
        <v>95.21</v>
      </c>
      <c r="H21" s="1055">
        <v>104.52</v>
      </c>
      <c r="I21" s="1055">
        <v>99.84</v>
      </c>
      <c r="J21" s="1055">
        <v>102.123</v>
      </c>
      <c r="K21" s="1055">
        <v>114.447</v>
      </c>
      <c r="L21" s="1055">
        <v>106.202</v>
      </c>
      <c r="M21" s="1055">
        <v>95.697</v>
      </c>
      <c r="N21" s="1055">
        <v>53.252</v>
      </c>
      <c r="O21" s="1055">
        <v>46.209</v>
      </c>
      <c r="P21" s="1055">
        <v>48.883</v>
      </c>
      <c r="Q21" s="1055">
        <v>40.825</v>
      </c>
      <c r="R21" s="1055">
        <v>27.802</v>
      </c>
      <c r="S21" s="1055">
        <v>33.962</v>
      </c>
      <c r="T21" s="1055">
        <v>35.715</v>
      </c>
      <c r="U21" s="1062">
        <v>44.106</v>
      </c>
      <c r="V21" s="889" t="s">
        <v>148</v>
      </c>
      <c r="X21" s="1059">
        <f t="shared" si="0"/>
        <v>23.494330113397723</v>
      </c>
    </row>
    <row r="22" spans="1:24" ht="12.75" customHeight="1">
      <c r="A22" s="597"/>
      <c r="B22" s="610" t="s">
        <v>77</v>
      </c>
      <c r="C22" s="1134"/>
      <c r="D22" s="622"/>
      <c r="E22" s="1055"/>
      <c r="F22" s="1055"/>
      <c r="G22" s="1055"/>
      <c r="H22" s="1055">
        <v>208.426</v>
      </c>
      <c r="I22" s="1055">
        <v>207.055</v>
      </c>
      <c r="J22" s="1055">
        <v>198.982</v>
      </c>
      <c r="K22" s="1055">
        <v>187.676</v>
      </c>
      <c r="L22" s="1055">
        <v>171.661</v>
      </c>
      <c r="M22" s="1055">
        <v>153.278</v>
      </c>
      <c r="N22" s="1055">
        <v>60.189</v>
      </c>
      <c r="O22" s="1055">
        <v>43.476</v>
      </c>
      <c r="P22" s="1055">
        <v>45.094</v>
      </c>
      <c r="Q22" s="1055">
        <v>50.398</v>
      </c>
      <c r="R22" s="1055">
        <v>56.139</v>
      </c>
      <c r="S22" s="1055">
        <v>67.476</v>
      </c>
      <c r="T22" s="1055">
        <v>77.171</v>
      </c>
      <c r="U22" s="1062">
        <v>96.555</v>
      </c>
      <c r="V22" s="889" t="s">
        <v>77</v>
      </c>
      <c r="X22" s="1063">
        <f t="shared" si="0"/>
        <v>25.118243899910595</v>
      </c>
    </row>
    <row r="23" spans="1:24" ht="12.75" customHeight="1">
      <c r="A23" s="597"/>
      <c r="B23" s="610" t="s">
        <v>68</v>
      </c>
      <c r="C23" s="1134">
        <v>145.702</v>
      </c>
      <c r="D23" s="622">
        <v>174.242</v>
      </c>
      <c r="E23" s="1055">
        <v>230.795</v>
      </c>
      <c r="F23" s="1055">
        <v>164.73</v>
      </c>
      <c r="G23" s="1055">
        <v>156.125</v>
      </c>
      <c r="H23" s="1055">
        <v>145.223</v>
      </c>
      <c r="I23" s="1055">
        <v>154.136</v>
      </c>
      <c r="J23" s="1055">
        <v>171.742</v>
      </c>
      <c r="K23" s="1055">
        <v>178.484</v>
      </c>
      <c r="L23" s="1055">
        <v>186.325</v>
      </c>
      <c r="M23" s="1055">
        <v>151.607</v>
      </c>
      <c r="N23" s="1055">
        <v>57.453</v>
      </c>
      <c r="O23" s="1055">
        <v>88.446</v>
      </c>
      <c r="P23" s="1055">
        <v>89.904</v>
      </c>
      <c r="Q23" s="1055">
        <v>79.498</v>
      </c>
      <c r="R23" s="1055">
        <v>74.367</v>
      </c>
      <c r="S23" s="1055">
        <v>96.284</v>
      </c>
      <c r="T23" s="1055">
        <v>124.804</v>
      </c>
      <c r="U23" s="1062">
        <v>146.672</v>
      </c>
      <c r="V23" s="889" t="s">
        <v>68</v>
      </c>
      <c r="X23" s="1059">
        <f t="shared" si="0"/>
        <v>17.52187429890067</v>
      </c>
    </row>
    <row r="24" spans="1:24" ht="12.75" customHeight="1">
      <c r="A24" s="597"/>
      <c r="B24" s="598" t="s">
        <v>69</v>
      </c>
      <c r="C24" s="641">
        <v>2378.516</v>
      </c>
      <c r="D24" s="615">
        <v>2338.464</v>
      </c>
      <c r="E24" s="1065">
        <v>2423.084</v>
      </c>
      <c r="F24" s="1065">
        <v>2413.455</v>
      </c>
      <c r="G24" s="1065">
        <v>2279.612</v>
      </c>
      <c r="H24" s="1065">
        <v>2247.019</v>
      </c>
      <c r="I24" s="1065">
        <v>2264.688</v>
      </c>
      <c r="J24" s="1065">
        <v>2237.444</v>
      </c>
      <c r="K24" s="1065">
        <v>2326.049</v>
      </c>
      <c r="L24" s="1065">
        <v>2493.106</v>
      </c>
      <c r="M24" s="1065">
        <v>2161.682</v>
      </c>
      <c r="N24" s="1065">
        <v>2159.463</v>
      </c>
      <c r="O24" s="1065">
        <v>1961.579</v>
      </c>
      <c r="P24" s="1065">
        <v>1749.074</v>
      </c>
      <c r="Q24" s="1065">
        <v>1402.089</v>
      </c>
      <c r="R24" s="1065">
        <v>1304.648</v>
      </c>
      <c r="S24" s="1065">
        <v>1360.578</v>
      </c>
      <c r="T24" s="1065">
        <v>1569.085</v>
      </c>
      <c r="U24" s="1106">
        <v>1824.382</v>
      </c>
      <c r="V24" s="886" t="s">
        <v>69</v>
      </c>
      <c r="X24" s="1063">
        <f t="shared" si="0"/>
        <v>16.27043786665476</v>
      </c>
    </row>
    <row r="25" spans="1:24" ht="12.75" customHeight="1">
      <c r="A25" s="597"/>
      <c r="B25" s="610" t="s">
        <v>73</v>
      </c>
      <c r="C25" s="1134"/>
      <c r="D25" s="622"/>
      <c r="E25" s="1055"/>
      <c r="F25" s="1055"/>
      <c r="G25" s="1055"/>
      <c r="H25" s="1055">
        <v>7.543</v>
      </c>
      <c r="I25" s="1055">
        <v>9.493</v>
      </c>
      <c r="J25" s="1055">
        <v>10.467</v>
      </c>
      <c r="K25" s="1055">
        <v>14.234</v>
      </c>
      <c r="L25" s="1055">
        <v>21.606</v>
      </c>
      <c r="M25" s="1055">
        <v>22.217</v>
      </c>
      <c r="N25" s="1055">
        <v>7.515</v>
      </c>
      <c r="O25" s="1055">
        <v>7.97</v>
      </c>
      <c r="P25" s="1055">
        <v>13.234</v>
      </c>
      <c r="Q25" s="1055">
        <v>12.165</v>
      </c>
      <c r="R25" s="1055">
        <v>12.163</v>
      </c>
      <c r="S25" s="1055">
        <v>14.461</v>
      </c>
      <c r="T25" s="1055">
        <v>17.071</v>
      </c>
      <c r="U25" s="1062">
        <v>20.284</v>
      </c>
      <c r="V25" s="889" t="s">
        <v>73</v>
      </c>
      <c r="X25" s="1059">
        <f t="shared" si="0"/>
        <v>18.821393005682125</v>
      </c>
    </row>
    <row r="26" spans="1:24" ht="12.75" customHeight="1">
      <c r="A26" s="597"/>
      <c r="B26" s="598" t="s">
        <v>76</v>
      </c>
      <c r="C26" s="641">
        <v>35.928</v>
      </c>
      <c r="D26" s="615">
        <v>40.476</v>
      </c>
      <c r="E26" s="1065">
        <v>41.896</v>
      </c>
      <c r="F26" s="1065">
        <v>42.833</v>
      </c>
      <c r="G26" s="1065">
        <v>43.403</v>
      </c>
      <c r="H26" s="1065">
        <v>43.62</v>
      </c>
      <c r="I26" s="1065">
        <v>48.234</v>
      </c>
      <c r="J26" s="1065">
        <v>48.517</v>
      </c>
      <c r="K26" s="1065">
        <v>50.837</v>
      </c>
      <c r="L26" s="1065">
        <v>51.332</v>
      </c>
      <c r="M26" s="1065">
        <v>52.359</v>
      </c>
      <c r="N26" s="1065">
        <v>47.265</v>
      </c>
      <c r="O26" s="1065">
        <v>49.726</v>
      </c>
      <c r="P26" s="1065">
        <v>49.881</v>
      </c>
      <c r="Q26" s="1065">
        <v>53.008</v>
      </c>
      <c r="R26" s="1065">
        <v>46.624</v>
      </c>
      <c r="S26" s="1065">
        <v>49.793</v>
      </c>
      <c r="T26" s="1065">
        <v>46.473</v>
      </c>
      <c r="U26" s="1106">
        <v>50.746</v>
      </c>
      <c r="V26" s="886" t="s">
        <v>76</v>
      </c>
      <c r="X26" s="1063">
        <f t="shared" si="0"/>
        <v>9.194586103759178</v>
      </c>
    </row>
    <row r="27" spans="1:24" ht="12.75" customHeight="1">
      <c r="A27" s="597"/>
      <c r="B27" s="598" t="s">
        <v>72</v>
      </c>
      <c r="C27" s="641"/>
      <c r="D27" s="615"/>
      <c r="E27" s="1065"/>
      <c r="F27" s="1065"/>
      <c r="G27" s="1065"/>
      <c r="H27" s="1065">
        <v>8.713</v>
      </c>
      <c r="I27" s="1065">
        <v>11.217</v>
      </c>
      <c r="J27" s="1065">
        <v>16.602</v>
      </c>
      <c r="K27" s="1065">
        <v>25.582</v>
      </c>
      <c r="L27" s="1065">
        <v>32.771</v>
      </c>
      <c r="M27" s="1065">
        <v>19.831</v>
      </c>
      <c r="N27" s="1065">
        <v>5.367</v>
      </c>
      <c r="O27" s="1065">
        <v>6.365</v>
      </c>
      <c r="P27" s="1065">
        <v>10.98</v>
      </c>
      <c r="Q27" s="1065">
        <v>10.665</v>
      </c>
      <c r="R27" s="1065">
        <v>10.636</v>
      </c>
      <c r="S27" s="1065">
        <v>12.452</v>
      </c>
      <c r="T27" s="1065">
        <v>13.766</v>
      </c>
      <c r="U27" s="1106">
        <v>16.357</v>
      </c>
      <c r="V27" s="886" t="s">
        <v>72</v>
      </c>
      <c r="X27" s="1059">
        <f t="shared" si="0"/>
        <v>18.821734708702593</v>
      </c>
    </row>
    <row r="28" spans="1:24" ht="12.75" customHeight="1">
      <c r="A28" s="597"/>
      <c r="B28" s="598" t="s">
        <v>78</v>
      </c>
      <c r="C28" s="641"/>
      <c r="D28" s="615"/>
      <c r="E28" s="1065"/>
      <c r="F28" s="1065"/>
      <c r="G28" s="1065"/>
      <c r="H28" s="1065">
        <f>0.069+6.519+0.634+0.008</f>
        <v>7.23</v>
      </c>
      <c r="I28" s="1065">
        <f>0.084+5.398+0.721+0.015</f>
        <v>6.217999999999999</v>
      </c>
      <c r="J28" s="1065">
        <f>0.083+5.675+0.778+0.016</f>
        <v>6.552</v>
      </c>
      <c r="K28" s="1065">
        <f>0.061+5.862+0.803+0.019</f>
        <v>6.745</v>
      </c>
      <c r="L28" s="1065">
        <f>0.075+5.334+0.808+0.023</f>
        <v>6.239999999999999</v>
      </c>
      <c r="M28" s="1065">
        <v>5.423</v>
      </c>
      <c r="N28" s="1065">
        <v>5.894</v>
      </c>
      <c r="O28" s="1065">
        <f>3.907+0.043+0.094+0.012</f>
        <v>4.056</v>
      </c>
      <c r="P28" s="1065">
        <f>5.311+0.065+0.052</f>
        <v>5.428</v>
      </c>
      <c r="Q28" s="1065">
        <v>5.884</v>
      </c>
      <c r="R28" s="1065">
        <v>5.749</v>
      </c>
      <c r="S28" s="1065">
        <v>6.451</v>
      </c>
      <c r="T28" s="1065">
        <v>7.121</v>
      </c>
      <c r="U28" s="1106">
        <v>7.333</v>
      </c>
      <c r="V28" s="886" t="s">
        <v>78</v>
      </c>
      <c r="X28" s="1063">
        <f t="shared" si="0"/>
        <v>2.9771099564667907</v>
      </c>
    </row>
    <row r="29" spans="1:24" ht="12.75" customHeight="1">
      <c r="A29" s="597"/>
      <c r="B29" s="610" t="s">
        <v>16</v>
      </c>
      <c r="C29" s="1134">
        <v>542.978</v>
      </c>
      <c r="D29" s="622">
        <v>611.487</v>
      </c>
      <c r="E29" s="1055">
        <v>597.625</v>
      </c>
      <c r="F29" s="1055">
        <v>530.231</v>
      </c>
      <c r="G29" s="1055">
        <v>510.702</v>
      </c>
      <c r="H29" s="1055">
        <v>488.841</v>
      </c>
      <c r="I29" s="1055">
        <v>483.745</v>
      </c>
      <c r="J29" s="1055">
        <v>465.152</v>
      </c>
      <c r="K29" s="1055">
        <v>483.97</v>
      </c>
      <c r="L29" s="1055">
        <v>505.538</v>
      </c>
      <c r="M29" s="1055">
        <v>499.918</v>
      </c>
      <c r="N29" s="1055">
        <v>387.152</v>
      </c>
      <c r="O29" s="1055">
        <v>482.567</v>
      </c>
      <c r="P29" s="1055">
        <v>555.798</v>
      </c>
      <c r="Q29" s="1055">
        <v>502.675</v>
      </c>
      <c r="R29" s="1055">
        <v>416.674</v>
      </c>
      <c r="S29" s="1055">
        <v>387.572</v>
      </c>
      <c r="T29" s="1055">
        <v>448.925</v>
      </c>
      <c r="U29" s="1062">
        <v>382.825</v>
      </c>
      <c r="V29" s="889" t="s">
        <v>16</v>
      </c>
      <c r="X29" s="1059">
        <f t="shared" si="0"/>
        <v>-14.724063039483212</v>
      </c>
    </row>
    <row r="30" spans="1:24" ht="12.75" customHeight="1">
      <c r="A30" s="597"/>
      <c r="B30" s="610" t="s">
        <v>80</v>
      </c>
      <c r="C30" s="1134"/>
      <c r="D30" s="622"/>
      <c r="E30" s="1135"/>
      <c r="F30" s="1055"/>
      <c r="G30" s="1055"/>
      <c r="H30" s="1055">
        <v>358.432</v>
      </c>
      <c r="I30" s="1055">
        <v>318.111</v>
      </c>
      <c r="J30" s="1055">
        <v>235.522</v>
      </c>
      <c r="K30" s="1055">
        <v>238.993</v>
      </c>
      <c r="L30" s="1055">
        <v>293.305</v>
      </c>
      <c r="M30" s="1055">
        <v>320.04</v>
      </c>
      <c r="N30" s="1055">
        <v>320.206</v>
      </c>
      <c r="O30" s="1055">
        <v>333.49</v>
      </c>
      <c r="P30" s="1055">
        <v>297.937</v>
      </c>
      <c r="Q30" s="1055">
        <v>271.215</v>
      </c>
      <c r="R30" s="1055">
        <v>288.998</v>
      </c>
      <c r="S30" s="1055">
        <v>325.371</v>
      </c>
      <c r="T30" s="1055">
        <v>352.378</v>
      </c>
      <c r="U30" s="1062">
        <v>417.854</v>
      </c>
      <c r="V30" s="889" t="s">
        <v>80</v>
      </c>
      <c r="X30" s="1063">
        <f t="shared" si="0"/>
        <v>18.58118270720645</v>
      </c>
    </row>
    <row r="31" spans="1:24" ht="12.75" customHeight="1">
      <c r="A31" s="597"/>
      <c r="B31" s="598" t="s">
        <v>92</v>
      </c>
      <c r="C31" s="641">
        <v>248.398</v>
      </c>
      <c r="D31" s="615">
        <v>272.883</v>
      </c>
      <c r="E31" s="1065">
        <v>257.836</v>
      </c>
      <c r="F31" s="1065">
        <v>255.21</v>
      </c>
      <c r="G31" s="1065">
        <v>226.092</v>
      </c>
      <c r="H31" s="1065">
        <v>189.792</v>
      </c>
      <c r="I31" s="1065">
        <v>197.645</v>
      </c>
      <c r="J31" s="1065">
        <v>206.488</v>
      </c>
      <c r="K31" s="1065">
        <v>194.702</v>
      </c>
      <c r="L31" s="1065">
        <v>201.816</v>
      </c>
      <c r="M31" s="1065">
        <v>213.389</v>
      </c>
      <c r="N31" s="1065">
        <v>161.013</v>
      </c>
      <c r="O31" s="1065">
        <v>223.464</v>
      </c>
      <c r="P31" s="1065">
        <v>153.404</v>
      </c>
      <c r="Q31" s="1065">
        <v>95.29</v>
      </c>
      <c r="R31" s="1065">
        <v>105.921</v>
      </c>
      <c r="S31" s="1065">
        <v>142.826</v>
      </c>
      <c r="T31" s="1065">
        <v>178.503</v>
      </c>
      <c r="U31" s="1106">
        <v>207.345</v>
      </c>
      <c r="V31" s="886" t="s">
        <v>92</v>
      </c>
      <c r="X31" s="1059">
        <f t="shared" si="0"/>
        <v>16.15771163509858</v>
      </c>
    </row>
    <row r="32" spans="1:24" ht="12.75" customHeight="1">
      <c r="A32" s="597"/>
      <c r="B32" s="610" t="s">
        <v>353</v>
      </c>
      <c r="C32" s="1134"/>
      <c r="D32" s="622"/>
      <c r="E32" s="1055"/>
      <c r="F32" s="1055"/>
      <c r="G32" s="1055">
        <v>88.8</v>
      </c>
      <c r="H32" s="1055">
        <v>106.76</v>
      </c>
      <c r="I32" s="1055">
        <v>145.12</v>
      </c>
      <c r="J32" s="1055">
        <v>172.5</v>
      </c>
      <c r="K32" s="1055">
        <v>256.364</v>
      </c>
      <c r="L32" s="1055">
        <v>315.621</v>
      </c>
      <c r="M32" s="1055">
        <v>270.995</v>
      </c>
      <c r="N32" s="1055">
        <v>130.195</v>
      </c>
      <c r="O32" s="1055">
        <v>106.328</v>
      </c>
      <c r="P32" s="1055">
        <v>94.619</v>
      </c>
      <c r="Q32" s="1055">
        <v>72.148</v>
      </c>
      <c r="R32" s="1055">
        <v>57.71</v>
      </c>
      <c r="S32" s="1055">
        <v>70.172</v>
      </c>
      <c r="T32" s="1055">
        <v>81.162</v>
      </c>
      <c r="U32" s="1062">
        <v>94.919</v>
      </c>
      <c r="V32" s="889" t="s">
        <v>353</v>
      </c>
      <c r="X32" s="1063">
        <f t="shared" si="0"/>
        <v>16.950050516251423</v>
      </c>
    </row>
    <row r="33" spans="1:24" ht="12.75" customHeight="1">
      <c r="A33" s="597"/>
      <c r="B33" s="610" t="s">
        <v>88</v>
      </c>
      <c r="C33" s="1134">
        <v>253.43</v>
      </c>
      <c r="D33" s="622">
        <v>295.249</v>
      </c>
      <c r="E33" s="1055">
        <v>290.529</v>
      </c>
      <c r="F33" s="1055">
        <v>246.581</v>
      </c>
      <c r="G33" s="1055">
        <v>254.589</v>
      </c>
      <c r="H33" s="1055">
        <v>261.206</v>
      </c>
      <c r="I33" s="1055">
        <v>264.246</v>
      </c>
      <c r="J33" s="1055">
        <v>274.301</v>
      </c>
      <c r="K33" s="1055">
        <v>282.766</v>
      </c>
      <c r="L33" s="1055">
        <v>306.799</v>
      </c>
      <c r="M33" s="1055">
        <v>253.982</v>
      </c>
      <c r="N33" s="1055">
        <v>213.408</v>
      </c>
      <c r="O33" s="1055">
        <v>289.684</v>
      </c>
      <c r="P33" s="1055">
        <v>304.984</v>
      </c>
      <c r="Q33" s="1055">
        <v>279.478</v>
      </c>
      <c r="R33" s="1055">
        <v>269.558</v>
      </c>
      <c r="S33" s="1055">
        <v>303.948</v>
      </c>
      <c r="T33" s="1055">
        <v>345.108</v>
      </c>
      <c r="U33" s="1062">
        <v>372.318</v>
      </c>
      <c r="V33" s="889" t="s">
        <v>88</v>
      </c>
      <c r="X33" s="1059">
        <f t="shared" si="0"/>
        <v>7.884488334086726</v>
      </c>
    </row>
    <row r="34" spans="1:24" ht="12.75" customHeight="1">
      <c r="A34" s="597"/>
      <c r="B34" s="598" t="s">
        <v>83</v>
      </c>
      <c r="C34" s="641"/>
      <c r="D34" s="615"/>
      <c r="E34" s="1065"/>
      <c r="F34" s="1065"/>
      <c r="G34" s="1065"/>
      <c r="H34" s="1065">
        <v>59.548</v>
      </c>
      <c r="I34" s="1065">
        <v>62.002</v>
      </c>
      <c r="J34" s="1065">
        <v>59.324</v>
      </c>
      <c r="K34" s="1065">
        <v>59.578</v>
      </c>
      <c r="L34" s="1065">
        <v>68.719</v>
      </c>
      <c r="M34" s="1065">
        <v>71.575</v>
      </c>
      <c r="N34" s="1065">
        <v>57.967</v>
      </c>
      <c r="O34" s="1065">
        <v>61.142</v>
      </c>
      <c r="P34" s="1065">
        <v>60.193</v>
      </c>
      <c r="Q34" s="1065">
        <v>50.091</v>
      </c>
      <c r="R34" s="1065">
        <v>51.585</v>
      </c>
      <c r="S34" s="1065">
        <v>53.959</v>
      </c>
      <c r="T34" s="1065">
        <v>59.664</v>
      </c>
      <c r="U34" s="1106">
        <v>58.963</v>
      </c>
      <c r="V34" s="886" t="s">
        <v>83</v>
      </c>
      <c r="X34" s="1063">
        <f t="shared" si="0"/>
        <v>-1.1749128452668316</v>
      </c>
    </row>
    <row r="35" spans="1:24" ht="12.75" customHeight="1">
      <c r="A35" s="597"/>
      <c r="B35" s="610" t="s">
        <v>85</v>
      </c>
      <c r="C35" s="1134"/>
      <c r="D35" s="622"/>
      <c r="E35" s="1055"/>
      <c r="F35" s="1055"/>
      <c r="G35" s="1055"/>
      <c r="H35" s="1055">
        <v>59.742</v>
      </c>
      <c r="I35" s="1055">
        <v>57.43</v>
      </c>
      <c r="J35" s="1055">
        <v>57.125</v>
      </c>
      <c r="K35" s="1055">
        <v>59.084</v>
      </c>
      <c r="L35" s="1055">
        <v>59.7</v>
      </c>
      <c r="M35" s="1055">
        <v>70.04</v>
      </c>
      <c r="N35" s="1055">
        <v>74.717</v>
      </c>
      <c r="O35" s="1055">
        <v>64.033</v>
      </c>
      <c r="P35" s="1055">
        <v>68.254</v>
      </c>
      <c r="Q35" s="1055">
        <v>69.195</v>
      </c>
      <c r="R35" s="1055">
        <v>66</v>
      </c>
      <c r="S35" s="1055">
        <v>72.252</v>
      </c>
      <c r="T35" s="1055">
        <v>77.979</v>
      </c>
      <c r="U35" s="1062">
        <v>88.165</v>
      </c>
      <c r="V35" s="889" t="s">
        <v>85</v>
      </c>
      <c r="X35" s="1059">
        <f t="shared" si="0"/>
        <v>13.06249118352379</v>
      </c>
    </row>
    <row r="36" spans="1:24" ht="12.75" customHeight="1">
      <c r="A36" s="597"/>
      <c r="B36" s="604" t="s">
        <v>13</v>
      </c>
      <c r="C36" s="807">
        <v>2247.403</v>
      </c>
      <c r="D36" s="650">
        <v>2197.615</v>
      </c>
      <c r="E36" s="1077">
        <v>2221.67</v>
      </c>
      <c r="F36" s="1077">
        <v>2458.769</v>
      </c>
      <c r="G36" s="1077">
        <v>2563.631</v>
      </c>
      <c r="H36" s="1077">
        <v>2579.05</v>
      </c>
      <c r="I36" s="1077">
        <v>2567.269</v>
      </c>
      <c r="J36" s="1077">
        <v>2439.717</v>
      </c>
      <c r="K36" s="1077">
        <v>2344.864</v>
      </c>
      <c r="L36" s="1077">
        <v>2404.007</v>
      </c>
      <c r="M36" s="1077">
        <v>2131.795</v>
      </c>
      <c r="N36" s="1077">
        <v>1994.999</v>
      </c>
      <c r="O36" s="1077">
        <v>2030.846</v>
      </c>
      <c r="P36" s="1077">
        <v>1941.253</v>
      </c>
      <c r="Q36" s="1077">
        <v>2044.609</v>
      </c>
      <c r="R36" s="1077">
        <v>2264.737</v>
      </c>
      <c r="S36" s="1077">
        <v>2476.435</v>
      </c>
      <c r="T36" s="1077">
        <v>2633.503</v>
      </c>
      <c r="U36" s="1136">
        <v>2692.786</v>
      </c>
      <c r="V36" s="866" t="s">
        <v>13</v>
      </c>
      <c r="X36" s="1076">
        <f t="shared" si="0"/>
        <v>2.2511081248056257</v>
      </c>
    </row>
    <row r="37" spans="1:24" ht="12.75" customHeight="1">
      <c r="A37" s="597"/>
      <c r="B37" s="610" t="s">
        <v>289</v>
      </c>
      <c r="C37" s="1134"/>
      <c r="D37" s="622"/>
      <c r="E37" s="1055"/>
      <c r="F37" s="1055"/>
      <c r="G37" s="1055"/>
      <c r="H37" s="1055"/>
      <c r="I37" s="1055"/>
      <c r="J37" s="1055"/>
      <c r="K37" s="1055"/>
      <c r="L37" s="1055"/>
      <c r="M37" s="1055"/>
      <c r="N37" s="1055"/>
      <c r="O37" s="1055"/>
      <c r="P37" s="1055"/>
      <c r="Q37" s="1055"/>
      <c r="R37" s="1055"/>
      <c r="S37" s="1055"/>
      <c r="T37" s="1055"/>
      <c r="U37" s="1062"/>
      <c r="V37" s="889" t="s">
        <v>289</v>
      </c>
      <c r="X37" s="1059"/>
    </row>
    <row r="38" spans="1:24" ht="12.75" customHeight="1">
      <c r="A38" s="597"/>
      <c r="B38" s="598" t="s">
        <v>235</v>
      </c>
      <c r="C38" s="641">
        <v>85.893</v>
      </c>
      <c r="D38" s="615">
        <v>89.665</v>
      </c>
      <c r="E38" s="1065"/>
      <c r="F38" s="1065"/>
      <c r="G38" s="1065"/>
      <c r="H38" s="1065"/>
      <c r="I38" s="1065"/>
      <c r="J38" s="1065"/>
      <c r="K38" s="1065"/>
      <c r="L38" s="1065"/>
      <c r="M38" s="1065"/>
      <c r="N38" s="1065"/>
      <c r="O38" s="1065">
        <v>8.608</v>
      </c>
      <c r="P38" s="1065">
        <v>10.26</v>
      </c>
      <c r="Q38" s="1065">
        <v>11.173</v>
      </c>
      <c r="R38" s="1065">
        <v>12.417</v>
      </c>
      <c r="S38" s="1137">
        <f>2.555+3.717+3.369+3.407</f>
        <v>13.048</v>
      </c>
      <c r="T38" s="1065">
        <v>13.718</v>
      </c>
      <c r="U38" s="1106">
        <f>3.106+4.574+3.991+4.256</f>
        <v>15.927</v>
      </c>
      <c r="V38" s="886" t="s">
        <v>235</v>
      </c>
      <c r="X38" s="1063">
        <f t="shared" si="0"/>
        <v>16.102930456334732</v>
      </c>
    </row>
    <row r="39" spans="1:24" ht="12.75" customHeight="1">
      <c r="A39" s="597"/>
      <c r="B39" s="610" t="s">
        <v>149</v>
      </c>
      <c r="C39" s="1134"/>
      <c r="D39" s="622"/>
      <c r="E39" s="1055"/>
      <c r="F39" s="1055"/>
      <c r="G39" s="1055"/>
      <c r="H39" s="1055"/>
      <c r="I39" s="1055"/>
      <c r="J39" s="1055">
        <v>15.894</v>
      </c>
      <c r="K39" s="1055">
        <v>12.45</v>
      </c>
      <c r="L39" s="1055">
        <v>16.914</v>
      </c>
      <c r="M39" s="1055">
        <v>17.914</v>
      </c>
      <c r="N39" s="1055">
        <v>13.113</v>
      </c>
      <c r="O39" s="1055">
        <v>49.291</v>
      </c>
      <c r="P39" s="1055">
        <v>40.09</v>
      </c>
      <c r="Q39" s="1055">
        <v>32.87</v>
      </c>
      <c r="R39" s="1055">
        <v>31.927</v>
      </c>
      <c r="S39" s="1055">
        <v>29.766</v>
      </c>
      <c r="T39" s="1055">
        <v>29.308</v>
      </c>
      <c r="U39" s="1138">
        <f>AVERAGE(R39:T39)</f>
        <v>30.33366666666667</v>
      </c>
      <c r="V39" s="889" t="s">
        <v>149</v>
      </c>
      <c r="X39" s="1139">
        <f t="shared" si="0"/>
        <v>3.4996133023975347</v>
      </c>
    </row>
    <row r="40" spans="1:24" ht="12.75" customHeight="1">
      <c r="A40" s="597"/>
      <c r="B40" s="598" t="s">
        <v>236</v>
      </c>
      <c r="C40" s="641"/>
      <c r="D40" s="615"/>
      <c r="E40" s="1065"/>
      <c r="F40" s="1065"/>
      <c r="G40" s="1065"/>
      <c r="H40" s="1065"/>
      <c r="I40" s="1065"/>
      <c r="J40" s="1065"/>
      <c r="K40" s="1065"/>
      <c r="L40" s="1065"/>
      <c r="M40" s="1065"/>
      <c r="N40" s="1065"/>
      <c r="O40" s="1065"/>
      <c r="P40" s="1065"/>
      <c r="Q40" s="1065">
        <f>129.168</f>
        <v>129.168</v>
      </c>
      <c r="R40" s="1065">
        <f>30.784+38.47+36.359+33.9</f>
        <v>139.513</v>
      </c>
      <c r="S40" s="1065">
        <f>27.363+26.591+25.995+25.444</f>
        <v>105.393</v>
      </c>
      <c r="T40" s="1065">
        <f>30.495+29.433+23.626+29.061</f>
        <v>112.61500000000001</v>
      </c>
      <c r="U40" s="1106">
        <v>136.258</v>
      </c>
      <c r="V40" s="886" t="s">
        <v>236</v>
      </c>
      <c r="X40" s="1063">
        <f t="shared" si="0"/>
        <v>20.99453891577498</v>
      </c>
    </row>
    <row r="41" spans="1:24" ht="12.75" customHeight="1">
      <c r="A41" s="597"/>
      <c r="B41" s="657" t="s">
        <v>150</v>
      </c>
      <c r="C41" s="1140"/>
      <c r="D41" s="1141"/>
      <c r="E41" s="1142"/>
      <c r="F41" s="1142"/>
      <c r="G41" s="1082"/>
      <c r="H41" s="1082"/>
      <c r="I41" s="1082"/>
      <c r="J41" s="1082">
        <v>406.807</v>
      </c>
      <c r="K41" s="1082">
        <v>396.542</v>
      </c>
      <c r="L41" s="1082">
        <v>353.495</v>
      </c>
      <c r="M41" s="1082">
        <v>353.168</v>
      </c>
      <c r="N41" s="1082">
        <v>357.986</v>
      </c>
      <c r="O41" s="1082">
        <v>485.619</v>
      </c>
      <c r="P41" s="1082">
        <v>602.248</v>
      </c>
      <c r="Q41" s="1082">
        <v>565.791</v>
      </c>
      <c r="R41" s="1082">
        <v>654.905</v>
      </c>
      <c r="S41" s="1082">
        <v>585.814</v>
      </c>
      <c r="T41" s="1082">
        <v>746.395</v>
      </c>
      <c r="U41" s="1143">
        <v>746.074</v>
      </c>
      <c r="V41" s="881" t="s">
        <v>150</v>
      </c>
      <c r="X41" s="1144">
        <f t="shared" si="0"/>
        <v>-0.043006718962473656</v>
      </c>
    </row>
    <row r="42" spans="1:24" ht="12.75" customHeight="1">
      <c r="A42" s="597"/>
      <c r="B42" s="598" t="s">
        <v>151</v>
      </c>
      <c r="C42" s="641">
        <v>13.569</v>
      </c>
      <c r="D42" s="615">
        <v>15.377</v>
      </c>
      <c r="E42" s="1065">
        <v>13.569</v>
      </c>
      <c r="F42" s="1065">
        <v>7.245</v>
      </c>
      <c r="G42" s="1065">
        <v>6.943</v>
      </c>
      <c r="H42" s="1065">
        <v>9.885</v>
      </c>
      <c r="I42" s="1065">
        <v>11.968</v>
      </c>
      <c r="J42" s="1065">
        <v>18.06</v>
      </c>
      <c r="K42" s="1065">
        <v>17.129</v>
      </c>
      <c r="L42" s="1065">
        <v>15.942</v>
      </c>
      <c r="M42" s="1065">
        <v>9.033</v>
      </c>
      <c r="N42" s="1065">
        <v>2.113</v>
      </c>
      <c r="O42" s="1065">
        <v>3.106</v>
      </c>
      <c r="P42" s="1065">
        <v>5.038</v>
      </c>
      <c r="Q42" s="1065">
        <v>7.93</v>
      </c>
      <c r="R42" s="1065">
        <v>7.274</v>
      </c>
      <c r="S42" s="1065">
        <v>9.52</v>
      </c>
      <c r="T42" s="1065">
        <v>14.008</v>
      </c>
      <c r="U42" s="1106">
        <v>18.473</v>
      </c>
      <c r="V42" s="886" t="s">
        <v>151</v>
      </c>
      <c r="W42" s="921"/>
      <c r="X42" s="1063">
        <f t="shared" si="0"/>
        <v>31.874643061107946</v>
      </c>
    </row>
    <row r="43" spans="1:24" ht="12.75" customHeight="1">
      <c r="A43" s="597"/>
      <c r="B43" s="610" t="s">
        <v>152</v>
      </c>
      <c r="C43" s="1134">
        <v>117.977</v>
      </c>
      <c r="D43" s="622">
        <v>101.278</v>
      </c>
      <c r="E43" s="1055">
        <v>97.376</v>
      </c>
      <c r="F43" s="1055">
        <v>91.916</v>
      </c>
      <c r="G43" s="1055">
        <v>88.721</v>
      </c>
      <c r="H43" s="1055">
        <v>89.921</v>
      </c>
      <c r="I43" s="1055">
        <v>115.645</v>
      </c>
      <c r="J43" s="1055">
        <v>109.907</v>
      </c>
      <c r="K43" s="1055">
        <v>109.164</v>
      </c>
      <c r="L43" s="1055">
        <v>129.195</v>
      </c>
      <c r="M43" s="1055">
        <v>110.617</v>
      </c>
      <c r="N43" s="1055">
        <v>98.675</v>
      </c>
      <c r="O43" s="1055">
        <v>127.754</v>
      </c>
      <c r="P43" s="1055">
        <v>138.345</v>
      </c>
      <c r="Q43" s="1055">
        <v>137.967</v>
      </c>
      <c r="R43" s="1055">
        <v>142.151</v>
      </c>
      <c r="S43" s="1055">
        <v>144.202</v>
      </c>
      <c r="T43" s="1055">
        <v>150.686</v>
      </c>
      <c r="U43" s="1062">
        <v>154.603</v>
      </c>
      <c r="V43" s="889" t="s">
        <v>152</v>
      </c>
      <c r="W43" s="921"/>
      <c r="X43" s="1059">
        <f t="shared" si="0"/>
        <v>2.5994452039340104</v>
      </c>
    </row>
    <row r="44" spans="1:24" ht="12.75" customHeight="1">
      <c r="A44" s="597"/>
      <c r="B44" s="604" t="s">
        <v>153</v>
      </c>
      <c r="C44" s="807">
        <v>296.945</v>
      </c>
      <c r="D44" s="650">
        <v>316.876</v>
      </c>
      <c r="E44" s="1077">
        <v>316.519</v>
      </c>
      <c r="F44" s="1077">
        <v>316.641</v>
      </c>
      <c r="G44" s="1077">
        <v>295.065</v>
      </c>
      <c r="H44" s="1077">
        <v>270.309</v>
      </c>
      <c r="I44" s="1077">
        <v>269.385</v>
      </c>
      <c r="J44" s="1077">
        <v>264.941</v>
      </c>
      <c r="K44" s="1077">
        <v>269.452</v>
      </c>
      <c r="L44" s="1077">
        <v>284.688</v>
      </c>
      <c r="M44" s="1077">
        <v>288.557</v>
      </c>
      <c r="N44" s="1077">
        <v>266.049</v>
      </c>
      <c r="O44" s="1077">
        <v>292.453</v>
      </c>
      <c r="P44" s="1077">
        <v>316.846</v>
      </c>
      <c r="Q44" s="1077">
        <v>326.081</v>
      </c>
      <c r="R44" s="1077">
        <v>305.928</v>
      </c>
      <c r="S44" s="1077">
        <v>300.11</v>
      </c>
      <c r="T44" s="1077">
        <v>321.669</v>
      </c>
      <c r="U44" s="1136">
        <v>315.479</v>
      </c>
      <c r="V44" s="866" t="s">
        <v>153</v>
      </c>
      <c r="W44" s="921"/>
      <c r="X44" s="1076">
        <f t="shared" si="0"/>
        <v>-1.9243383726750096</v>
      </c>
    </row>
    <row r="45" spans="2:22" ht="24.75" customHeight="1">
      <c r="B45" s="1312" t="s">
        <v>269</v>
      </c>
      <c r="C45" s="1312"/>
      <c r="D45" s="1312"/>
      <c r="E45" s="1312"/>
      <c r="F45" s="1312"/>
      <c r="G45" s="1312"/>
      <c r="H45" s="1312"/>
      <c r="I45" s="1312"/>
      <c r="J45" s="1312"/>
      <c r="K45" s="1312"/>
      <c r="L45" s="1312"/>
      <c r="M45" s="1312"/>
      <c r="N45" s="1312"/>
      <c r="O45" s="1312"/>
      <c r="P45" s="1312"/>
      <c r="Q45" s="1312"/>
      <c r="R45" s="1312"/>
      <c r="S45" s="670"/>
      <c r="T45" s="670"/>
      <c r="U45" s="670"/>
      <c r="V45" s="670"/>
    </row>
    <row r="46" ht="12.75">
      <c r="B46" s="679" t="s">
        <v>354</v>
      </c>
    </row>
    <row r="47" ht="12.75" customHeight="1">
      <c r="E47" s="819"/>
    </row>
    <row r="48" ht="12.75" customHeight="1" hidden="1"/>
  </sheetData>
  <sheetProtection/>
  <mergeCells count="3">
    <mergeCell ref="B2:R2"/>
    <mergeCell ref="B3:R3"/>
    <mergeCell ref="B45:R45"/>
  </mergeCells>
  <printOptions horizontalCentered="1"/>
  <pageMargins left="0.6692913385826772" right="0.6692913385826772" top="0.5118110236220472" bottom="0.2755905511811024" header="0" footer="0"/>
  <pageSetup fitToHeight="1" fitToWidth="1"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dimension ref="A1:AG46"/>
  <sheetViews>
    <sheetView zoomScalePageLayoutView="0" workbookViewId="0" topLeftCell="A1">
      <selection activeCell="AD5" sqref="AD5:AD6"/>
    </sheetView>
  </sheetViews>
  <sheetFormatPr defaultColWidth="9.140625" defaultRowHeight="12.75"/>
  <cols>
    <col min="1" max="1" width="2.7109375" style="773" customWidth="1"/>
    <col min="2" max="2" width="5.8515625" style="773" customWidth="1"/>
    <col min="3" max="4" width="6.28125" style="773" hidden="1" customWidth="1"/>
    <col min="5" max="5" width="6.140625" style="773" hidden="1" customWidth="1"/>
    <col min="6" max="19" width="6.28125" style="773" hidden="1" customWidth="1"/>
    <col min="20" max="20" width="6.8515625" style="773" hidden="1" customWidth="1"/>
    <col min="21" max="31" width="6.28125" style="773" customWidth="1"/>
    <col min="32" max="32" width="7.140625" style="773" customWidth="1"/>
    <col min="33" max="16384" width="9.140625" style="773" customWidth="1"/>
  </cols>
  <sheetData>
    <row r="1" spans="2:32" ht="15.75">
      <c r="B1" s="1147"/>
      <c r="C1" s="777"/>
      <c r="D1" s="777"/>
      <c r="E1" s="777"/>
      <c r="F1" s="777"/>
      <c r="G1" s="573"/>
      <c r="H1" s="573"/>
      <c r="I1" s="573"/>
      <c r="J1" s="573"/>
      <c r="K1" s="573"/>
      <c r="AF1" s="574" t="s">
        <v>141</v>
      </c>
    </row>
    <row r="2" spans="2:32" ht="24.75" customHeight="1">
      <c r="B2" s="1304" t="s">
        <v>166</v>
      </c>
      <c r="C2" s="1304"/>
      <c r="D2" s="1304"/>
      <c r="E2" s="1304"/>
      <c r="F2" s="1304"/>
      <c r="G2" s="1304"/>
      <c r="H2" s="1304"/>
      <c r="I2" s="1304"/>
      <c r="J2" s="1304"/>
      <c r="K2" s="1304"/>
      <c r="L2" s="1304"/>
      <c r="M2" s="1313"/>
      <c r="N2" s="1313"/>
      <c r="O2" s="1313"/>
      <c r="P2" s="1313"/>
      <c r="Q2" s="1313"/>
      <c r="R2" s="1313"/>
      <c r="S2" s="1313"/>
      <c r="T2" s="1313"/>
      <c r="U2" s="1313"/>
      <c r="V2" s="1313"/>
      <c r="W2" s="1313"/>
      <c r="X2" s="1313"/>
      <c r="Y2" s="1313"/>
      <c r="Z2" s="1313"/>
      <c r="AA2" s="1313"/>
      <c r="AB2" s="1313"/>
      <c r="AC2" s="1313"/>
      <c r="AD2" s="1313"/>
      <c r="AE2" s="1313"/>
      <c r="AF2" s="1313"/>
    </row>
    <row r="3" spans="2:33" ht="18.75">
      <c r="B3" s="581"/>
      <c r="C3" s="940">
        <v>1970</v>
      </c>
      <c r="D3" s="582">
        <v>1980</v>
      </c>
      <c r="E3" s="940">
        <v>1990</v>
      </c>
      <c r="F3" s="583">
        <v>1991</v>
      </c>
      <c r="G3" s="583">
        <v>1992</v>
      </c>
      <c r="H3" s="583">
        <v>1993</v>
      </c>
      <c r="I3" s="583">
        <v>1994</v>
      </c>
      <c r="J3" s="583">
        <v>1995</v>
      </c>
      <c r="K3" s="583">
        <v>1996</v>
      </c>
      <c r="L3" s="583">
        <v>1997</v>
      </c>
      <c r="M3" s="583">
        <v>1998</v>
      </c>
      <c r="N3" s="583">
        <v>1999</v>
      </c>
      <c r="O3" s="583">
        <v>2000</v>
      </c>
      <c r="P3" s="583">
        <v>2001</v>
      </c>
      <c r="Q3" s="583">
        <v>2002</v>
      </c>
      <c r="R3" s="583">
        <v>2003</v>
      </c>
      <c r="S3" s="583">
        <v>2004</v>
      </c>
      <c r="T3" s="583">
        <v>2005</v>
      </c>
      <c r="U3" s="583">
        <v>2006</v>
      </c>
      <c r="V3" s="583">
        <v>2007</v>
      </c>
      <c r="W3" s="583">
        <v>2008</v>
      </c>
      <c r="X3" s="583">
        <v>2009</v>
      </c>
      <c r="Y3" s="583">
        <v>2010</v>
      </c>
      <c r="Z3" s="583">
        <v>2011</v>
      </c>
      <c r="AA3" s="583">
        <v>2012</v>
      </c>
      <c r="AB3" s="583">
        <v>2013</v>
      </c>
      <c r="AC3" s="583">
        <v>2014</v>
      </c>
      <c r="AD3" s="583">
        <v>2015</v>
      </c>
      <c r="AE3" s="584" t="s">
        <v>331</v>
      </c>
      <c r="AF3" s="584" t="s">
        <v>355</v>
      </c>
      <c r="AG3" s="585"/>
    </row>
    <row r="4" spans="2:33" ht="12.75">
      <c r="B4" s="586"/>
      <c r="C4" s="944"/>
      <c r="D4" s="587"/>
      <c r="E4" s="944"/>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1148" t="s">
        <v>147</v>
      </c>
      <c r="AF4" s="1148" t="s">
        <v>147</v>
      </c>
      <c r="AG4" s="585"/>
    </row>
    <row r="5" spans="2:33" ht="12.75">
      <c r="B5" s="591" t="s">
        <v>250</v>
      </c>
      <c r="C5" s="1149"/>
      <c r="D5" s="1150"/>
      <c r="E5" s="1151">
        <v>77337</v>
      </c>
      <c r="F5" s="1152">
        <v>75346</v>
      </c>
      <c r="G5" s="1152">
        <v>70674</v>
      </c>
      <c r="H5" s="1152">
        <v>65441</v>
      </c>
      <c r="I5" s="1152">
        <v>64707</v>
      </c>
      <c r="J5" s="1152">
        <v>63955</v>
      </c>
      <c r="K5" s="1152">
        <v>60122</v>
      </c>
      <c r="L5" s="1152">
        <v>60981</v>
      </c>
      <c r="M5" s="1152">
        <v>59628</v>
      </c>
      <c r="N5" s="1152">
        <v>58390</v>
      </c>
      <c r="O5" s="1152">
        <v>57082</v>
      </c>
      <c r="P5" s="1152">
        <v>54949</v>
      </c>
      <c r="Q5" s="1152">
        <v>53969</v>
      </c>
      <c r="R5" s="1152">
        <v>51052.44</v>
      </c>
      <c r="S5" s="1152">
        <v>47898</v>
      </c>
      <c r="T5" s="1152">
        <v>45943</v>
      </c>
      <c r="U5" s="1152">
        <v>43718</v>
      </c>
      <c r="V5" s="1152">
        <v>43158.56</v>
      </c>
      <c r="W5" s="1152">
        <v>39598.64</v>
      </c>
      <c r="X5" s="1152">
        <v>35361</v>
      </c>
      <c r="Y5" s="1152">
        <v>31488</v>
      </c>
      <c r="Z5" s="1152">
        <v>30689</v>
      </c>
      <c r="AA5" s="1152">
        <v>28243</v>
      </c>
      <c r="AB5" s="1153">
        <v>25956</v>
      </c>
      <c r="AC5" s="1153">
        <v>25974</v>
      </c>
      <c r="AD5" s="1153">
        <v>26134</v>
      </c>
      <c r="AE5" s="1154">
        <v>0.6857759284943654</v>
      </c>
      <c r="AF5" s="1154">
        <v>-52.43953484139839</v>
      </c>
      <c r="AG5" s="591" t="s">
        <v>250</v>
      </c>
    </row>
    <row r="6" spans="2:33" ht="12.75">
      <c r="B6" s="598" t="s">
        <v>89</v>
      </c>
      <c r="C6" s="1155">
        <v>77831</v>
      </c>
      <c r="D6" s="1156">
        <v>64237</v>
      </c>
      <c r="E6" s="1157">
        <v>55888</v>
      </c>
      <c r="F6" s="1153">
        <v>56027</v>
      </c>
      <c r="G6" s="1153">
        <v>52775</v>
      </c>
      <c r="H6" s="1153">
        <v>48556</v>
      </c>
      <c r="I6" s="1153">
        <v>46513</v>
      </c>
      <c r="J6" s="1153">
        <v>46098</v>
      </c>
      <c r="K6" s="1153">
        <v>43625</v>
      </c>
      <c r="L6" s="1153">
        <v>43314</v>
      </c>
      <c r="M6" s="1153">
        <v>42344</v>
      </c>
      <c r="N6" s="1153">
        <v>41955</v>
      </c>
      <c r="O6" s="1153">
        <v>41421</v>
      </c>
      <c r="P6" s="1153">
        <v>40266</v>
      </c>
      <c r="Q6" s="1153">
        <v>38819</v>
      </c>
      <c r="R6" s="1153">
        <v>36342</v>
      </c>
      <c r="S6" s="1153">
        <v>33070</v>
      </c>
      <c r="T6" s="1153">
        <v>31384</v>
      </c>
      <c r="U6" s="1153">
        <v>29521</v>
      </c>
      <c r="V6" s="1153">
        <v>28279.56</v>
      </c>
      <c r="W6" s="1153">
        <v>25423.64</v>
      </c>
      <c r="X6" s="1153">
        <v>23456</v>
      </c>
      <c r="Y6" s="1153">
        <v>21299</v>
      </c>
      <c r="Z6" s="1153">
        <v>20865</v>
      </c>
      <c r="AA6" s="1153">
        <v>19183</v>
      </c>
      <c r="AB6" s="1153">
        <v>17570</v>
      </c>
      <c r="AC6" s="1153">
        <v>17660</v>
      </c>
      <c r="AD6" s="1153">
        <v>17874</v>
      </c>
      <c r="AE6" s="1154">
        <v>1.7302219692657985</v>
      </c>
      <c r="AF6" s="1154">
        <v>-55.61019222172553</v>
      </c>
      <c r="AG6" s="598" t="s">
        <v>89</v>
      </c>
    </row>
    <row r="7" spans="2:33" ht="12.75">
      <c r="B7" s="604" t="s">
        <v>251</v>
      </c>
      <c r="C7" s="1158"/>
      <c r="D7" s="1159"/>
      <c r="E7" s="1160">
        <v>21449</v>
      </c>
      <c r="F7" s="1161">
        <v>19319</v>
      </c>
      <c r="G7" s="1161">
        <v>17899</v>
      </c>
      <c r="H7" s="1161">
        <v>16885</v>
      </c>
      <c r="I7" s="1161">
        <v>18194</v>
      </c>
      <c r="J7" s="1161">
        <v>17857</v>
      </c>
      <c r="K7" s="1161">
        <v>16497</v>
      </c>
      <c r="L7" s="1161">
        <v>17667</v>
      </c>
      <c r="M7" s="1161">
        <v>17284</v>
      </c>
      <c r="N7" s="1161">
        <v>16435</v>
      </c>
      <c r="O7" s="1161">
        <v>15661</v>
      </c>
      <c r="P7" s="1161">
        <v>14683</v>
      </c>
      <c r="Q7" s="1161">
        <v>15150</v>
      </c>
      <c r="R7" s="1161">
        <v>14710.440000000002</v>
      </c>
      <c r="S7" s="1161">
        <v>14828</v>
      </c>
      <c r="T7" s="1161">
        <v>14559</v>
      </c>
      <c r="U7" s="1161">
        <v>14197</v>
      </c>
      <c r="V7" s="1161">
        <v>14878.999999999996</v>
      </c>
      <c r="W7" s="1161">
        <v>14175</v>
      </c>
      <c r="X7" s="1161">
        <v>11905</v>
      </c>
      <c r="Y7" s="1161">
        <v>10189</v>
      </c>
      <c r="Z7" s="1161">
        <v>9824</v>
      </c>
      <c r="AA7" s="1161">
        <v>9060</v>
      </c>
      <c r="AB7" s="1161">
        <v>8386</v>
      </c>
      <c r="AC7" s="1161">
        <v>8314</v>
      </c>
      <c r="AD7" s="1161">
        <v>8260</v>
      </c>
      <c r="AE7" s="1162">
        <v>-1.502504173622711</v>
      </c>
      <c r="AF7" s="1162">
        <v>-43.744466389702374</v>
      </c>
      <c r="AG7" s="604" t="s">
        <v>251</v>
      </c>
    </row>
    <row r="8" spans="1:33" ht="12.75">
      <c r="A8" s="597"/>
      <c r="B8" s="833" t="s">
        <v>81</v>
      </c>
      <c r="C8" s="1217">
        <v>2507</v>
      </c>
      <c r="D8" s="1218">
        <v>2003</v>
      </c>
      <c r="E8" s="1211">
        <v>1391</v>
      </c>
      <c r="F8" s="1212">
        <v>1551</v>
      </c>
      <c r="G8" s="1212">
        <v>1403</v>
      </c>
      <c r="H8" s="1212">
        <v>1283</v>
      </c>
      <c r="I8" s="1212">
        <v>1338</v>
      </c>
      <c r="J8" s="1212">
        <v>1210</v>
      </c>
      <c r="K8" s="1212">
        <v>1027</v>
      </c>
      <c r="L8" s="1212">
        <v>1105</v>
      </c>
      <c r="M8" s="1212">
        <v>963</v>
      </c>
      <c r="N8" s="1212">
        <v>1079</v>
      </c>
      <c r="O8" s="1212">
        <v>976</v>
      </c>
      <c r="P8" s="1212">
        <v>958</v>
      </c>
      <c r="Q8" s="1212">
        <v>956</v>
      </c>
      <c r="R8" s="1212">
        <v>931</v>
      </c>
      <c r="S8" s="1212">
        <v>878</v>
      </c>
      <c r="T8" s="1212">
        <v>768</v>
      </c>
      <c r="U8" s="1219">
        <v>730</v>
      </c>
      <c r="V8" s="1219">
        <v>691</v>
      </c>
      <c r="W8" s="1198">
        <v>679</v>
      </c>
      <c r="X8" s="1198">
        <v>633</v>
      </c>
      <c r="Y8" s="1198">
        <v>552</v>
      </c>
      <c r="Z8" s="1198">
        <v>523</v>
      </c>
      <c r="AA8" s="1198">
        <v>531</v>
      </c>
      <c r="AB8" s="1198">
        <v>455</v>
      </c>
      <c r="AC8" s="1198">
        <v>430</v>
      </c>
      <c r="AD8" s="1199">
        <v>479</v>
      </c>
      <c r="AE8" s="1176">
        <f aca="true" t="shared" si="0" ref="AE8:AE39">AD8/AC8*100-100</f>
        <v>11.395348837209298</v>
      </c>
      <c r="AF8" s="1176">
        <f aca="true" t="shared" si="1" ref="AF8:AF36">AD8/P8*100-100</f>
        <v>-50</v>
      </c>
      <c r="AG8" s="833" t="s">
        <v>81</v>
      </c>
    </row>
    <row r="9" spans="1:33" ht="12.75">
      <c r="A9" s="597"/>
      <c r="B9" s="610" t="s">
        <v>60</v>
      </c>
      <c r="C9" s="1187">
        <v>2950</v>
      </c>
      <c r="D9" s="1188">
        <v>2396</v>
      </c>
      <c r="E9" s="1189">
        <v>1976</v>
      </c>
      <c r="F9" s="1180">
        <v>1873</v>
      </c>
      <c r="G9" s="1180">
        <v>1671</v>
      </c>
      <c r="H9" s="1180">
        <v>1660</v>
      </c>
      <c r="I9" s="1180">
        <v>1692</v>
      </c>
      <c r="J9" s="1180">
        <v>1449</v>
      </c>
      <c r="K9" s="1180">
        <v>1356</v>
      </c>
      <c r="L9" s="1180">
        <v>1364</v>
      </c>
      <c r="M9" s="1180">
        <v>1500</v>
      </c>
      <c r="N9" s="1180">
        <v>1397</v>
      </c>
      <c r="O9" s="1180">
        <v>1470</v>
      </c>
      <c r="P9" s="1180">
        <v>1486</v>
      </c>
      <c r="Q9" s="1180">
        <v>1306</v>
      </c>
      <c r="R9" s="1180">
        <v>1214</v>
      </c>
      <c r="S9" s="1180">
        <v>1162</v>
      </c>
      <c r="T9" s="1180">
        <v>1089</v>
      </c>
      <c r="U9" s="1168">
        <v>1069</v>
      </c>
      <c r="V9" s="1168">
        <v>1071</v>
      </c>
      <c r="W9" s="1168">
        <v>944</v>
      </c>
      <c r="X9" s="1168">
        <v>944</v>
      </c>
      <c r="Y9" s="1168">
        <v>840</v>
      </c>
      <c r="Z9" s="1168">
        <v>862</v>
      </c>
      <c r="AA9" s="1168">
        <v>770</v>
      </c>
      <c r="AB9" s="1168">
        <v>723</v>
      </c>
      <c r="AC9" s="1168">
        <v>727</v>
      </c>
      <c r="AD9" s="1169">
        <v>732</v>
      </c>
      <c r="AE9" s="1170">
        <f t="shared" si="0"/>
        <v>0.6877579092159607</v>
      </c>
      <c r="AF9" s="1170">
        <f t="shared" si="1"/>
        <v>-50.74024226110364</v>
      </c>
      <c r="AG9" s="610" t="s">
        <v>60</v>
      </c>
    </row>
    <row r="10" spans="1:33" ht="12.75">
      <c r="A10" s="597"/>
      <c r="B10" s="598" t="s">
        <v>101</v>
      </c>
      <c r="C10" s="1171"/>
      <c r="D10" s="1172"/>
      <c r="E10" s="1173">
        <v>1567</v>
      </c>
      <c r="F10" s="1174">
        <v>1114</v>
      </c>
      <c r="G10" s="1174">
        <v>1299</v>
      </c>
      <c r="H10" s="1174">
        <v>1307</v>
      </c>
      <c r="I10" s="1174">
        <v>1390</v>
      </c>
      <c r="J10" s="1174">
        <v>1264</v>
      </c>
      <c r="K10" s="1174">
        <v>1014</v>
      </c>
      <c r="L10" s="1174">
        <v>915</v>
      </c>
      <c r="M10" s="1174">
        <v>1003</v>
      </c>
      <c r="N10" s="1174">
        <v>1047</v>
      </c>
      <c r="O10" s="1174">
        <v>1012</v>
      </c>
      <c r="P10" s="1174">
        <v>1011</v>
      </c>
      <c r="Q10" s="1174">
        <v>959</v>
      </c>
      <c r="R10" s="1174">
        <v>960</v>
      </c>
      <c r="S10" s="1174">
        <v>943</v>
      </c>
      <c r="T10" s="1174">
        <v>957</v>
      </c>
      <c r="U10" s="1174">
        <v>1043</v>
      </c>
      <c r="V10" s="1174">
        <v>1006</v>
      </c>
      <c r="W10" s="1174">
        <v>1061</v>
      </c>
      <c r="X10" s="1174">
        <v>901</v>
      </c>
      <c r="Y10" s="1174">
        <v>776</v>
      </c>
      <c r="Z10" s="1174">
        <v>657</v>
      </c>
      <c r="AA10" s="1174">
        <v>601</v>
      </c>
      <c r="AB10" s="1174">
        <v>601</v>
      </c>
      <c r="AC10" s="1174">
        <v>661</v>
      </c>
      <c r="AD10" s="1175">
        <v>708</v>
      </c>
      <c r="AE10" s="1176">
        <f t="shared" si="0"/>
        <v>7.110438729198194</v>
      </c>
      <c r="AF10" s="1176">
        <f t="shared" si="1"/>
        <v>-29.970326409495556</v>
      </c>
      <c r="AG10" s="598" t="s">
        <v>101</v>
      </c>
    </row>
    <row r="11" spans="1:33" ht="12.75">
      <c r="A11" s="597"/>
      <c r="B11" s="610" t="s">
        <v>71</v>
      </c>
      <c r="C11" s="1187" t="s">
        <v>99</v>
      </c>
      <c r="D11" s="1188">
        <v>85</v>
      </c>
      <c r="E11" s="1189">
        <v>116</v>
      </c>
      <c r="F11" s="1180">
        <v>103</v>
      </c>
      <c r="G11" s="1180">
        <v>132</v>
      </c>
      <c r="H11" s="1180">
        <v>115</v>
      </c>
      <c r="I11" s="1180">
        <v>133</v>
      </c>
      <c r="J11" s="1180">
        <v>118</v>
      </c>
      <c r="K11" s="1181">
        <v>128</v>
      </c>
      <c r="L11" s="1181">
        <v>115</v>
      </c>
      <c r="M11" s="1181">
        <v>111</v>
      </c>
      <c r="N11" s="1181">
        <v>113</v>
      </c>
      <c r="O11" s="1181">
        <v>111</v>
      </c>
      <c r="P11" s="1181">
        <v>98</v>
      </c>
      <c r="Q11" s="1181">
        <v>94</v>
      </c>
      <c r="R11" s="1181">
        <v>97</v>
      </c>
      <c r="S11" s="1181">
        <v>117</v>
      </c>
      <c r="T11" s="1180">
        <v>102</v>
      </c>
      <c r="U11" s="1168">
        <v>86</v>
      </c>
      <c r="V11" s="1168">
        <v>89</v>
      </c>
      <c r="W11" s="1168">
        <v>82</v>
      </c>
      <c r="X11" s="1168">
        <v>71</v>
      </c>
      <c r="Y11" s="1168">
        <v>60</v>
      </c>
      <c r="Z11" s="1168">
        <v>71</v>
      </c>
      <c r="AA11" s="1168">
        <v>51</v>
      </c>
      <c r="AB11" s="1168">
        <v>44</v>
      </c>
      <c r="AC11" s="1168">
        <v>45</v>
      </c>
      <c r="AD11" s="1169">
        <v>57</v>
      </c>
      <c r="AE11" s="1170">
        <f t="shared" si="0"/>
        <v>26.666666666666657</v>
      </c>
      <c r="AF11" s="1170">
        <f t="shared" si="1"/>
        <v>-41.83673469387755</v>
      </c>
      <c r="AG11" s="610" t="s">
        <v>71</v>
      </c>
    </row>
    <row r="12" spans="1:33" ht="12.75">
      <c r="A12" s="597"/>
      <c r="B12" s="610" t="s">
        <v>61</v>
      </c>
      <c r="C12" s="1177"/>
      <c r="D12" s="1178"/>
      <c r="E12" s="1179">
        <v>1291</v>
      </c>
      <c r="F12" s="1180">
        <v>1331</v>
      </c>
      <c r="G12" s="1180">
        <v>1571</v>
      </c>
      <c r="H12" s="1180">
        <v>1524</v>
      </c>
      <c r="I12" s="1180">
        <v>1637</v>
      </c>
      <c r="J12" s="1180">
        <v>1588</v>
      </c>
      <c r="K12" s="1181">
        <v>1562</v>
      </c>
      <c r="L12" s="1181">
        <v>1597</v>
      </c>
      <c r="M12" s="1181">
        <v>1360</v>
      </c>
      <c r="N12" s="1181">
        <v>1455</v>
      </c>
      <c r="O12" s="1181">
        <v>1486</v>
      </c>
      <c r="P12" s="1181">
        <v>1333</v>
      </c>
      <c r="Q12" s="1181">
        <v>1430</v>
      </c>
      <c r="R12" s="1181">
        <v>1447</v>
      </c>
      <c r="S12" s="1181">
        <v>1382</v>
      </c>
      <c r="T12" s="1180">
        <v>1286</v>
      </c>
      <c r="U12" s="1168">
        <v>1063</v>
      </c>
      <c r="V12" s="1168">
        <v>1221</v>
      </c>
      <c r="W12" s="1168">
        <v>1076</v>
      </c>
      <c r="X12" s="1168">
        <v>901</v>
      </c>
      <c r="Y12" s="1168">
        <v>802</v>
      </c>
      <c r="Z12" s="1168">
        <v>772</v>
      </c>
      <c r="AA12" s="1168">
        <v>742</v>
      </c>
      <c r="AB12" s="1168">
        <v>655</v>
      </c>
      <c r="AC12" s="1168">
        <v>688</v>
      </c>
      <c r="AD12" s="1169">
        <v>734</v>
      </c>
      <c r="AE12" s="1170">
        <f t="shared" si="0"/>
        <v>6.686046511627893</v>
      </c>
      <c r="AF12" s="1170">
        <f t="shared" si="1"/>
        <v>-44.93623405851462</v>
      </c>
      <c r="AG12" s="610" t="s">
        <v>61</v>
      </c>
    </row>
    <row r="13" spans="1:33" ht="12.75">
      <c r="A13" s="597"/>
      <c r="B13" s="610" t="s">
        <v>63</v>
      </c>
      <c r="C13" s="1187">
        <v>21332</v>
      </c>
      <c r="D13" s="1188">
        <v>15050</v>
      </c>
      <c r="E13" s="1189">
        <v>11046</v>
      </c>
      <c r="F13" s="1180">
        <v>11300</v>
      </c>
      <c r="G13" s="1180">
        <v>10631</v>
      </c>
      <c r="H13" s="1180">
        <v>9949</v>
      </c>
      <c r="I13" s="1180">
        <v>9814</v>
      </c>
      <c r="J13" s="1180">
        <v>9454</v>
      </c>
      <c r="K13" s="1181">
        <v>8758</v>
      </c>
      <c r="L13" s="1181">
        <v>8549</v>
      </c>
      <c r="M13" s="1181">
        <v>7792</v>
      </c>
      <c r="N13" s="1181">
        <v>7772</v>
      </c>
      <c r="O13" s="1181">
        <v>7503</v>
      </c>
      <c r="P13" s="1181">
        <v>6977</v>
      </c>
      <c r="Q13" s="1181">
        <v>6842</v>
      </c>
      <c r="R13" s="1181">
        <v>6613</v>
      </c>
      <c r="S13" s="1181">
        <v>5842</v>
      </c>
      <c r="T13" s="1180">
        <v>5361</v>
      </c>
      <c r="U13" s="1168">
        <v>5091</v>
      </c>
      <c r="V13" s="1168">
        <v>4949</v>
      </c>
      <c r="W13" s="1168">
        <v>4477</v>
      </c>
      <c r="X13" s="1168">
        <v>4152</v>
      </c>
      <c r="Y13" s="1168">
        <v>3648</v>
      </c>
      <c r="Z13" s="1168">
        <v>4009</v>
      </c>
      <c r="AA13" s="1168">
        <v>3600</v>
      </c>
      <c r="AB13" s="1168">
        <v>3339</v>
      </c>
      <c r="AC13" s="1168">
        <v>3377</v>
      </c>
      <c r="AD13" s="1169">
        <v>3459</v>
      </c>
      <c r="AE13" s="1170">
        <f t="shared" si="0"/>
        <v>2.4281907018063293</v>
      </c>
      <c r="AF13" s="1170">
        <f t="shared" si="1"/>
        <v>-50.4228178300129</v>
      </c>
      <c r="AG13" s="610" t="s">
        <v>63</v>
      </c>
    </row>
    <row r="14" spans="1:33" ht="12.75">
      <c r="A14" s="597"/>
      <c r="B14" s="598" t="s">
        <v>14</v>
      </c>
      <c r="C14" s="1182">
        <v>1208</v>
      </c>
      <c r="D14" s="1183">
        <v>690</v>
      </c>
      <c r="E14" s="1173">
        <v>634</v>
      </c>
      <c r="F14" s="1174">
        <v>606</v>
      </c>
      <c r="G14" s="1174">
        <v>577</v>
      </c>
      <c r="H14" s="1174">
        <v>559</v>
      </c>
      <c r="I14" s="1174">
        <v>546</v>
      </c>
      <c r="J14" s="1174">
        <v>582</v>
      </c>
      <c r="K14" s="1184">
        <v>514</v>
      </c>
      <c r="L14" s="1184">
        <v>489</v>
      </c>
      <c r="M14" s="1184">
        <v>499</v>
      </c>
      <c r="N14" s="1184">
        <v>514</v>
      </c>
      <c r="O14" s="1184">
        <v>498</v>
      </c>
      <c r="P14" s="1184">
        <v>431</v>
      </c>
      <c r="Q14" s="1184">
        <v>463</v>
      </c>
      <c r="R14" s="1184">
        <v>432</v>
      </c>
      <c r="S14" s="1184">
        <v>369</v>
      </c>
      <c r="T14" s="1174">
        <v>331</v>
      </c>
      <c r="U14" s="1185">
        <v>306</v>
      </c>
      <c r="V14" s="1185">
        <v>406</v>
      </c>
      <c r="W14" s="1185">
        <v>406</v>
      </c>
      <c r="X14" s="1185">
        <v>303</v>
      </c>
      <c r="Y14" s="1185">
        <v>255</v>
      </c>
      <c r="Z14" s="1185">
        <v>220</v>
      </c>
      <c r="AA14" s="1185">
        <v>167</v>
      </c>
      <c r="AB14" s="1185">
        <v>191</v>
      </c>
      <c r="AC14" s="1185">
        <v>182</v>
      </c>
      <c r="AD14" s="1186">
        <v>178</v>
      </c>
      <c r="AE14" s="1176">
        <f t="shared" si="0"/>
        <v>-2.197802197802204</v>
      </c>
      <c r="AF14" s="1176">
        <f t="shared" si="1"/>
        <v>-58.70069605568445</v>
      </c>
      <c r="AG14" s="598" t="s">
        <v>14</v>
      </c>
    </row>
    <row r="15" spans="1:33" ht="12.75">
      <c r="A15" s="597"/>
      <c r="B15" s="598" t="s">
        <v>64</v>
      </c>
      <c r="C15" s="1182" t="s">
        <v>99</v>
      </c>
      <c r="D15" s="1183" t="s">
        <v>99</v>
      </c>
      <c r="E15" s="1173">
        <v>436</v>
      </c>
      <c r="F15" s="1174">
        <v>490</v>
      </c>
      <c r="G15" s="1174">
        <v>287</v>
      </c>
      <c r="H15" s="1174">
        <v>321</v>
      </c>
      <c r="I15" s="1174">
        <v>364</v>
      </c>
      <c r="J15" s="1174">
        <v>332</v>
      </c>
      <c r="K15" s="1184">
        <v>213</v>
      </c>
      <c r="L15" s="1184">
        <v>280</v>
      </c>
      <c r="M15" s="1184">
        <v>284</v>
      </c>
      <c r="N15" s="1184">
        <v>232</v>
      </c>
      <c r="O15" s="1184">
        <v>204</v>
      </c>
      <c r="P15" s="1184">
        <v>199</v>
      </c>
      <c r="Q15" s="1184">
        <v>223</v>
      </c>
      <c r="R15" s="1184">
        <v>164</v>
      </c>
      <c r="S15" s="1184">
        <v>170</v>
      </c>
      <c r="T15" s="1174">
        <v>170</v>
      </c>
      <c r="U15" s="1185">
        <v>204</v>
      </c>
      <c r="V15" s="1185">
        <v>196</v>
      </c>
      <c r="W15" s="1185">
        <v>132</v>
      </c>
      <c r="X15" s="1185">
        <v>98</v>
      </c>
      <c r="Y15" s="1185">
        <v>79</v>
      </c>
      <c r="Z15" s="1185">
        <v>101</v>
      </c>
      <c r="AA15" s="1185">
        <v>87</v>
      </c>
      <c r="AB15" s="1185">
        <v>81</v>
      </c>
      <c r="AC15" s="1185">
        <v>78</v>
      </c>
      <c r="AD15" s="1186">
        <v>67</v>
      </c>
      <c r="AE15" s="1176">
        <f t="shared" si="0"/>
        <v>-14.102564102564102</v>
      </c>
      <c r="AF15" s="1176">
        <f t="shared" si="1"/>
        <v>-66.33165829145729</v>
      </c>
      <c r="AG15" s="598" t="s">
        <v>64</v>
      </c>
    </row>
    <row r="16" spans="1:33" ht="12.75">
      <c r="A16" s="597"/>
      <c r="B16" s="598" t="s">
        <v>15</v>
      </c>
      <c r="C16" s="1182">
        <v>1099</v>
      </c>
      <c r="D16" s="1183">
        <v>1445</v>
      </c>
      <c r="E16" s="1173">
        <v>2050</v>
      </c>
      <c r="F16" s="1174">
        <v>2112</v>
      </c>
      <c r="G16" s="1174">
        <v>2158</v>
      </c>
      <c r="H16" s="1174">
        <v>2160</v>
      </c>
      <c r="I16" s="1174">
        <v>2253</v>
      </c>
      <c r="J16" s="1174">
        <v>2412</v>
      </c>
      <c r="K16" s="1184">
        <v>2157</v>
      </c>
      <c r="L16" s="1184">
        <v>2105</v>
      </c>
      <c r="M16" s="1184">
        <v>2182</v>
      </c>
      <c r="N16" s="1184">
        <v>2116</v>
      </c>
      <c r="O16" s="1184">
        <v>2037</v>
      </c>
      <c r="P16" s="1184">
        <v>1880</v>
      </c>
      <c r="Q16" s="1184">
        <v>1634</v>
      </c>
      <c r="R16" s="1184">
        <v>1605</v>
      </c>
      <c r="S16" s="1184">
        <v>1670</v>
      </c>
      <c r="T16" s="1174">
        <v>1658</v>
      </c>
      <c r="U16" s="1185">
        <v>1657</v>
      </c>
      <c r="V16" s="1185">
        <v>1612</v>
      </c>
      <c r="W16" s="1185">
        <v>1555</v>
      </c>
      <c r="X16" s="1185">
        <v>1456</v>
      </c>
      <c r="Y16" s="1185">
        <v>1258</v>
      </c>
      <c r="Z16" s="1185">
        <v>1141</v>
      </c>
      <c r="AA16" s="1185">
        <v>988</v>
      </c>
      <c r="AB16" s="1185">
        <v>879</v>
      </c>
      <c r="AC16" s="1185">
        <v>795</v>
      </c>
      <c r="AD16" s="1186">
        <v>793</v>
      </c>
      <c r="AE16" s="1176">
        <f t="shared" si="0"/>
        <v>-0.25157232704403043</v>
      </c>
      <c r="AF16" s="1176">
        <f t="shared" si="1"/>
        <v>-57.81914893617021</v>
      </c>
      <c r="AG16" s="598" t="s">
        <v>15</v>
      </c>
    </row>
    <row r="17" spans="1:33" ht="12.75">
      <c r="A17" s="597"/>
      <c r="B17" s="610" t="s">
        <v>66</v>
      </c>
      <c r="C17" s="1187">
        <v>5456</v>
      </c>
      <c r="D17" s="1188">
        <v>6522</v>
      </c>
      <c r="E17" s="1189">
        <v>9032</v>
      </c>
      <c r="F17" s="1180">
        <v>8837</v>
      </c>
      <c r="G17" s="1180">
        <v>7818</v>
      </c>
      <c r="H17" s="1180">
        <v>6375</v>
      </c>
      <c r="I17" s="1180">
        <v>5612</v>
      </c>
      <c r="J17" s="1180">
        <v>5749</v>
      </c>
      <c r="K17" s="1181">
        <v>5482</v>
      </c>
      <c r="L17" s="1181">
        <v>5604</v>
      </c>
      <c r="M17" s="1181">
        <v>5956</v>
      </c>
      <c r="N17" s="1181">
        <v>5738</v>
      </c>
      <c r="O17" s="1181">
        <v>5777</v>
      </c>
      <c r="P17" s="1181">
        <v>5517</v>
      </c>
      <c r="Q17" s="1181">
        <v>5347</v>
      </c>
      <c r="R17" s="1181">
        <v>5400</v>
      </c>
      <c r="S17" s="1181">
        <v>4749</v>
      </c>
      <c r="T17" s="1180">
        <v>4442</v>
      </c>
      <c r="U17" s="1168">
        <v>4104</v>
      </c>
      <c r="V17" s="1168">
        <v>3823</v>
      </c>
      <c r="W17" s="1168">
        <v>3100</v>
      </c>
      <c r="X17" s="1168">
        <v>2714</v>
      </c>
      <c r="Y17" s="1168">
        <v>2479</v>
      </c>
      <c r="Z17" s="1168">
        <v>2060</v>
      </c>
      <c r="AA17" s="1168">
        <v>1903</v>
      </c>
      <c r="AB17" s="1168">
        <v>1680</v>
      </c>
      <c r="AC17" s="1168">
        <v>1688</v>
      </c>
      <c r="AD17" s="1169">
        <v>1689</v>
      </c>
      <c r="AE17" s="1170">
        <f t="shared" si="0"/>
        <v>0.05924170616114566</v>
      </c>
      <c r="AF17" s="1170">
        <f t="shared" si="1"/>
        <v>-69.38553561718325</v>
      </c>
      <c r="AG17" s="610" t="s">
        <v>66</v>
      </c>
    </row>
    <row r="18" spans="1:33" ht="12.75">
      <c r="A18" s="597"/>
      <c r="B18" s="598" t="s">
        <v>87</v>
      </c>
      <c r="C18" s="1193">
        <v>1055</v>
      </c>
      <c r="D18" s="1194">
        <v>551</v>
      </c>
      <c r="E18" s="1195">
        <v>649</v>
      </c>
      <c r="F18" s="1196">
        <v>632</v>
      </c>
      <c r="G18" s="1196">
        <v>601</v>
      </c>
      <c r="H18" s="1196">
        <v>484</v>
      </c>
      <c r="I18" s="1196">
        <v>480</v>
      </c>
      <c r="J18" s="1196">
        <v>441</v>
      </c>
      <c r="K18" s="1197">
        <v>404</v>
      </c>
      <c r="L18" s="1197">
        <v>438</v>
      </c>
      <c r="M18" s="1197">
        <v>400</v>
      </c>
      <c r="N18" s="1197">
        <v>431</v>
      </c>
      <c r="O18" s="1197">
        <v>396</v>
      </c>
      <c r="P18" s="1197">
        <v>433</v>
      </c>
      <c r="Q18" s="1197">
        <v>415</v>
      </c>
      <c r="R18" s="1197">
        <v>379</v>
      </c>
      <c r="S18" s="1197">
        <v>375</v>
      </c>
      <c r="T18" s="1196">
        <v>379</v>
      </c>
      <c r="U18" s="1198">
        <v>336</v>
      </c>
      <c r="V18" s="1198">
        <v>380</v>
      </c>
      <c r="W18" s="1198">
        <v>344</v>
      </c>
      <c r="X18" s="1198">
        <v>279</v>
      </c>
      <c r="Y18" s="1198">
        <v>272</v>
      </c>
      <c r="Z18" s="1198">
        <v>292</v>
      </c>
      <c r="AA18" s="1198">
        <v>255</v>
      </c>
      <c r="AB18" s="1198">
        <v>258</v>
      </c>
      <c r="AC18" s="1198">
        <v>229</v>
      </c>
      <c r="AD18" s="1199">
        <v>266</v>
      </c>
      <c r="AE18" s="1176">
        <f t="shared" si="0"/>
        <v>16.157205240174676</v>
      </c>
      <c r="AF18" s="1176">
        <f t="shared" si="1"/>
        <v>-38.56812933025404</v>
      </c>
      <c r="AG18" s="598" t="s">
        <v>87</v>
      </c>
    </row>
    <row r="19" spans="1:33" ht="12.75">
      <c r="A19" s="597"/>
      <c r="B19" s="598" t="s">
        <v>67</v>
      </c>
      <c r="C19" s="1182">
        <v>16448</v>
      </c>
      <c r="D19" s="1183">
        <v>13672</v>
      </c>
      <c r="E19" s="1173">
        <v>11215</v>
      </c>
      <c r="F19" s="1174">
        <v>10483</v>
      </c>
      <c r="G19" s="1174">
        <v>9902</v>
      </c>
      <c r="H19" s="1174">
        <v>9865</v>
      </c>
      <c r="I19" s="1174">
        <v>9019</v>
      </c>
      <c r="J19" s="1174">
        <v>8892</v>
      </c>
      <c r="K19" s="1184">
        <v>8540</v>
      </c>
      <c r="L19" s="1184">
        <v>8445</v>
      </c>
      <c r="M19" s="1184">
        <v>8920</v>
      </c>
      <c r="N19" s="1184">
        <v>8486</v>
      </c>
      <c r="O19" s="1184">
        <v>8079</v>
      </c>
      <c r="P19" s="1184">
        <v>8162</v>
      </c>
      <c r="Q19" s="1184">
        <v>7655</v>
      </c>
      <c r="R19" s="1184">
        <v>6058</v>
      </c>
      <c r="S19" s="1184">
        <v>5530</v>
      </c>
      <c r="T19" s="1174">
        <v>5318</v>
      </c>
      <c r="U19" s="1185">
        <v>4709</v>
      </c>
      <c r="V19" s="1185">
        <v>4620</v>
      </c>
      <c r="W19" s="1185">
        <v>4275</v>
      </c>
      <c r="X19" s="1185">
        <v>4273</v>
      </c>
      <c r="Y19" s="1185">
        <v>3992</v>
      </c>
      <c r="Z19" s="1185">
        <v>3963</v>
      </c>
      <c r="AA19" s="1185">
        <v>3653</v>
      </c>
      <c r="AB19" s="1185">
        <v>3268</v>
      </c>
      <c r="AC19" s="1185">
        <v>3384</v>
      </c>
      <c r="AD19" s="1186">
        <v>3461</v>
      </c>
      <c r="AE19" s="1176">
        <f t="shared" si="0"/>
        <v>2.275413711583923</v>
      </c>
      <c r="AF19" s="1176">
        <f t="shared" si="1"/>
        <v>-57.59617740749816</v>
      </c>
      <c r="AG19" s="598" t="s">
        <v>67</v>
      </c>
    </row>
    <row r="20" spans="1:33" ht="12.75">
      <c r="A20" s="597"/>
      <c r="B20" s="610" t="s">
        <v>148</v>
      </c>
      <c r="C20" s="1190"/>
      <c r="D20" s="1191"/>
      <c r="E20" s="1189">
        <v>1360</v>
      </c>
      <c r="F20" s="1180"/>
      <c r="G20" s="1180"/>
      <c r="H20" s="1180"/>
      <c r="I20" s="1180">
        <v>804</v>
      </c>
      <c r="J20" s="1180">
        <v>800</v>
      </c>
      <c r="K20" s="1180">
        <v>721</v>
      </c>
      <c r="L20" s="1180">
        <v>714</v>
      </c>
      <c r="M20" s="1180">
        <v>646</v>
      </c>
      <c r="N20" s="1180">
        <v>662</v>
      </c>
      <c r="O20" s="1180">
        <v>655</v>
      </c>
      <c r="P20" s="1180">
        <v>647</v>
      </c>
      <c r="Q20" s="1180">
        <v>627</v>
      </c>
      <c r="R20" s="1180">
        <v>701</v>
      </c>
      <c r="S20" s="1180">
        <v>608</v>
      </c>
      <c r="T20" s="1180">
        <v>597</v>
      </c>
      <c r="U20" s="1180">
        <v>614</v>
      </c>
      <c r="V20" s="1180">
        <v>619</v>
      </c>
      <c r="W20" s="1180">
        <v>664</v>
      </c>
      <c r="X20" s="1180">
        <v>548</v>
      </c>
      <c r="Y20" s="1180">
        <v>426</v>
      </c>
      <c r="Z20" s="1180">
        <v>418</v>
      </c>
      <c r="AA20" s="1180">
        <v>390</v>
      </c>
      <c r="AB20" s="1180">
        <v>368</v>
      </c>
      <c r="AC20" s="1180">
        <v>308</v>
      </c>
      <c r="AD20" s="1192">
        <v>348</v>
      </c>
      <c r="AE20" s="1170">
        <f t="shared" si="0"/>
        <v>12.987012987012989</v>
      </c>
      <c r="AF20" s="1170">
        <f t="shared" si="1"/>
        <v>-46.21329211746522</v>
      </c>
      <c r="AG20" s="610" t="s">
        <v>148</v>
      </c>
    </row>
    <row r="21" spans="1:33" ht="12.75">
      <c r="A21" s="597"/>
      <c r="B21" s="610" t="s">
        <v>77</v>
      </c>
      <c r="C21" s="1187" t="s">
        <v>99</v>
      </c>
      <c r="D21" s="1188" t="s">
        <v>99</v>
      </c>
      <c r="E21" s="1189">
        <v>2432</v>
      </c>
      <c r="F21" s="1180">
        <v>2120</v>
      </c>
      <c r="G21" s="1180">
        <v>2101</v>
      </c>
      <c r="H21" s="1180">
        <v>1678</v>
      </c>
      <c r="I21" s="1180">
        <v>1562</v>
      </c>
      <c r="J21" s="1180">
        <v>1589</v>
      </c>
      <c r="K21" s="1181">
        <v>1370</v>
      </c>
      <c r="L21" s="1181">
        <v>1391</v>
      </c>
      <c r="M21" s="1181">
        <v>1371</v>
      </c>
      <c r="N21" s="1181">
        <v>1306</v>
      </c>
      <c r="O21" s="1181">
        <v>1200</v>
      </c>
      <c r="P21" s="1181">
        <v>1239</v>
      </c>
      <c r="Q21" s="1181">
        <v>1429</v>
      </c>
      <c r="R21" s="1181">
        <v>1326</v>
      </c>
      <c r="S21" s="1181">
        <v>1296</v>
      </c>
      <c r="T21" s="1180">
        <v>1278</v>
      </c>
      <c r="U21" s="1168">
        <v>1303</v>
      </c>
      <c r="V21" s="1168">
        <v>1232</v>
      </c>
      <c r="W21" s="1168">
        <v>996</v>
      </c>
      <c r="X21" s="1168">
        <v>822</v>
      </c>
      <c r="Y21" s="1168">
        <v>740</v>
      </c>
      <c r="Z21" s="1168">
        <v>638</v>
      </c>
      <c r="AA21" s="1168">
        <v>606</v>
      </c>
      <c r="AB21" s="1168">
        <v>591</v>
      </c>
      <c r="AC21" s="1168">
        <v>626</v>
      </c>
      <c r="AD21" s="1169">
        <v>644</v>
      </c>
      <c r="AE21" s="1170">
        <f t="shared" si="0"/>
        <v>2.8753993610223745</v>
      </c>
      <c r="AF21" s="1170">
        <f t="shared" si="1"/>
        <v>-48.0225988700565</v>
      </c>
      <c r="AG21" s="610" t="s">
        <v>77</v>
      </c>
    </row>
    <row r="22" spans="1:33" ht="12.75">
      <c r="A22" s="597"/>
      <c r="B22" s="610" t="s">
        <v>68</v>
      </c>
      <c r="C22" s="1187">
        <v>540</v>
      </c>
      <c r="D22" s="1188">
        <v>564</v>
      </c>
      <c r="E22" s="1189">
        <v>478</v>
      </c>
      <c r="F22" s="1180">
        <v>445</v>
      </c>
      <c r="G22" s="1180">
        <v>415</v>
      </c>
      <c r="H22" s="1180">
        <v>431</v>
      </c>
      <c r="I22" s="1180">
        <v>404</v>
      </c>
      <c r="J22" s="1180">
        <v>437</v>
      </c>
      <c r="K22" s="1181">
        <v>453</v>
      </c>
      <c r="L22" s="1181">
        <v>473</v>
      </c>
      <c r="M22" s="1181">
        <v>458</v>
      </c>
      <c r="N22" s="1181">
        <v>414</v>
      </c>
      <c r="O22" s="1181">
        <v>418</v>
      </c>
      <c r="P22" s="1181">
        <v>412</v>
      </c>
      <c r="Q22" s="1181">
        <v>376</v>
      </c>
      <c r="R22" s="1181">
        <v>337</v>
      </c>
      <c r="S22" s="1181">
        <v>377</v>
      </c>
      <c r="T22" s="1180">
        <v>400</v>
      </c>
      <c r="U22" s="1168">
        <v>365</v>
      </c>
      <c r="V22" s="1168">
        <v>338</v>
      </c>
      <c r="W22" s="1168">
        <v>280</v>
      </c>
      <c r="X22" s="1168">
        <v>238</v>
      </c>
      <c r="Y22" s="1168">
        <v>212</v>
      </c>
      <c r="Z22" s="1168">
        <v>186</v>
      </c>
      <c r="AA22" s="1168">
        <v>162</v>
      </c>
      <c r="AB22" s="1168">
        <v>188</v>
      </c>
      <c r="AC22" s="1168">
        <v>193</v>
      </c>
      <c r="AD22" s="1169">
        <v>166</v>
      </c>
      <c r="AE22" s="1170">
        <f t="shared" si="0"/>
        <v>-13.989637305699489</v>
      </c>
      <c r="AF22" s="1170">
        <f t="shared" si="1"/>
        <v>-59.70873786407767</v>
      </c>
      <c r="AG22" s="610" t="s">
        <v>68</v>
      </c>
    </row>
    <row r="23" spans="1:33" ht="12.75">
      <c r="A23" s="597"/>
      <c r="B23" s="598" t="s">
        <v>69</v>
      </c>
      <c r="C23" s="1193">
        <v>11004</v>
      </c>
      <c r="D23" s="1194">
        <v>9220</v>
      </c>
      <c r="E23" s="1195">
        <v>7151</v>
      </c>
      <c r="F23" s="1196">
        <v>8109</v>
      </c>
      <c r="G23" s="1196">
        <v>8053</v>
      </c>
      <c r="H23" s="1196">
        <v>7187</v>
      </c>
      <c r="I23" s="1196">
        <v>7091</v>
      </c>
      <c r="J23" s="1196">
        <v>7020</v>
      </c>
      <c r="K23" s="1197">
        <v>6676</v>
      </c>
      <c r="L23" s="1197">
        <v>6714</v>
      </c>
      <c r="M23" s="1197">
        <v>6313</v>
      </c>
      <c r="N23" s="1197">
        <v>6688</v>
      </c>
      <c r="O23" s="1197">
        <v>7061</v>
      </c>
      <c r="P23" s="1197">
        <v>7096</v>
      </c>
      <c r="Q23" s="1197">
        <v>6980</v>
      </c>
      <c r="R23" s="1197">
        <v>6563</v>
      </c>
      <c r="S23" s="1197">
        <v>6122</v>
      </c>
      <c r="T23" s="1196">
        <v>5818</v>
      </c>
      <c r="U23" s="1198">
        <v>5669</v>
      </c>
      <c r="V23" s="1198">
        <v>5131</v>
      </c>
      <c r="W23" s="1198">
        <v>4725</v>
      </c>
      <c r="X23" s="1198">
        <v>4237</v>
      </c>
      <c r="Y23" s="1198">
        <v>4114</v>
      </c>
      <c r="Z23" s="1198">
        <v>3860</v>
      </c>
      <c r="AA23" s="1198">
        <v>3753</v>
      </c>
      <c r="AB23" s="1198">
        <v>3401</v>
      </c>
      <c r="AC23" s="1198">
        <v>3381</v>
      </c>
      <c r="AD23" s="1199">
        <v>3428</v>
      </c>
      <c r="AE23" s="1176">
        <f t="shared" si="0"/>
        <v>1.3901212658976618</v>
      </c>
      <c r="AF23" s="1176">
        <f t="shared" si="1"/>
        <v>-51.69109357384442</v>
      </c>
      <c r="AG23" s="598" t="s">
        <v>69</v>
      </c>
    </row>
    <row r="24" spans="1:33" ht="12.75">
      <c r="A24" s="597"/>
      <c r="B24" s="610" t="s">
        <v>73</v>
      </c>
      <c r="C24" s="1187" t="s">
        <v>99</v>
      </c>
      <c r="D24" s="1188" t="s">
        <v>99</v>
      </c>
      <c r="E24" s="1189">
        <v>933</v>
      </c>
      <c r="F24" s="1180">
        <v>1093</v>
      </c>
      <c r="G24" s="1180">
        <v>779</v>
      </c>
      <c r="H24" s="1180">
        <v>958</v>
      </c>
      <c r="I24" s="1180">
        <v>765</v>
      </c>
      <c r="J24" s="1180">
        <v>672</v>
      </c>
      <c r="K24" s="1181">
        <v>667</v>
      </c>
      <c r="L24" s="1181">
        <v>752</v>
      </c>
      <c r="M24" s="1181">
        <v>829</v>
      </c>
      <c r="N24" s="1181">
        <v>748</v>
      </c>
      <c r="O24" s="1181">
        <v>641</v>
      </c>
      <c r="P24" s="1181">
        <v>706</v>
      </c>
      <c r="Q24" s="1181">
        <v>697</v>
      </c>
      <c r="R24" s="1181">
        <v>709</v>
      </c>
      <c r="S24" s="1181">
        <v>752</v>
      </c>
      <c r="T24" s="1180">
        <v>773</v>
      </c>
      <c r="U24" s="1168">
        <v>760</v>
      </c>
      <c r="V24" s="1168">
        <v>740</v>
      </c>
      <c r="W24" s="1168">
        <v>499</v>
      </c>
      <c r="X24" s="1168">
        <v>370</v>
      </c>
      <c r="Y24" s="1168">
        <v>299</v>
      </c>
      <c r="Z24" s="1168">
        <v>296</v>
      </c>
      <c r="AA24" s="1168">
        <v>302</v>
      </c>
      <c r="AB24" s="1168">
        <v>256</v>
      </c>
      <c r="AC24" s="1168">
        <v>267</v>
      </c>
      <c r="AD24" s="1169">
        <v>242</v>
      </c>
      <c r="AE24" s="1170">
        <f t="shared" si="0"/>
        <v>-9.36329588014982</v>
      </c>
      <c r="AF24" s="1170">
        <f t="shared" si="1"/>
        <v>-65.72237960339943</v>
      </c>
      <c r="AG24" s="610" t="s">
        <v>73</v>
      </c>
    </row>
    <row r="25" spans="1:33" ht="12.75">
      <c r="A25" s="597"/>
      <c r="B25" s="598" t="s">
        <v>76</v>
      </c>
      <c r="C25" s="1193">
        <v>132</v>
      </c>
      <c r="D25" s="1194">
        <v>98</v>
      </c>
      <c r="E25" s="1195">
        <v>70</v>
      </c>
      <c r="F25" s="1196">
        <v>83</v>
      </c>
      <c r="G25" s="1196">
        <v>69</v>
      </c>
      <c r="H25" s="1196">
        <v>78</v>
      </c>
      <c r="I25" s="1196">
        <v>65</v>
      </c>
      <c r="J25" s="1196">
        <v>70</v>
      </c>
      <c r="K25" s="1197">
        <v>71</v>
      </c>
      <c r="L25" s="1197">
        <v>60</v>
      </c>
      <c r="M25" s="1197">
        <v>57</v>
      </c>
      <c r="N25" s="1197">
        <v>58</v>
      </c>
      <c r="O25" s="1197">
        <v>76</v>
      </c>
      <c r="P25" s="1197">
        <v>70</v>
      </c>
      <c r="Q25" s="1197">
        <v>62</v>
      </c>
      <c r="R25" s="1197">
        <v>53</v>
      </c>
      <c r="S25" s="1197">
        <v>50</v>
      </c>
      <c r="T25" s="1196">
        <v>47</v>
      </c>
      <c r="U25" s="1198">
        <v>43</v>
      </c>
      <c r="V25" s="1198">
        <v>46</v>
      </c>
      <c r="W25" s="1198">
        <v>35</v>
      </c>
      <c r="X25" s="1198">
        <v>48</v>
      </c>
      <c r="Y25" s="1198">
        <v>32</v>
      </c>
      <c r="Z25" s="1198">
        <v>33</v>
      </c>
      <c r="AA25" s="1198">
        <v>34</v>
      </c>
      <c r="AB25" s="1198">
        <v>45</v>
      </c>
      <c r="AC25" s="1198">
        <v>35</v>
      </c>
      <c r="AD25" s="1199">
        <v>36</v>
      </c>
      <c r="AE25" s="1176">
        <f t="shared" si="0"/>
        <v>2.857142857142847</v>
      </c>
      <c r="AF25" s="1176">
        <f t="shared" si="1"/>
        <v>-48.57142857142858</v>
      </c>
      <c r="AG25" s="598" t="s">
        <v>76</v>
      </c>
    </row>
    <row r="26" spans="1:33" ht="12.75">
      <c r="A26" s="597"/>
      <c r="B26" s="598" t="s">
        <v>72</v>
      </c>
      <c r="C26" s="1193" t="s">
        <v>99</v>
      </c>
      <c r="D26" s="1194" t="s">
        <v>99</v>
      </c>
      <c r="E26" s="1195">
        <v>947</v>
      </c>
      <c r="F26" s="1196">
        <v>997</v>
      </c>
      <c r="G26" s="1196">
        <v>787</v>
      </c>
      <c r="H26" s="1196">
        <v>724</v>
      </c>
      <c r="I26" s="1196">
        <v>774</v>
      </c>
      <c r="J26" s="1196">
        <v>660</v>
      </c>
      <c r="K26" s="1197">
        <v>594</v>
      </c>
      <c r="L26" s="1197">
        <v>567</v>
      </c>
      <c r="M26" s="1197">
        <v>677</v>
      </c>
      <c r="N26" s="1197">
        <v>652</v>
      </c>
      <c r="O26" s="1197">
        <v>635</v>
      </c>
      <c r="P26" s="1197">
        <v>558</v>
      </c>
      <c r="Q26" s="1197">
        <v>559</v>
      </c>
      <c r="R26" s="1197">
        <v>532.44</v>
      </c>
      <c r="S26" s="1197">
        <v>516</v>
      </c>
      <c r="T26" s="1196">
        <v>442</v>
      </c>
      <c r="U26" s="1198">
        <v>407</v>
      </c>
      <c r="V26" s="1198">
        <v>419</v>
      </c>
      <c r="W26" s="1198">
        <v>316</v>
      </c>
      <c r="X26" s="1198">
        <v>254</v>
      </c>
      <c r="Y26" s="1198">
        <v>218</v>
      </c>
      <c r="Z26" s="1198">
        <v>179</v>
      </c>
      <c r="AA26" s="1198">
        <v>177</v>
      </c>
      <c r="AB26" s="1198">
        <v>179</v>
      </c>
      <c r="AC26" s="1198">
        <v>212</v>
      </c>
      <c r="AD26" s="1199">
        <v>188</v>
      </c>
      <c r="AE26" s="1176">
        <f t="shared" si="0"/>
        <v>-11.320754716981128</v>
      </c>
      <c r="AF26" s="1176">
        <f t="shared" si="1"/>
        <v>-66.30824372759857</v>
      </c>
      <c r="AG26" s="598" t="s">
        <v>72</v>
      </c>
    </row>
    <row r="27" spans="1:33" ht="12.75">
      <c r="A27" s="597"/>
      <c r="B27" s="598" t="s">
        <v>78</v>
      </c>
      <c r="C27" s="1193" t="s">
        <v>99</v>
      </c>
      <c r="D27" s="1194" t="s">
        <v>99</v>
      </c>
      <c r="E27" s="1195">
        <v>4</v>
      </c>
      <c r="F27" s="1196">
        <v>16</v>
      </c>
      <c r="G27" s="1196">
        <v>11</v>
      </c>
      <c r="H27" s="1196">
        <v>14</v>
      </c>
      <c r="I27" s="1196">
        <v>6</v>
      </c>
      <c r="J27" s="1196">
        <v>14</v>
      </c>
      <c r="K27" s="1197">
        <v>19</v>
      </c>
      <c r="L27" s="1197">
        <v>18</v>
      </c>
      <c r="M27" s="1197">
        <v>17</v>
      </c>
      <c r="N27" s="1197">
        <v>4</v>
      </c>
      <c r="O27" s="1197">
        <v>15</v>
      </c>
      <c r="P27" s="1197">
        <v>16</v>
      </c>
      <c r="Q27" s="1197">
        <v>16</v>
      </c>
      <c r="R27" s="1197">
        <v>16</v>
      </c>
      <c r="S27" s="1197">
        <v>13</v>
      </c>
      <c r="T27" s="1196">
        <v>17</v>
      </c>
      <c r="U27" s="1198">
        <v>11</v>
      </c>
      <c r="V27" s="1198">
        <v>14</v>
      </c>
      <c r="W27" s="1198">
        <v>15</v>
      </c>
      <c r="X27" s="1198">
        <v>21</v>
      </c>
      <c r="Y27" s="1198">
        <v>13</v>
      </c>
      <c r="Z27" s="1198">
        <v>16</v>
      </c>
      <c r="AA27" s="1198">
        <v>9</v>
      </c>
      <c r="AB27" s="1198">
        <v>17</v>
      </c>
      <c r="AC27" s="1198">
        <v>10</v>
      </c>
      <c r="AD27" s="1199">
        <v>11</v>
      </c>
      <c r="AE27" s="1176">
        <f t="shared" si="0"/>
        <v>10.000000000000014</v>
      </c>
      <c r="AF27" s="1176">
        <f t="shared" si="1"/>
        <v>-31.25</v>
      </c>
      <c r="AG27" s="598" t="s">
        <v>78</v>
      </c>
    </row>
    <row r="28" spans="1:33" ht="12.75">
      <c r="A28" s="597"/>
      <c r="B28" s="610" t="s">
        <v>16</v>
      </c>
      <c r="C28" s="1187">
        <v>3181</v>
      </c>
      <c r="D28" s="1188">
        <v>1997</v>
      </c>
      <c r="E28" s="1189">
        <v>1376</v>
      </c>
      <c r="F28" s="1180">
        <v>1281</v>
      </c>
      <c r="G28" s="1180">
        <v>1253</v>
      </c>
      <c r="H28" s="1180">
        <v>1235</v>
      </c>
      <c r="I28" s="1180">
        <v>1298</v>
      </c>
      <c r="J28" s="1180">
        <v>1334</v>
      </c>
      <c r="K28" s="1181">
        <v>1180</v>
      </c>
      <c r="L28" s="1181">
        <v>1163</v>
      </c>
      <c r="M28" s="1181">
        <v>1066</v>
      </c>
      <c r="N28" s="1181">
        <v>1090</v>
      </c>
      <c r="O28" s="1181">
        <v>1082</v>
      </c>
      <c r="P28" s="1181">
        <v>993</v>
      </c>
      <c r="Q28" s="1181">
        <v>987</v>
      </c>
      <c r="R28" s="1181">
        <v>1028</v>
      </c>
      <c r="S28" s="1181">
        <v>804</v>
      </c>
      <c r="T28" s="1180">
        <v>750</v>
      </c>
      <c r="U28" s="1168">
        <v>730</v>
      </c>
      <c r="V28" s="1168">
        <v>709</v>
      </c>
      <c r="W28" s="1168">
        <v>677</v>
      </c>
      <c r="X28" s="1168">
        <v>644</v>
      </c>
      <c r="Y28" s="1168">
        <v>537</v>
      </c>
      <c r="Z28" s="1168">
        <v>546</v>
      </c>
      <c r="AA28" s="1168">
        <v>562</v>
      </c>
      <c r="AB28" s="1168">
        <v>476</v>
      </c>
      <c r="AC28" s="1168">
        <v>477</v>
      </c>
      <c r="AD28" s="1169">
        <v>531</v>
      </c>
      <c r="AE28" s="1170">
        <f t="shared" si="0"/>
        <v>11.320754716981128</v>
      </c>
      <c r="AF28" s="1170">
        <f t="shared" si="1"/>
        <v>-46.52567975830816</v>
      </c>
      <c r="AG28" s="610" t="s">
        <v>16</v>
      </c>
    </row>
    <row r="29" spans="1:33" ht="12.75">
      <c r="A29" s="597"/>
      <c r="B29" s="610" t="s">
        <v>80</v>
      </c>
      <c r="C29" s="1187" t="s">
        <v>99</v>
      </c>
      <c r="D29" s="1188" t="s">
        <v>99</v>
      </c>
      <c r="E29" s="1189">
        <v>7333</v>
      </c>
      <c r="F29" s="1180">
        <v>7901</v>
      </c>
      <c r="G29" s="1180">
        <v>6946</v>
      </c>
      <c r="H29" s="1180">
        <v>6341</v>
      </c>
      <c r="I29" s="1180">
        <v>6744</v>
      </c>
      <c r="J29" s="1180">
        <v>6900</v>
      </c>
      <c r="K29" s="1181">
        <v>6359</v>
      </c>
      <c r="L29" s="1181">
        <v>7310</v>
      </c>
      <c r="M29" s="1181">
        <v>7080</v>
      </c>
      <c r="N29" s="1181">
        <v>6730</v>
      </c>
      <c r="O29" s="1181">
        <v>6294</v>
      </c>
      <c r="P29" s="1181">
        <v>5534</v>
      </c>
      <c r="Q29" s="1181">
        <v>5826</v>
      </c>
      <c r="R29" s="1181">
        <v>5642</v>
      </c>
      <c r="S29" s="1181">
        <v>5712</v>
      </c>
      <c r="T29" s="1180">
        <v>5444</v>
      </c>
      <c r="U29" s="1168">
        <v>5243</v>
      </c>
      <c r="V29" s="1168">
        <v>5583</v>
      </c>
      <c r="W29" s="1168">
        <v>5437</v>
      </c>
      <c r="X29" s="1168">
        <v>4572</v>
      </c>
      <c r="Y29" s="1168">
        <v>3908</v>
      </c>
      <c r="Z29" s="1168">
        <v>4189</v>
      </c>
      <c r="AA29" s="1168">
        <v>3571</v>
      </c>
      <c r="AB29" s="1168">
        <v>3357</v>
      </c>
      <c r="AC29" s="1168">
        <v>3202</v>
      </c>
      <c r="AD29" s="1169">
        <v>2938</v>
      </c>
      <c r="AE29" s="1170">
        <f t="shared" si="0"/>
        <v>-8.244846970643351</v>
      </c>
      <c r="AF29" s="1170">
        <f t="shared" si="1"/>
        <v>-46.910010842067216</v>
      </c>
      <c r="AG29" s="610" t="s">
        <v>80</v>
      </c>
    </row>
    <row r="30" spans="1:33" ht="12.75">
      <c r="A30" s="597"/>
      <c r="B30" s="598" t="s">
        <v>92</v>
      </c>
      <c r="C30" s="1193">
        <v>1842</v>
      </c>
      <c r="D30" s="1194">
        <v>2941</v>
      </c>
      <c r="E30" s="1195">
        <v>2646</v>
      </c>
      <c r="F30" s="1196">
        <v>3217</v>
      </c>
      <c r="G30" s="1196">
        <v>3086</v>
      </c>
      <c r="H30" s="1196">
        <v>2701</v>
      </c>
      <c r="I30" s="1196">
        <v>2505</v>
      </c>
      <c r="J30" s="1196">
        <v>2711</v>
      </c>
      <c r="K30" s="1197">
        <v>2730</v>
      </c>
      <c r="L30" s="1197">
        <v>2521</v>
      </c>
      <c r="M30" s="1197">
        <v>2126</v>
      </c>
      <c r="N30" s="1197">
        <v>2028</v>
      </c>
      <c r="O30" s="1197">
        <v>1877</v>
      </c>
      <c r="P30" s="1197">
        <v>1670</v>
      </c>
      <c r="Q30" s="1197">
        <v>1655</v>
      </c>
      <c r="R30" s="1197">
        <v>1542</v>
      </c>
      <c r="S30" s="1197">
        <v>1294</v>
      </c>
      <c r="T30" s="1196">
        <v>1247</v>
      </c>
      <c r="U30" s="1198">
        <v>969</v>
      </c>
      <c r="V30" s="1198">
        <v>973.56</v>
      </c>
      <c r="W30" s="1198">
        <v>884.64</v>
      </c>
      <c r="X30" s="1198">
        <v>840</v>
      </c>
      <c r="Y30" s="1198">
        <v>937</v>
      </c>
      <c r="Z30" s="1198">
        <v>891</v>
      </c>
      <c r="AA30" s="1198">
        <v>718</v>
      </c>
      <c r="AB30" s="1198">
        <v>637</v>
      </c>
      <c r="AC30" s="1198">
        <v>638</v>
      </c>
      <c r="AD30" s="1199">
        <v>593</v>
      </c>
      <c r="AE30" s="1176">
        <f t="shared" si="0"/>
        <v>-7.053291536050153</v>
      </c>
      <c r="AF30" s="1176">
        <f t="shared" si="1"/>
        <v>-64.49101796407186</v>
      </c>
      <c r="AG30" s="598" t="s">
        <v>92</v>
      </c>
    </row>
    <row r="31" spans="1:33" ht="12.75">
      <c r="A31" s="597"/>
      <c r="B31" s="610" t="s">
        <v>102</v>
      </c>
      <c r="C31" s="1190"/>
      <c r="D31" s="1191"/>
      <c r="E31" s="1189">
        <v>3782</v>
      </c>
      <c r="F31" s="1180">
        <v>3078</v>
      </c>
      <c r="G31" s="1180">
        <v>2816</v>
      </c>
      <c r="H31" s="1180">
        <v>2826</v>
      </c>
      <c r="I31" s="1180">
        <v>2877</v>
      </c>
      <c r="J31" s="1180">
        <v>2845</v>
      </c>
      <c r="K31" s="1181">
        <v>2845</v>
      </c>
      <c r="L31" s="1181">
        <v>2863</v>
      </c>
      <c r="M31" s="1181">
        <v>2778</v>
      </c>
      <c r="N31" s="1181">
        <v>2505</v>
      </c>
      <c r="O31" s="1181">
        <v>2466</v>
      </c>
      <c r="P31" s="1181">
        <v>2450</v>
      </c>
      <c r="Q31" s="1181">
        <v>2411</v>
      </c>
      <c r="R31" s="1181">
        <v>2229</v>
      </c>
      <c r="S31" s="1181">
        <v>2442</v>
      </c>
      <c r="T31" s="1180">
        <v>2629</v>
      </c>
      <c r="U31" s="1180">
        <v>2587</v>
      </c>
      <c r="V31" s="1180">
        <v>2800</v>
      </c>
      <c r="W31" s="1180">
        <v>3061</v>
      </c>
      <c r="X31" s="1180">
        <v>2796</v>
      </c>
      <c r="Y31" s="1180">
        <v>2377</v>
      </c>
      <c r="Z31" s="1180">
        <v>2018</v>
      </c>
      <c r="AA31" s="1180">
        <v>2042</v>
      </c>
      <c r="AB31" s="1180">
        <v>1861</v>
      </c>
      <c r="AC31" s="1180">
        <v>1818</v>
      </c>
      <c r="AD31" s="1192">
        <v>1893</v>
      </c>
      <c r="AE31" s="1170">
        <f t="shared" si="0"/>
        <v>4.125412541254136</v>
      </c>
      <c r="AF31" s="1170">
        <f t="shared" si="1"/>
        <v>-22.73469387755101</v>
      </c>
      <c r="AG31" s="610" t="s">
        <v>102</v>
      </c>
    </row>
    <row r="32" spans="1:33" ht="12.75">
      <c r="A32" s="597"/>
      <c r="B32" s="610" t="s">
        <v>88</v>
      </c>
      <c r="C32" s="1187">
        <v>1307</v>
      </c>
      <c r="D32" s="1188">
        <v>848</v>
      </c>
      <c r="E32" s="1189">
        <v>772</v>
      </c>
      <c r="F32" s="1180">
        <v>745</v>
      </c>
      <c r="G32" s="1180">
        <v>759</v>
      </c>
      <c r="H32" s="1180">
        <v>632</v>
      </c>
      <c r="I32" s="1180">
        <v>589</v>
      </c>
      <c r="J32" s="1180">
        <v>572</v>
      </c>
      <c r="K32" s="1181">
        <v>537</v>
      </c>
      <c r="L32" s="1181">
        <v>541</v>
      </c>
      <c r="M32" s="1181">
        <v>531</v>
      </c>
      <c r="N32" s="1181">
        <v>580</v>
      </c>
      <c r="O32" s="1181">
        <v>591</v>
      </c>
      <c r="P32" s="1181">
        <v>583</v>
      </c>
      <c r="Q32" s="1181">
        <v>560</v>
      </c>
      <c r="R32" s="1181">
        <v>529</v>
      </c>
      <c r="S32" s="1181">
        <v>480</v>
      </c>
      <c r="T32" s="1180">
        <v>440</v>
      </c>
      <c r="U32" s="1168">
        <v>445</v>
      </c>
      <c r="V32" s="1168">
        <v>471</v>
      </c>
      <c r="W32" s="1168">
        <v>397</v>
      </c>
      <c r="X32" s="1168">
        <v>358</v>
      </c>
      <c r="Y32" s="1168">
        <v>266</v>
      </c>
      <c r="Z32" s="1168">
        <v>319</v>
      </c>
      <c r="AA32" s="1168">
        <v>285</v>
      </c>
      <c r="AB32" s="1168">
        <v>260</v>
      </c>
      <c r="AC32" s="1168">
        <v>270</v>
      </c>
      <c r="AD32" s="1169">
        <v>259</v>
      </c>
      <c r="AE32" s="1170">
        <f t="shared" si="0"/>
        <v>-4.074074074074076</v>
      </c>
      <c r="AF32" s="1170">
        <f t="shared" si="1"/>
        <v>-55.5746140651801</v>
      </c>
      <c r="AG32" s="610" t="s">
        <v>88</v>
      </c>
    </row>
    <row r="33" spans="1:33" ht="12.75">
      <c r="A33" s="597"/>
      <c r="B33" s="598" t="s">
        <v>83</v>
      </c>
      <c r="C33" s="1193" t="s">
        <v>99</v>
      </c>
      <c r="D33" s="1194" t="s">
        <v>99</v>
      </c>
      <c r="E33" s="1195">
        <v>517</v>
      </c>
      <c r="F33" s="1196">
        <v>462</v>
      </c>
      <c r="G33" s="1196">
        <v>493</v>
      </c>
      <c r="H33" s="1196">
        <v>493</v>
      </c>
      <c r="I33" s="1196">
        <v>505</v>
      </c>
      <c r="J33" s="1196">
        <v>415</v>
      </c>
      <c r="K33" s="1196">
        <v>389</v>
      </c>
      <c r="L33" s="1196">
        <v>357</v>
      </c>
      <c r="M33" s="1196">
        <v>309</v>
      </c>
      <c r="N33" s="1196">
        <v>334</v>
      </c>
      <c r="O33" s="1196">
        <v>314</v>
      </c>
      <c r="P33" s="1196">
        <v>278</v>
      </c>
      <c r="Q33" s="1196">
        <v>269</v>
      </c>
      <c r="R33" s="1196">
        <v>242</v>
      </c>
      <c r="S33" s="1196">
        <v>274</v>
      </c>
      <c r="T33" s="1196">
        <v>258</v>
      </c>
      <c r="U33" s="1198">
        <v>262</v>
      </c>
      <c r="V33" s="1198">
        <v>293</v>
      </c>
      <c r="W33" s="1198">
        <v>214</v>
      </c>
      <c r="X33" s="1198">
        <v>171</v>
      </c>
      <c r="Y33" s="1198">
        <v>138</v>
      </c>
      <c r="Z33" s="1198">
        <v>141</v>
      </c>
      <c r="AA33" s="1198">
        <v>130</v>
      </c>
      <c r="AB33" s="1198">
        <v>125</v>
      </c>
      <c r="AC33" s="1198">
        <v>108</v>
      </c>
      <c r="AD33" s="1199">
        <v>120</v>
      </c>
      <c r="AE33" s="1176">
        <f t="shared" si="0"/>
        <v>11.111111111111114</v>
      </c>
      <c r="AF33" s="1176">
        <f t="shared" si="1"/>
        <v>-56.83453237410072</v>
      </c>
      <c r="AG33" s="598" t="s">
        <v>83</v>
      </c>
    </row>
    <row r="34" spans="1:33" ht="12.75">
      <c r="A34" s="597"/>
      <c r="B34" s="610" t="s">
        <v>85</v>
      </c>
      <c r="C34" s="1177"/>
      <c r="D34" s="1178"/>
      <c r="E34" s="1179">
        <v>731</v>
      </c>
      <c r="F34" s="1180">
        <v>614</v>
      </c>
      <c r="G34" s="1180">
        <v>677</v>
      </c>
      <c r="H34" s="1180">
        <v>584</v>
      </c>
      <c r="I34" s="1180">
        <v>633</v>
      </c>
      <c r="J34" s="1180">
        <v>660</v>
      </c>
      <c r="K34" s="1181">
        <v>616</v>
      </c>
      <c r="L34" s="1181">
        <v>788</v>
      </c>
      <c r="M34" s="1181">
        <v>819</v>
      </c>
      <c r="N34" s="1181">
        <v>647</v>
      </c>
      <c r="O34" s="1181">
        <v>628</v>
      </c>
      <c r="P34" s="1181">
        <v>614</v>
      </c>
      <c r="Q34" s="1181">
        <v>610</v>
      </c>
      <c r="R34" s="1181">
        <v>645</v>
      </c>
      <c r="S34" s="1181">
        <v>603</v>
      </c>
      <c r="T34" s="1180">
        <v>606</v>
      </c>
      <c r="U34" s="1168">
        <v>614</v>
      </c>
      <c r="V34" s="1168">
        <v>667</v>
      </c>
      <c r="W34" s="1168">
        <v>622</v>
      </c>
      <c r="X34" s="1168">
        <v>380</v>
      </c>
      <c r="Y34" s="1168">
        <v>353</v>
      </c>
      <c r="Z34" s="1168">
        <v>328</v>
      </c>
      <c r="AA34" s="1168">
        <v>352</v>
      </c>
      <c r="AB34" s="1168">
        <v>251</v>
      </c>
      <c r="AC34" s="1168">
        <v>291</v>
      </c>
      <c r="AD34" s="1169">
        <v>310</v>
      </c>
      <c r="AE34" s="1170">
        <f t="shared" si="0"/>
        <v>6.529209621993132</v>
      </c>
      <c r="AF34" s="1170">
        <f t="shared" si="1"/>
        <v>-49.5114006514658</v>
      </c>
      <c r="AG34" s="610" t="s">
        <v>85</v>
      </c>
    </row>
    <row r="35" spans="1:33" ht="12.75">
      <c r="A35" s="597"/>
      <c r="B35" s="598" t="s">
        <v>13</v>
      </c>
      <c r="C35" s="1193">
        <v>7770</v>
      </c>
      <c r="D35" s="1194">
        <v>6240</v>
      </c>
      <c r="E35" s="1195">
        <v>5402</v>
      </c>
      <c r="F35" s="1196">
        <v>4753</v>
      </c>
      <c r="G35" s="1196">
        <v>4379</v>
      </c>
      <c r="H35" s="1196">
        <v>3957</v>
      </c>
      <c r="I35" s="1196">
        <v>3807</v>
      </c>
      <c r="J35" s="1196">
        <v>3765</v>
      </c>
      <c r="K35" s="1197">
        <v>3740</v>
      </c>
      <c r="L35" s="1197">
        <v>3743</v>
      </c>
      <c r="M35" s="1197">
        <v>3581</v>
      </c>
      <c r="N35" s="1197">
        <v>3564</v>
      </c>
      <c r="O35" s="1197">
        <v>3580</v>
      </c>
      <c r="P35" s="1197">
        <v>3598</v>
      </c>
      <c r="Q35" s="1197">
        <v>3581</v>
      </c>
      <c r="R35" s="1197">
        <v>3658</v>
      </c>
      <c r="S35" s="1197">
        <v>3368</v>
      </c>
      <c r="T35" s="1196">
        <v>3336</v>
      </c>
      <c r="U35" s="1198">
        <v>3298</v>
      </c>
      <c r="V35" s="1198">
        <v>3059</v>
      </c>
      <c r="W35" s="1198">
        <v>2645</v>
      </c>
      <c r="X35" s="1198">
        <v>2337</v>
      </c>
      <c r="Y35" s="1198">
        <v>1905</v>
      </c>
      <c r="Z35" s="1198">
        <v>1960</v>
      </c>
      <c r="AA35" s="1198">
        <v>1802</v>
      </c>
      <c r="AB35" s="1198">
        <v>1770</v>
      </c>
      <c r="AC35" s="1198">
        <v>1854</v>
      </c>
      <c r="AD35" s="1199">
        <v>1804</v>
      </c>
      <c r="AE35" s="1200">
        <f t="shared" si="0"/>
        <v>-2.696871628910472</v>
      </c>
      <c r="AF35" s="1176">
        <f t="shared" si="1"/>
        <v>-49.861033907726515</v>
      </c>
      <c r="AG35" s="598" t="s">
        <v>13</v>
      </c>
    </row>
    <row r="36" spans="1:33" ht="12.75">
      <c r="A36" s="597"/>
      <c r="B36" s="652" t="s">
        <v>289</v>
      </c>
      <c r="C36" s="1163"/>
      <c r="D36" s="1164"/>
      <c r="E36" s="1165"/>
      <c r="F36" s="1166"/>
      <c r="G36" s="1166"/>
      <c r="H36" s="1166"/>
      <c r="I36" s="1166"/>
      <c r="J36" s="1166">
        <v>306</v>
      </c>
      <c r="K36" s="1166">
        <v>257</v>
      </c>
      <c r="L36" s="1166">
        <v>266</v>
      </c>
      <c r="M36" s="1166">
        <v>308</v>
      </c>
      <c r="N36" s="1166">
        <v>274</v>
      </c>
      <c r="O36" s="1166">
        <v>280</v>
      </c>
      <c r="P36" s="1166">
        <v>297</v>
      </c>
      <c r="Q36" s="1166">
        <v>250</v>
      </c>
      <c r="R36" s="1166">
        <v>264</v>
      </c>
      <c r="S36" s="1166">
        <v>315</v>
      </c>
      <c r="T36" s="1166">
        <v>307</v>
      </c>
      <c r="U36" s="1167">
        <v>277</v>
      </c>
      <c r="V36" s="1167">
        <v>384</v>
      </c>
      <c r="W36" s="1167">
        <v>303</v>
      </c>
      <c r="X36" s="1167">
        <v>378</v>
      </c>
      <c r="Y36" s="1167">
        <v>352</v>
      </c>
      <c r="Z36" s="1167">
        <v>322</v>
      </c>
      <c r="AA36" s="1167">
        <v>334</v>
      </c>
      <c r="AB36" s="1167">
        <v>295</v>
      </c>
      <c r="AC36" s="1167">
        <v>264</v>
      </c>
      <c r="AD36" s="1167">
        <v>270</v>
      </c>
      <c r="AE36" s="1170">
        <f t="shared" si="0"/>
        <v>2.2727272727272663</v>
      </c>
      <c r="AF36" s="1201">
        <f t="shared" si="1"/>
        <v>-9.090909090909093</v>
      </c>
      <c r="AG36" s="652" t="s">
        <v>289</v>
      </c>
    </row>
    <row r="37" spans="1:33" ht="12.75">
      <c r="A37" s="597"/>
      <c r="B37" s="598" t="s">
        <v>235</v>
      </c>
      <c r="C37" s="1202"/>
      <c r="D37" s="1203"/>
      <c r="E37" s="1195"/>
      <c r="F37" s="1196"/>
      <c r="G37" s="1196"/>
      <c r="H37" s="1196"/>
      <c r="I37" s="1196"/>
      <c r="J37" s="1196"/>
      <c r="K37" s="1196"/>
      <c r="L37" s="1196"/>
      <c r="M37" s="1196"/>
      <c r="N37" s="1196"/>
      <c r="O37" s="1196"/>
      <c r="P37" s="1196"/>
      <c r="Q37" s="1196"/>
      <c r="R37" s="1196"/>
      <c r="S37" s="1196"/>
      <c r="T37" s="1196"/>
      <c r="U37" s="1196"/>
      <c r="V37" s="1196"/>
      <c r="W37" s="1196"/>
      <c r="X37" s="1196"/>
      <c r="Y37" s="1196">
        <v>95</v>
      </c>
      <c r="Z37" s="1196">
        <v>58</v>
      </c>
      <c r="AA37" s="1196">
        <v>46</v>
      </c>
      <c r="AB37" s="1196">
        <v>74</v>
      </c>
      <c r="AC37" s="1196">
        <v>65</v>
      </c>
      <c r="AD37" s="1196">
        <v>51</v>
      </c>
      <c r="AE37" s="1176">
        <f t="shared" si="0"/>
        <v>-21.538461538461533</v>
      </c>
      <c r="AF37" s="1204"/>
      <c r="AG37" s="598" t="s">
        <v>235</v>
      </c>
    </row>
    <row r="38" spans="1:33" ht="12.75">
      <c r="A38" s="597"/>
      <c r="B38" s="610" t="s">
        <v>149</v>
      </c>
      <c r="C38" s="1190"/>
      <c r="D38" s="1191"/>
      <c r="E38" s="1189"/>
      <c r="F38" s="1180"/>
      <c r="G38" s="1180"/>
      <c r="H38" s="1180"/>
      <c r="I38" s="1180"/>
      <c r="J38" s="1180"/>
      <c r="K38" s="1180"/>
      <c r="L38" s="1180"/>
      <c r="M38" s="1180"/>
      <c r="N38" s="1180"/>
      <c r="O38" s="1180">
        <v>162</v>
      </c>
      <c r="P38" s="1180">
        <v>107</v>
      </c>
      <c r="Q38" s="1180">
        <v>176</v>
      </c>
      <c r="R38" s="1180">
        <v>118</v>
      </c>
      <c r="S38" s="1180">
        <v>155</v>
      </c>
      <c r="T38" s="1180">
        <v>143</v>
      </c>
      <c r="U38" s="1180">
        <v>140</v>
      </c>
      <c r="V38" s="1180">
        <v>173</v>
      </c>
      <c r="W38" s="1180">
        <v>162</v>
      </c>
      <c r="X38" s="1180">
        <v>160</v>
      </c>
      <c r="Y38" s="1180">
        <v>162</v>
      </c>
      <c r="Z38" s="1180">
        <v>172</v>
      </c>
      <c r="AA38" s="1180">
        <v>132</v>
      </c>
      <c r="AB38" s="1180">
        <v>198</v>
      </c>
      <c r="AC38" s="1180">
        <v>130</v>
      </c>
      <c r="AD38" s="1180">
        <v>148</v>
      </c>
      <c r="AE38" s="1170">
        <f t="shared" si="0"/>
        <v>13.84615384615384</v>
      </c>
      <c r="AF38" s="1170">
        <f>AD38/P38*100-100</f>
        <v>38.3177570093458</v>
      </c>
      <c r="AG38" s="610" t="s">
        <v>149</v>
      </c>
    </row>
    <row r="39" spans="1:33" ht="12.75">
      <c r="A39" s="597"/>
      <c r="B39" s="598" t="s">
        <v>236</v>
      </c>
      <c r="C39" s="1202"/>
      <c r="D39" s="1203"/>
      <c r="E39" s="1195"/>
      <c r="F39" s="1196"/>
      <c r="G39" s="1196"/>
      <c r="H39" s="1196"/>
      <c r="I39" s="1196"/>
      <c r="J39" s="1196"/>
      <c r="K39" s="1196"/>
      <c r="L39" s="1196"/>
      <c r="M39" s="1196"/>
      <c r="N39" s="1196"/>
      <c r="O39" s="1196"/>
      <c r="P39" s="1196"/>
      <c r="Q39" s="1196"/>
      <c r="R39" s="1196"/>
      <c r="S39" s="1196"/>
      <c r="T39" s="1196"/>
      <c r="U39" s="1196"/>
      <c r="V39" s="1196"/>
      <c r="W39" s="1196"/>
      <c r="X39" s="1196"/>
      <c r="Y39" s="1196">
        <v>656</v>
      </c>
      <c r="Z39" s="1196">
        <v>728</v>
      </c>
      <c r="AA39" s="1196">
        <v>668</v>
      </c>
      <c r="AB39" s="1196">
        <v>631</v>
      </c>
      <c r="AC39" s="1196">
        <v>536</v>
      </c>
      <c r="AD39" s="1196">
        <v>601</v>
      </c>
      <c r="AE39" s="1176">
        <f t="shared" si="0"/>
        <v>12.12686567164178</v>
      </c>
      <c r="AF39" s="1204"/>
      <c r="AG39" s="598" t="s">
        <v>236</v>
      </c>
    </row>
    <row r="40" spans="1:33" ht="12.75">
      <c r="A40" s="597"/>
      <c r="B40" s="610" t="s">
        <v>150</v>
      </c>
      <c r="C40" s="1187">
        <v>3978</v>
      </c>
      <c r="D40" s="1188">
        <v>4100</v>
      </c>
      <c r="E40" s="1189">
        <v>6317</v>
      </c>
      <c r="F40" s="1180">
        <v>6231</v>
      </c>
      <c r="G40" s="1180">
        <v>6214</v>
      </c>
      <c r="H40" s="1180">
        <v>6457</v>
      </c>
      <c r="I40" s="1180">
        <v>5942</v>
      </c>
      <c r="J40" s="1180">
        <v>6004</v>
      </c>
      <c r="K40" s="1180">
        <v>5428</v>
      </c>
      <c r="L40" s="1180">
        <v>5125</v>
      </c>
      <c r="M40" s="1180">
        <v>6083</v>
      </c>
      <c r="N40" s="1180">
        <v>5713</v>
      </c>
      <c r="O40" s="1180">
        <v>5510</v>
      </c>
      <c r="P40" s="1181">
        <v>4386</v>
      </c>
      <c r="Q40" s="1181">
        <v>4093</v>
      </c>
      <c r="R40" s="1181">
        <v>3946</v>
      </c>
      <c r="S40" s="1181">
        <v>4427</v>
      </c>
      <c r="T40" s="1180">
        <v>4505</v>
      </c>
      <c r="U40" s="1180">
        <v>4633</v>
      </c>
      <c r="V40" s="1205">
        <v>5007</v>
      </c>
      <c r="W40" s="1205">
        <v>4236</v>
      </c>
      <c r="X40" s="1205">
        <v>4324</v>
      </c>
      <c r="Y40" s="1205">
        <v>4045</v>
      </c>
      <c r="Z40" s="1205">
        <v>3835</v>
      </c>
      <c r="AA40" s="1205">
        <v>3750</v>
      </c>
      <c r="AB40" s="1205">
        <v>3685</v>
      </c>
      <c r="AC40" s="1205">
        <v>3524</v>
      </c>
      <c r="AD40" s="1206">
        <v>7530</v>
      </c>
      <c r="AE40" s="1207" t="s">
        <v>146</v>
      </c>
      <c r="AF40" s="1208"/>
      <c r="AG40" s="610" t="s">
        <v>150</v>
      </c>
    </row>
    <row r="41" spans="1:33" ht="12.75">
      <c r="A41" s="597"/>
      <c r="B41" s="833" t="s">
        <v>151</v>
      </c>
      <c r="C41" s="1209"/>
      <c r="D41" s="1210"/>
      <c r="E41" s="1211">
        <v>24</v>
      </c>
      <c r="F41" s="1212">
        <v>27</v>
      </c>
      <c r="G41" s="1212">
        <v>21</v>
      </c>
      <c r="H41" s="1212">
        <v>17</v>
      </c>
      <c r="I41" s="1212">
        <v>12</v>
      </c>
      <c r="J41" s="1212">
        <v>24</v>
      </c>
      <c r="K41" s="1212">
        <v>10</v>
      </c>
      <c r="L41" s="1212">
        <v>15</v>
      </c>
      <c r="M41" s="1212">
        <v>27</v>
      </c>
      <c r="N41" s="1212">
        <v>21</v>
      </c>
      <c r="O41" s="1212">
        <v>32</v>
      </c>
      <c r="P41" s="1212">
        <v>24</v>
      </c>
      <c r="Q41" s="1212">
        <v>29</v>
      </c>
      <c r="R41" s="1212">
        <v>23</v>
      </c>
      <c r="S41" s="1212">
        <v>23</v>
      </c>
      <c r="T41" s="1212">
        <v>19</v>
      </c>
      <c r="U41" s="1212">
        <v>31</v>
      </c>
      <c r="V41" s="1212">
        <v>15</v>
      </c>
      <c r="W41" s="1212">
        <v>12</v>
      </c>
      <c r="X41" s="1196">
        <v>17</v>
      </c>
      <c r="Y41" s="1196">
        <v>8</v>
      </c>
      <c r="Z41" s="1196">
        <v>12</v>
      </c>
      <c r="AA41" s="1196">
        <v>9</v>
      </c>
      <c r="AB41" s="1196">
        <v>15</v>
      </c>
      <c r="AC41" s="1196">
        <v>4</v>
      </c>
      <c r="AD41" s="1213">
        <v>16</v>
      </c>
      <c r="AE41" s="1176">
        <f>AD41/AC41*100-100</f>
        <v>300</v>
      </c>
      <c r="AF41" s="1176">
        <f>AD41/P41*100-100</f>
        <v>-33.33333333333334</v>
      </c>
      <c r="AG41" s="833" t="s">
        <v>151</v>
      </c>
    </row>
    <row r="42" spans="1:33" ht="12.75">
      <c r="A42" s="597"/>
      <c r="B42" s="610" t="s">
        <v>152</v>
      </c>
      <c r="C42" s="1190"/>
      <c r="D42" s="1191"/>
      <c r="E42" s="1189">
        <v>332</v>
      </c>
      <c r="F42" s="1180">
        <v>323</v>
      </c>
      <c r="G42" s="1214">
        <v>325</v>
      </c>
      <c r="H42" s="1180">
        <v>281</v>
      </c>
      <c r="I42" s="1180">
        <v>283</v>
      </c>
      <c r="J42" s="1180">
        <v>305</v>
      </c>
      <c r="K42" s="1180">
        <v>255</v>
      </c>
      <c r="L42" s="1180">
        <v>303</v>
      </c>
      <c r="M42" s="1180">
        <v>352</v>
      </c>
      <c r="N42" s="1180">
        <v>304</v>
      </c>
      <c r="O42" s="1180">
        <v>341</v>
      </c>
      <c r="P42" s="1180">
        <v>275</v>
      </c>
      <c r="Q42" s="1180">
        <v>310</v>
      </c>
      <c r="R42" s="1180">
        <v>280</v>
      </c>
      <c r="S42" s="1180">
        <v>257</v>
      </c>
      <c r="T42" s="1180">
        <v>224</v>
      </c>
      <c r="U42" s="1180">
        <v>242</v>
      </c>
      <c r="V42" s="1180">
        <v>233</v>
      </c>
      <c r="W42" s="1180">
        <v>260</v>
      </c>
      <c r="X42" s="1180">
        <v>214</v>
      </c>
      <c r="Y42" s="1180">
        <v>208</v>
      </c>
      <c r="Z42" s="1180">
        <v>168</v>
      </c>
      <c r="AA42" s="1180">
        <v>145</v>
      </c>
      <c r="AB42" s="1180">
        <v>187</v>
      </c>
      <c r="AC42" s="1180">
        <v>147</v>
      </c>
      <c r="AD42" s="1192">
        <v>123</v>
      </c>
      <c r="AE42" s="1170">
        <f>AD42/AC42*100-100</f>
        <v>-16.326530612244895</v>
      </c>
      <c r="AF42" s="1170">
        <f>AD42/P42*100-100</f>
        <v>-55.27272727272727</v>
      </c>
      <c r="AG42" s="610" t="s">
        <v>152</v>
      </c>
    </row>
    <row r="43" spans="1:33" ht="12.75">
      <c r="A43" s="597"/>
      <c r="B43" s="604" t="s">
        <v>153</v>
      </c>
      <c r="C43" s="299">
        <v>1694</v>
      </c>
      <c r="D43" s="300">
        <v>1246</v>
      </c>
      <c r="E43" s="301">
        <v>954</v>
      </c>
      <c r="F43" s="302">
        <v>860</v>
      </c>
      <c r="G43" s="302">
        <v>834</v>
      </c>
      <c r="H43" s="302">
        <v>723</v>
      </c>
      <c r="I43" s="302">
        <v>679</v>
      </c>
      <c r="J43" s="302">
        <v>692</v>
      </c>
      <c r="K43" s="302">
        <v>616</v>
      </c>
      <c r="L43" s="302">
        <v>587</v>
      </c>
      <c r="M43" s="302">
        <v>597</v>
      </c>
      <c r="N43" s="302">
        <v>583</v>
      </c>
      <c r="O43" s="302">
        <v>592</v>
      </c>
      <c r="P43" s="302">
        <v>544</v>
      </c>
      <c r="Q43" s="302">
        <v>513</v>
      </c>
      <c r="R43" s="302">
        <v>546</v>
      </c>
      <c r="S43" s="302">
        <v>510</v>
      </c>
      <c r="T43" s="302">
        <v>409</v>
      </c>
      <c r="U43" s="1215">
        <v>370</v>
      </c>
      <c r="V43" s="1215">
        <v>384</v>
      </c>
      <c r="W43" s="1215">
        <v>357</v>
      </c>
      <c r="X43" s="1215">
        <v>349</v>
      </c>
      <c r="Y43" s="1215">
        <v>328</v>
      </c>
      <c r="Z43" s="1215">
        <v>320</v>
      </c>
      <c r="AA43" s="1215">
        <v>339</v>
      </c>
      <c r="AB43" s="1215">
        <v>269</v>
      </c>
      <c r="AC43" s="1215">
        <v>243</v>
      </c>
      <c r="AD43" s="1216">
        <v>253</v>
      </c>
      <c r="AE43" s="1200">
        <f>AD43/AC43*100-100</f>
        <v>4.115226337448561</v>
      </c>
      <c r="AF43" s="1200">
        <f>AD43/P43*100-100</f>
        <v>-53.49264705882353</v>
      </c>
      <c r="AG43" s="604" t="s">
        <v>153</v>
      </c>
    </row>
    <row r="44" spans="2:32" ht="24.75" customHeight="1">
      <c r="B44" s="1312" t="s">
        <v>167</v>
      </c>
      <c r="C44" s="1312"/>
      <c r="D44" s="1312"/>
      <c r="E44" s="1312"/>
      <c r="F44" s="1312"/>
      <c r="G44" s="1312"/>
      <c r="H44" s="1312"/>
      <c r="I44" s="1312"/>
      <c r="J44" s="1312"/>
      <c r="K44" s="1312"/>
      <c r="L44" s="1312"/>
      <c r="M44" s="1314"/>
      <c r="N44" s="1314"/>
      <c r="O44" s="1314"/>
      <c r="P44" s="1314"/>
      <c r="Q44" s="1314"/>
      <c r="R44" s="1314"/>
      <c r="S44" s="1314"/>
      <c r="T44" s="1314"/>
      <c r="U44" s="1314"/>
      <c r="V44" s="1314"/>
      <c r="W44" s="1314"/>
      <c r="X44" s="1314"/>
      <c r="Y44" s="1314"/>
      <c r="Z44" s="1314"/>
      <c r="AA44" s="1314"/>
      <c r="AB44" s="1314"/>
      <c r="AC44" s="1314"/>
      <c r="AD44" s="1314"/>
      <c r="AE44" s="1314"/>
      <c r="AF44" s="1314"/>
    </row>
    <row r="45" spans="2:32" ht="10.5" customHeight="1">
      <c r="B45" s="1312" t="s">
        <v>356</v>
      </c>
      <c r="C45" s="1312"/>
      <c r="D45" s="1312"/>
      <c r="E45" s="1312"/>
      <c r="F45" s="1312"/>
      <c r="G45" s="1312"/>
      <c r="H45" s="1312"/>
      <c r="I45" s="1314"/>
      <c r="J45" s="1314"/>
      <c r="K45" s="1314"/>
      <c r="L45" s="1314"/>
      <c r="M45" s="1314"/>
      <c r="N45" s="1314"/>
      <c r="O45" s="1314"/>
      <c r="P45" s="1314"/>
      <c r="Q45" s="1314"/>
      <c r="R45" s="1314"/>
      <c r="S45" s="1314"/>
      <c r="T45" s="1314"/>
      <c r="U45" s="1314"/>
      <c r="V45" s="1314"/>
      <c r="W45" s="1314"/>
      <c r="X45" s="1314"/>
      <c r="Y45" s="1314"/>
      <c r="Z45" s="1314"/>
      <c r="AA45" s="1314"/>
      <c r="AB45" s="1314"/>
      <c r="AC45" s="1314"/>
      <c r="AD45" s="1314"/>
      <c r="AE45" s="1314"/>
      <c r="AF45" s="1314"/>
    </row>
    <row r="46" ht="16.5" customHeight="1">
      <c r="B46" s="679"/>
    </row>
  </sheetData>
  <sheetProtection/>
  <mergeCells count="3">
    <mergeCell ref="B2:AF2"/>
    <mergeCell ref="B44:AF44"/>
    <mergeCell ref="B45:AF45"/>
  </mergeCells>
  <printOptions horizontalCentered="1"/>
  <pageMargins left="0.6692913385826772" right="0.6692913385826772" top="0.5118110236220472" bottom="0.2755905511811024"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M51"/>
  <sheetViews>
    <sheetView zoomScalePageLayoutView="0" workbookViewId="0" topLeftCell="A1">
      <selection activeCell="C7" sqref="C7:C8"/>
    </sheetView>
  </sheetViews>
  <sheetFormatPr defaultColWidth="9.140625" defaultRowHeight="12.75"/>
  <cols>
    <col min="1" max="1" width="1.1484375" style="316" customWidth="1"/>
    <col min="2" max="2" width="5.00390625" style="317" customWidth="1"/>
    <col min="3" max="3" width="9.7109375" style="317" customWidth="1"/>
    <col min="4" max="4" width="2.7109375" style="317" customWidth="1"/>
    <col min="5" max="5" width="9.7109375" style="317" customWidth="1"/>
    <col min="6" max="6" width="2.7109375" style="317" customWidth="1"/>
    <col min="7" max="7" width="9.7109375" style="317" customWidth="1"/>
    <col min="8" max="8" width="2.7109375" style="317" customWidth="1"/>
    <col min="9" max="9" width="6.28125" style="317" customWidth="1"/>
    <col min="10" max="10" width="1.7109375" style="317" customWidth="1"/>
    <col min="11" max="11" width="6.7109375" style="317" bestFit="1" customWidth="1"/>
    <col min="12" max="12" width="2.7109375" style="317" customWidth="1"/>
    <col min="13" max="13" width="5.28125" style="317" customWidth="1"/>
    <col min="14" max="14" width="9.140625" style="317" customWidth="1"/>
    <col min="15" max="16384" width="9.140625" style="317" customWidth="1"/>
  </cols>
  <sheetData>
    <row r="1" ht="14.25" customHeight="1">
      <c r="M1" s="318" t="s">
        <v>97</v>
      </c>
    </row>
    <row r="2" spans="1:13" s="320" customFormat="1" ht="30" customHeight="1">
      <c r="A2" s="319"/>
      <c r="B2" s="1242" t="s">
        <v>185</v>
      </c>
      <c r="C2" s="1242"/>
      <c r="D2" s="1242"/>
      <c r="E2" s="1242"/>
      <c r="F2" s="1242"/>
      <c r="G2" s="1242"/>
      <c r="H2" s="1242"/>
      <c r="I2" s="1242"/>
      <c r="J2" s="1242"/>
      <c r="K2" s="1242"/>
      <c r="L2" s="1242"/>
      <c r="M2" s="1242"/>
    </row>
    <row r="3" spans="2:12" ht="14.25" customHeight="1">
      <c r="B3" s="321"/>
      <c r="C3" s="1243" t="s">
        <v>17</v>
      </c>
      <c r="D3" s="1244"/>
      <c r="E3" s="1243" t="s">
        <v>186</v>
      </c>
      <c r="F3" s="1244"/>
      <c r="G3" s="1247" t="s">
        <v>187</v>
      </c>
      <c r="H3" s="1248"/>
      <c r="I3" s="1251" t="s">
        <v>188</v>
      </c>
      <c r="J3" s="1252"/>
      <c r="K3" s="1252"/>
      <c r="L3" s="1253"/>
    </row>
    <row r="4" spans="2:12" ht="10.5" customHeight="1">
      <c r="B4" s="321"/>
      <c r="C4" s="1245"/>
      <c r="D4" s="1246"/>
      <c r="E4" s="1245"/>
      <c r="F4" s="1246"/>
      <c r="G4" s="1249"/>
      <c r="H4" s="1250"/>
      <c r="I4" s="1233" t="s">
        <v>285</v>
      </c>
      <c r="J4" s="1234"/>
      <c r="K4" s="1234"/>
      <c r="L4" s="1235"/>
    </row>
    <row r="5" spans="2:12" ht="12" customHeight="1">
      <c r="B5" s="321"/>
      <c r="C5" s="324" t="s">
        <v>286</v>
      </c>
      <c r="D5" s="325"/>
      <c r="E5" s="326" t="s">
        <v>0</v>
      </c>
      <c r="F5" s="322"/>
      <c r="G5" s="327" t="s">
        <v>287</v>
      </c>
      <c r="H5" s="323"/>
      <c r="I5" s="1233" t="s">
        <v>288</v>
      </c>
      <c r="J5" s="1234"/>
      <c r="K5" s="1234"/>
      <c r="L5" s="1235"/>
    </row>
    <row r="6" spans="2:12" ht="12.75">
      <c r="B6" s="321"/>
      <c r="C6" s="328"/>
      <c r="D6" s="329"/>
      <c r="E6" s="330" t="s">
        <v>329</v>
      </c>
      <c r="F6" s="331"/>
      <c r="G6" s="327">
        <v>2015</v>
      </c>
      <c r="H6" s="323"/>
      <c r="I6" s="332">
        <v>2014</v>
      </c>
      <c r="J6" s="333"/>
      <c r="K6" s="334">
        <v>2015</v>
      </c>
      <c r="L6" s="335"/>
    </row>
    <row r="7" spans="2:13" ht="15" customHeight="1">
      <c r="B7" s="336" t="s">
        <v>250</v>
      </c>
      <c r="C7" s="337">
        <v>4470.58</v>
      </c>
      <c r="D7" s="338"/>
      <c r="E7" s="339">
        <v>510.28442999999993</v>
      </c>
      <c r="F7" s="340"/>
      <c r="G7" s="337">
        <v>14710.625900000001</v>
      </c>
      <c r="H7" s="341"/>
      <c r="I7" s="342">
        <v>100</v>
      </c>
      <c r="J7" s="343"/>
      <c r="K7" s="344">
        <v>100</v>
      </c>
      <c r="L7" s="345"/>
      <c r="M7" s="336" t="s">
        <v>250</v>
      </c>
    </row>
    <row r="8" spans="2:13" ht="15" customHeight="1">
      <c r="B8" s="346" t="s">
        <v>89</v>
      </c>
      <c r="C8" s="347">
        <v>3326.05</v>
      </c>
      <c r="D8" s="348"/>
      <c r="E8" s="349">
        <v>405.88150499999995</v>
      </c>
      <c r="F8" s="350"/>
      <c r="G8" s="347">
        <v>13529.0225</v>
      </c>
      <c r="H8" s="351"/>
      <c r="I8" s="352">
        <v>108.69565217391303</v>
      </c>
      <c r="J8" s="353"/>
      <c r="K8" s="353">
        <v>108.30449826989619</v>
      </c>
      <c r="L8" s="354"/>
      <c r="M8" s="346" t="s">
        <v>89</v>
      </c>
    </row>
    <row r="9" spans="2:13" ht="15" customHeight="1">
      <c r="B9" s="355" t="s">
        <v>251</v>
      </c>
      <c r="C9" s="356">
        <v>1144.5299999999997</v>
      </c>
      <c r="D9" s="357"/>
      <c r="E9" s="358">
        <v>104.40292499999998</v>
      </c>
      <c r="F9" s="359"/>
      <c r="G9" s="356">
        <f>G7-G8</f>
        <v>1181.6034000000018</v>
      </c>
      <c r="H9" s="360"/>
      <c r="I9" s="361">
        <v>66.8534255032845</v>
      </c>
      <c r="J9" s="362"/>
      <c r="K9" s="363">
        <v>67.79338492346751</v>
      </c>
      <c r="L9" s="364"/>
      <c r="M9" s="355" t="s">
        <v>251</v>
      </c>
    </row>
    <row r="10" spans="2:13" ht="15" customHeight="1">
      <c r="B10" s="346" t="s">
        <v>81</v>
      </c>
      <c r="C10" s="374">
        <v>83.879</v>
      </c>
      <c r="D10" s="375"/>
      <c r="E10" s="376">
        <v>8.690076</v>
      </c>
      <c r="F10" s="377"/>
      <c r="G10" s="378">
        <v>339.896</v>
      </c>
      <c r="H10" s="379"/>
      <c r="I10" s="382">
        <v>129.34782608695653</v>
      </c>
      <c r="J10" s="382"/>
      <c r="K10" s="382">
        <v>127.68166089965398</v>
      </c>
      <c r="L10" s="381"/>
      <c r="M10" s="346" t="s">
        <v>81</v>
      </c>
    </row>
    <row r="11" spans="2:13" ht="15" customHeight="1">
      <c r="B11" s="365" t="s">
        <v>60</v>
      </c>
      <c r="C11" s="366">
        <v>30.528</v>
      </c>
      <c r="D11" s="367"/>
      <c r="E11" s="368">
        <v>11.311117</v>
      </c>
      <c r="F11" s="369"/>
      <c r="G11" s="370">
        <v>410.351</v>
      </c>
      <c r="H11" s="371"/>
      <c r="I11" s="372">
        <v>119.56521739130434</v>
      </c>
      <c r="J11" s="372"/>
      <c r="K11" s="372">
        <v>118.33910034602076</v>
      </c>
      <c r="L11" s="373"/>
      <c r="M11" s="365" t="s">
        <v>60</v>
      </c>
    </row>
    <row r="12" spans="2:13" ht="15" customHeight="1">
      <c r="B12" s="346" t="s">
        <v>101</v>
      </c>
      <c r="C12" s="374">
        <v>111.002</v>
      </c>
      <c r="D12" s="375"/>
      <c r="E12" s="376">
        <v>7.153784</v>
      </c>
      <c r="F12" s="377"/>
      <c r="G12" s="378">
        <v>45.2865</v>
      </c>
      <c r="H12" s="379"/>
      <c r="I12" s="380">
        <v>46.3768115942029</v>
      </c>
      <c r="J12" s="380"/>
      <c r="K12" s="380">
        <v>47.05882352941176</v>
      </c>
      <c r="L12" s="381"/>
      <c r="M12" s="346" t="s">
        <v>101</v>
      </c>
    </row>
    <row r="13" spans="2:13" ht="15" customHeight="1">
      <c r="B13" s="365" t="s">
        <v>71</v>
      </c>
      <c r="C13" s="366">
        <v>9.25</v>
      </c>
      <c r="D13" s="367"/>
      <c r="E13" s="368">
        <v>0.848319</v>
      </c>
      <c r="F13" s="369"/>
      <c r="G13" s="390">
        <v>17.6372</v>
      </c>
      <c r="H13" s="371"/>
      <c r="I13" s="372">
        <v>81.15942028985508</v>
      </c>
      <c r="J13" s="372"/>
      <c r="K13" s="387">
        <v>81.31487889273356</v>
      </c>
      <c r="L13" s="373"/>
      <c r="M13" s="365" t="s">
        <v>71</v>
      </c>
    </row>
    <row r="14" spans="2:13" ht="15" customHeight="1">
      <c r="B14" s="365" t="s">
        <v>61</v>
      </c>
      <c r="C14" s="366">
        <v>78.868</v>
      </c>
      <c r="D14" s="367"/>
      <c r="E14" s="368">
        <v>10.553843</v>
      </c>
      <c r="F14" s="369"/>
      <c r="G14" s="370">
        <v>166.9641</v>
      </c>
      <c r="H14" s="371"/>
      <c r="I14" s="372">
        <v>86.23188405797102</v>
      </c>
      <c r="J14" s="372"/>
      <c r="K14" s="372">
        <v>87.19723183391004</v>
      </c>
      <c r="L14" s="373"/>
      <c r="M14" s="365" t="s">
        <v>61</v>
      </c>
    </row>
    <row r="15" spans="2:13" ht="15" customHeight="1">
      <c r="B15" s="365" t="s">
        <v>63</v>
      </c>
      <c r="C15" s="366">
        <v>357.104</v>
      </c>
      <c r="D15" s="367"/>
      <c r="E15" s="368">
        <v>82.175684</v>
      </c>
      <c r="F15" s="369"/>
      <c r="G15" s="383">
        <v>3032.82</v>
      </c>
      <c r="H15" s="371"/>
      <c r="I15" s="372">
        <v>125.36231884057972</v>
      </c>
      <c r="J15" s="372"/>
      <c r="K15" s="372">
        <v>123.87543252595157</v>
      </c>
      <c r="L15" s="373"/>
      <c r="M15" s="365" t="s">
        <v>63</v>
      </c>
    </row>
    <row r="16" spans="2:13" ht="15" customHeight="1">
      <c r="B16" s="346" t="s">
        <v>14</v>
      </c>
      <c r="C16" s="374">
        <v>43.098</v>
      </c>
      <c r="D16" s="375"/>
      <c r="E16" s="376">
        <v>5.707251</v>
      </c>
      <c r="F16" s="377"/>
      <c r="G16" s="378">
        <v>271.7861</v>
      </c>
      <c r="H16" s="379"/>
      <c r="I16" s="382">
        <v>127.17391304347827</v>
      </c>
      <c r="J16" s="382"/>
      <c r="K16" s="382">
        <v>126.64359861591696</v>
      </c>
      <c r="L16" s="381"/>
      <c r="M16" s="346" t="s">
        <v>14</v>
      </c>
    </row>
    <row r="17" spans="2:13" ht="15" customHeight="1">
      <c r="B17" s="346" t="s">
        <v>64</v>
      </c>
      <c r="C17" s="374">
        <v>45.227</v>
      </c>
      <c r="D17" s="375"/>
      <c r="E17" s="376">
        <v>1.315944</v>
      </c>
      <c r="F17" s="377"/>
      <c r="G17" s="378">
        <v>20.2517</v>
      </c>
      <c r="H17" s="379"/>
      <c r="I17" s="382">
        <v>75.72463768115942</v>
      </c>
      <c r="J17" s="382"/>
      <c r="K17" s="382">
        <v>74.74048442906575</v>
      </c>
      <c r="L17" s="381"/>
      <c r="M17" s="346" t="s">
        <v>64</v>
      </c>
    </row>
    <row r="18" spans="2:13" ht="15" customHeight="1">
      <c r="B18" s="346" t="s">
        <v>15</v>
      </c>
      <c r="C18" s="374">
        <v>131.957</v>
      </c>
      <c r="D18" s="375"/>
      <c r="E18" s="376">
        <v>10.783748</v>
      </c>
      <c r="F18" s="377"/>
      <c r="G18" s="385">
        <v>175.6974</v>
      </c>
      <c r="H18" s="379"/>
      <c r="I18" s="380">
        <v>70.28985507246377</v>
      </c>
      <c r="J18" s="380"/>
      <c r="K18" s="380">
        <v>67.82006920415225</v>
      </c>
      <c r="L18" s="381"/>
      <c r="M18" s="346" t="s">
        <v>15</v>
      </c>
    </row>
    <row r="19" spans="2:13" ht="15" customHeight="1">
      <c r="B19" s="365" t="s">
        <v>66</v>
      </c>
      <c r="C19" s="366">
        <v>505.997</v>
      </c>
      <c r="D19" s="367"/>
      <c r="E19" s="368">
        <v>46.445828</v>
      </c>
      <c r="F19" s="369"/>
      <c r="G19" s="386">
        <v>1075.639</v>
      </c>
      <c r="H19" s="371"/>
      <c r="I19" s="387">
        <v>89.4927536231884</v>
      </c>
      <c r="J19" s="387"/>
      <c r="K19" s="387">
        <v>89.61937716262976</v>
      </c>
      <c r="L19" s="373"/>
      <c r="M19" s="365" t="s">
        <v>66</v>
      </c>
    </row>
    <row r="20" spans="2:13" ht="15" customHeight="1">
      <c r="B20" s="346" t="s">
        <v>87</v>
      </c>
      <c r="C20" s="374">
        <v>338.419</v>
      </c>
      <c r="D20" s="375"/>
      <c r="E20" s="376">
        <v>5.487308</v>
      </c>
      <c r="F20" s="377"/>
      <c r="G20" s="378">
        <v>209.511</v>
      </c>
      <c r="H20" s="379"/>
      <c r="I20" s="382">
        <v>110.5072463768116</v>
      </c>
      <c r="J20" s="382"/>
      <c r="K20" s="382">
        <v>109.34256055363323</v>
      </c>
      <c r="L20" s="381"/>
      <c r="M20" s="346" t="s">
        <v>87</v>
      </c>
    </row>
    <row r="21" spans="2:13" ht="15" customHeight="1">
      <c r="B21" s="346" t="s">
        <v>67</v>
      </c>
      <c r="C21" s="374">
        <f>543.965+88.794+0.374</f>
        <v>633.133</v>
      </c>
      <c r="D21" s="375"/>
      <c r="E21" s="376">
        <v>66.75995</v>
      </c>
      <c r="F21" s="377"/>
      <c r="G21" s="388">
        <v>2181.064</v>
      </c>
      <c r="H21" s="379"/>
      <c r="I21" s="380">
        <v>106.8840579710145</v>
      </c>
      <c r="J21" s="380"/>
      <c r="K21" s="380">
        <v>105.88235294117648</v>
      </c>
      <c r="L21" s="381"/>
      <c r="M21" s="346" t="s">
        <v>67</v>
      </c>
    </row>
    <row r="22" spans="2:13" ht="15" customHeight="1">
      <c r="B22" s="365" t="s">
        <v>148</v>
      </c>
      <c r="C22" s="366">
        <v>56.594</v>
      </c>
      <c r="D22" s="367"/>
      <c r="E22" s="368">
        <v>4.190669</v>
      </c>
      <c r="F22" s="369"/>
      <c r="G22" s="370">
        <v>43.8469</v>
      </c>
      <c r="H22" s="371"/>
      <c r="I22" s="372">
        <v>58.333333333333336</v>
      </c>
      <c r="J22" s="372"/>
      <c r="K22" s="372">
        <v>57.785467128027676</v>
      </c>
      <c r="L22" s="373"/>
      <c r="M22" s="365" t="s">
        <v>148</v>
      </c>
    </row>
    <row r="23" spans="2:13" ht="15" customHeight="1">
      <c r="B23" s="365" t="s">
        <v>77</v>
      </c>
      <c r="C23" s="366">
        <v>93.03</v>
      </c>
      <c r="D23" s="367"/>
      <c r="E23" s="368">
        <v>9.830485</v>
      </c>
      <c r="F23" s="369"/>
      <c r="G23" s="370">
        <v>109.6742</v>
      </c>
      <c r="H23" s="371"/>
      <c r="I23" s="372">
        <v>67.7536231884058</v>
      </c>
      <c r="J23" s="372"/>
      <c r="K23" s="372">
        <v>68.16608996539793</v>
      </c>
      <c r="L23" s="373"/>
      <c r="M23" s="365" t="s">
        <v>77</v>
      </c>
    </row>
    <row r="24" spans="2:13" ht="15" customHeight="1">
      <c r="B24" s="365" t="s">
        <v>68</v>
      </c>
      <c r="C24" s="366">
        <v>70.282</v>
      </c>
      <c r="D24" s="367"/>
      <c r="E24" s="384">
        <v>4.72472</v>
      </c>
      <c r="F24" s="369"/>
      <c r="G24" s="370">
        <v>255.8151</v>
      </c>
      <c r="H24" s="371"/>
      <c r="I24" s="372">
        <v>136.59420289855072</v>
      </c>
      <c r="J24" s="372"/>
      <c r="K24" s="372">
        <v>176.8166089965398</v>
      </c>
      <c r="L24" s="373"/>
      <c r="M24" s="365" t="s">
        <v>68</v>
      </c>
    </row>
    <row r="25" spans="2:13" ht="15" customHeight="1">
      <c r="B25" s="346" t="s">
        <v>69</v>
      </c>
      <c r="C25" s="374">
        <v>301.336</v>
      </c>
      <c r="D25" s="375"/>
      <c r="E25" s="376">
        <v>60.665551</v>
      </c>
      <c r="F25" s="377"/>
      <c r="G25" s="389">
        <v>1645.4394</v>
      </c>
      <c r="H25" s="379"/>
      <c r="I25" s="382">
        <v>96.37681159420289</v>
      </c>
      <c r="J25" s="382"/>
      <c r="K25" s="382">
        <v>96.19377162629758</v>
      </c>
      <c r="L25" s="381"/>
      <c r="M25" s="346" t="s">
        <v>69</v>
      </c>
    </row>
    <row r="26" spans="2:13" ht="15" customHeight="1">
      <c r="B26" s="365" t="s">
        <v>73</v>
      </c>
      <c r="C26" s="366">
        <v>65.3</v>
      </c>
      <c r="D26" s="367"/>
      <c r="E26" s="368">
        <v>2.888558</v>
      </c>
      <c r="F26" s="369"/>
      <c r="G26" s="370">
        <v>37.3305</v>
      </c>
      <c r="H26" s="371"/>
      <c r="I26" s="372">
        <v>75</v>
      </c>
      <c r="J26" s="372"/>
      <c r="K26" s="372">
        <v>74.74048442906575</v>
      </c>
      <c r="L26" s="373"/>
      <c r="M26" s="365" t="s">
        <v>73</v>
      </c>
    </row>
    <row r="27" spans="2:13" ht="15" customHeight="1">
      <c r="B27" s="346" t="s">
        <v>76</v>
      </c>
      <c r="C27" s="374">
        <v>2.586</v>
      </c>
      <c r="D27" s="375"/>
      <c r="E27" s="376">
        <v>0.576249</v>
      </c>
      <c r="F27" s="377"/>
      <c r="G27" s="378">
        <v>51.2162</v>
      </c>
      <c r="H27" s="379"/>
      <c r="I27" s="382">
        <v>266.30434782608694</v>
      </c>
      <c r="J27" s="382"/>
      <c r="K27" s="382">
        <v>263.3217993079585</v>
      </c>
      <c r="L27" s="381"/>
      <c r="M27" s="346" t="s">
        <v>76</v>
      </c>
    </row>
    <row r="28" spans="2:13" ht="15" customHeight="1">
      <c r="B28" s="346" t="s">
        <v>72</v>
      </c>
      <c r="C28" s="374">
        <v>64.559</v>
      </c>
      <c r="D28" s="375"/>
      <c r="E28" s="376">
        <v>1.968957</v>
      </c>
      <c r="F28" s="377"/>
      <c r="G28" s="378">
        <v>24.368299999999998</v>
      </c>
      <c r="H28" s="379"/>
      <c r="I28" s="382">
        <v>63.40579710144928</v>
      </c>
      <c r="J28" s="382"/>
      <c r="K28" s="382">
        <v>64.3598615916955</v>
      </c>
      <c r="L28" s="381"/>
      <c r="M28" s="346" t="s">
        <v>72</v>
      </c>
    </row>
    <row r="29" spans="2:13" ht="15" customHeight="1">
      <c r="B29" s="346" t="s">
        <v>78</v>
      </c>
      <c r="C29" s="374">
        <v>0.316</v>
      </c>
      <c r="D29" s="375"/>
      <c r="E29" s="376">
        <v>0.434403</v>
      </c>
      <c r="F29" s="377"/>
      <c r="G29" s="378">
        <v>9.2503</v>
      </c>
      <c r="H29" s="379"/>
      <c r="I29" s="382">
        <v>89.13043478260869</v>
      </c>
      <c r="J29" s="382"/>
      <c r="K29" s="382">
        <v>92.38754325259517</v>
      </c>
      <c r="L29" s="381"/>
      <c r="M29" s="346" t="s">
        <v>78</v>
      </c>
    </row>
    <row r="30" spans="2:13" ht="15" customHeight="1">
      <c r="B30" s="365" t="s">
        <v>16</v>
      </c>
      <c r="C30" s="366">
        <v>41.526</v>
      </c>
      <c r="D30" s="367"/>
      <c r="E30" s="368">
        <v>16.97912</v>
      </c>
      <c r="F30" s="369"/>
      <c r="G30" s="390">
        <v>676.531</v>
      </c>
      <c r="H30" s="371"/>
      <c r="I30" s="387">
        <v>130.43478260869566</v>
      </c>
      <c r="J30" s="387"/>
      <c r="K30" s="387">
        <v>128.02768166089967</v>
      </c>
      <c r="L30" s="373"/>
      <c r="M30" s="365" t="s">
        <v>16</v>
      </c>
    </row>
    <row r="31" spans="2:13" ht="15" customHeight="1">
      <c r="B31" s="365" t="s">
        <v>80</v>
      </c>
      <c r="C31" s="366">
        <v>312.685</v>
      </c>
      <c r="D31" s="367"/>
      <c r="E31" s="368">
        <v>37.967209</v>
      </c>
      <c r="F31" s="369"/>
      <c r="G31" s="370">
        <v>429.7942</v>
      </c>
      <c r="H31" s="371"/>
      <c r="I31" s="387">
        <v>67.3913043478261</v>
      </c>
      <c r="J31" s="387"/>
      <c r="K31" s="387">
        <v>68.5121107266436</v>
      </c>
      <c r="L31" s="373"/>
      <c r="M31" s="365" t="s">
        <v>80</v>
      </c>
    </row>
    <row r="32" spans="2:13" ht="15" customHeight="1">
      <c r="B32" s="346" t="s">
        <v>92</v>
      </c>
      <c r="C32" s="374">
        <v>92.09</v>
      </c>
      <c r="D32" s="375"/>
      <c r="E32" s="376">
        <v>10.34133</v>
      </c>
      <c r="F32" s="377"/>
      <c r="G32" s="385">
        <v>179.5399</v>
      </c>
      <c r="H32" s="379"/>
      <c r="I32" s="382">
        <v>76.44927536231883</v>
      </c>
      <c r="J32" s="382"/>
      <c r="K32" s="380">
        <v>76.8166089965398</v>
      </c>
      <c r="L32" s="381"/>
      <c r="M32" s="346" t="s">
        <v>92</v>
      </c>
    </row>
    <row r="33" spans="2:13" ht="15" customHeight="1">
      <c r="B33" s="365" t="s">
        <v>102</v>
      </c>
      <c r="C33" s="366">
        <v>238.391</v>
      </c>
      <c r="D33" s="367"/>
      <c r="E33" s="368">
        <v>19.760314</v>
      </c>
      <c r="F33" s="369"/>
      <c r="G33" s="390">
        <v>159.96370000000002</v>
      </c>
      <c r="H33" s="371"/>
      <c r="I33" s="372">
        <v>55.434782608695656</v>
      </c>
      <c r="J33" s="372"/>
      <c r="K33" s="387">
        <v>57.09342560553633</v>
      </c>
      <c r="L33" s="373"/>
      <c r="M33" s="365" t="s">
        <v>102</v>
      </c>
    </row>
    <row r="34" spans="2:13" ht="15" customHeight="1">
      <c r="B34" s="365" t="s">
        <v>88</v>
      </c>
      <c r="C34" s="366">
        <v>450.295</v>
      </c>
      <c r="D34" s="367"/>
      <c r="E34" s="368">
        <v>9.851017</v>
      </c>
      <c r="F34" s="369"/>
      <c r="G34" s="370">
        <v>447.0095</v>
      </c>
      <c r="H34" s="371"/>
      <c r="I34" s="372">
        <v>123.55072463768116</v>
      </c>
      <c r="J34" s="372"/>
      <c r="K34" s="372">
        <v>123.52941176470588</v>
      </c>
      <c r="L34" s="373"/>
      <c r="M34" s="365" t="s">
        <v>88</v>
      </c>
    </row>
    <row r="35" spans="2:13" ht="15" customHeight="1">
      <c r="B35" s="346" t="s">
        <v>83</v>
      </c>
      <c r="C35" s="374">
        <v>20.273</v>
      </c>
      <c r="D35" s="375"/>
      <c r="E35" s="376">
        <v>2.064188</v>
      </c>
      <c r="F35" s="377"/>
      <c r="G35" s="378">
        <v>38.57</v>
      </c>
      <c r="H35" s="379"/>
      <c r="I35" s="382">
        <v>82.6086956521739</v>
      </c>
      <c r="J35" s="382"/>
      <c r="K35" s="382">
        <v>82.69896193771626</v>
      </c>
      <c r="L35" s="381"/>
      <c r="M35" s="346" t="s">
        <v>83</v>
      </c>
    </row>
    <row r="36" spans="2:13" ht="15" customHeight="1">
      <c r="B36" s="365" t="s">
        <v>85</v>
      </c>
      <c r="C36" s="366">
        <v>49.035</v>
      </c>
      <c r="D36" s="367"/>
      <c r="E36" s="368">
        <v>5.426252</v>
      </c>
      <c r="F36" s="369"/>
      <c r="G36" s="370">
        <v>78.68560000000001</v>
      </c>
      <c r="H36" s="371"/>
      <c r="I36" s="372">
        <v>77.17391304347827</v>
      </c>
      <c r="J36" s="372"/>
      <c r="K36" s="372">
        <v>77.16262975778547</v>
      </c>
      <c r="L36" s="373"/>
      <c r="M36" s="365" t="s">
        <v>85</v>
      </c>
    </row>
    <row r="37" spans="2:13" ht="15" customHeight="1">
      <c r="B37" s="355" t="s">
        <v>13</v>
      </c>
      <c r="C37" s="391">
        <v>243.82</v>
      </c>
      <c r="D37" s="392"/>
      <c r="E37" s="393">
        <v>65.382556</v>
      </c>
      <c r="F37" s="394"/>
      <c r="G37" s="395">
        <v>2580.0645</v>
      </c>
      <c r="H37" s="396"/>
      <c r="I37" s="397">
        <v>108.33333333333333</v>
      </c>
      <c r="J37" s="397"/>
      <c r="K37" s="397">
        <v>107.95847750865053</v>
      </c>
      <c r="L37" s="398"/>
      <c r="M37" s="355" t="s">
        <v>13</v>
      </c>
    </row>
    <row r="38" spans="2:13" ht="15" customHeight="1">
      <c r="B38" s="365" t="s">
        <v>289</v>
      </c>
      <c r="C38" s="366">
        <v>28.748</v>
      </c>
      <c r="D38" s="367"/>
      <c r="E38" s="368">
        <v>2.886026</v>
      </c>
      <c r="F38" s="369"/>
      <c r="G38" s="390">
        <v>10.2672</v>
      </c>
      <c r="H38" s="371"/>
      <c r="I38" s="387">
        <v>30.07246376811594</v>
      </c>
      <c r="J38" s="387"/>
      <c r="K38" s="387">
        <v>29.757785467128027</v>
      </c>
      <c r="L38" s="373"/>
      <c r="M38" s="365" t="s">
        <v>289</v>
      </c>
    </row>
    <row r="39" spans="2:13" ht="15" customHeight="1">
      <c r="B39" s="346" t="s">
        <v>235</v>
      </c>
      <c r="C39" s="374">
        <v>13.812</v>
      </c>
      <c r="D39" s="375"/>
      <c r="E39" s="376">
        <v>0.622218</v>
      </c>
      <c r="F39" s="377"/>
      <c r="G39" s="385">
        <v>3.6247</v>
      </c>
      <c r="H39" s="379"/>
      <c r="I39" s="382">
        <v>40.93784317986016</v>
      </c>
      <c r="J39" s="382"/>
      <c r="K39" s="380">
        <v>41.76375349081861</v>
      </c>
      <c r="L39" s="381"/>
      <c r="M39" s="346" t="s">
        <v>235</v>
      </c>
    </row>
    <row r="40" spans="2:13" ht="15" customHeight="1">
      <c r="B40" s="365" t="s">
        <v>149</v>
      </c>
      <c r="C40" s="366">
        <v>25.713</v>
      </c>
      <c r="D40" s="367"/>
      <c r="E40" s="368">
        <v>2.071278</v>
      </c>
      <c r="F40" s="369"/>
      <c r="G40" s="370">
        <v>9.0607</v>
      </c>
      <c r="H40" s="371"/>
      <c r="I40" s="387">
        <v>36.231884057971016</v>
      </c>
      <c r="J40" s="372"/>
      <c r="K40" s="387">
        <v>36.332482303330025</v>
      </c>
      <c r="L40" s="373"/>
      <c r="M40" s="365" t="s">
        <v>149</v>
      </c>
    </row>
    <row r="41" spans="2:13" ht="15" customHeight="1">
      <c r="B41" s="346" t="s">
        <v>236</v>
      </c>
      <c r="C41" s="374">
        <v>88.361</v>
      </c>
      <c r="D41" s="375"/>
      <c r="E41" s="376">
        <v>7.076372</v>
      </c>
      <c r="F41" s="377"/>
      <c r="G41" s="378">
        <v>33.491</v>
      </c>
      <c r="H41" s="379"/>
      <c r="I41" s="382">
        <v>36.594202898550726</v>
      </c>
      <c r="J41" s="382"/>
      <c r="K41" s="382">
        <v>36.332179930795846</v>
      </c>
      <c r="L41" s="381"/>
      <c r="M41" s="346" t="s">
        <v>236</v>
      </c>
    </row>
    <row r="42" spans="2:13" ht="15" customHeight="1">
      <c r="B42" s="365" t="s">
        <v>150</v>
      </c>
      <c r="C42" s="366">
        <v>785.347</v>
      </c>
      <c r="D42" s="367"/>
      <c r="E42" s="368">
        <v>78.741053</v>
      </c>
      <c r="F42" s="369"/>
      <c r="G42" s="370">
        <v>772.6095</v>
      </c>
      <c r="H42" s="371"/>
      <c r="I42" s="372">
        <v>60.95366365773929</v>
      </c>
      <c r="J42" s="372"/>
      <c r="K42" s="372">
        <v>61.76239019991781</v>
      </c>
      <c r="L42" s="373"/>
      <c r="M42" s="365" t="s">
        <v>150</v>
      </c>
    </row>
    <row r="43" spans="2:13" ht="15" customHeight="1">
      <c r="B43" s="336" t="s">
        <v>151</v>
      </c>
      <c r="C43" s="399">
        <v>103</v>
      </c>
      <c r="D43" s="400"/>
      <c r="E43" s="401">
        <v>0.332529</v>
      </c>
      <c r="F43" s="402"/>
      <c r="G43" s="403">
        <v>15.1302</v>
      </c>
      <c r="H43" s="404"/>
      <c r="I43" s="405">
        <v>119.56521739130434</v>
      </c>
      <c r="J43" s="405"/>
      <c r="K43" s="405">
        <v>124.22145328719722</v>
      </c>
      <c r="L43" s="406"/>
      <c r="M43" s="336" t="s">
        <v>151</v>
      </c>
    </row>
    <row r="44" spans="2:13" ht="15" customHeight="1">
      <c r="B44" s="365" t="s">
        <v>152</v>
      </c>
      <c r="C44" s="407">
        <v>323.782</v>
      </c>
      <c r="D44" s="367"/>
      <c r="E44" s="368">
        <v>5.166493</v>
      </c>
      <c r="F44" s="408"/>
      <c r="G44" s="370">
        <v>348.33209999999997</v>
      </c>
      <c r="H44" s="371"/>
      <c r="I44" s="372">
        <v>174.63768115942028</v>
      </c>
      <c r="J44" s="372"/>
      <c r="K44" s="372">
        <v>160.2076124567474</v>
      </c>
      <c r="L44" s="373"/>
      <c r="M44" s="365" t="s">
        <v>152</v>
      </c>
    </row>
    <row r="45" spans="2:13" ht="15" customHeight="1">
      <c r="B45" s="355" t="s">
        <v>153</v>
      </c>
      <c r="C45" s="391">
        <v>41.285</v>
      </c>
      <c r="D45" s="392"/>
      <c r="E45" s="393">
        <v>8.237666</v>
      </c>
      <c r="F45" s="394"/>
      <c r="G45" s="409">
        <v>604.5095</v>
      </c>
      <c r="H45" s="396"/>
      <c r="I45" s="410">
        <v>163.04347826086956</v>
      </c>
      <c r="J45" s="410"/>
      <c r="K45" s="410">
        <v>161.5916955017301</v>
      </c>
      <c r="L45" s="411"/>
      <c r="M45" s="355" t="s">
        <v>153</v>
      </c>
    </row>
    <row r="46" ht="15" customHeight="1">
      <c r="B46" s="412" t="s">
        <v>299</v>
      </c>
    </row>
    <row r="47" spans="2:13" ht="12.75" customHeight="1">
      <c r="B47" s="1236" t="s">
        <v>237</v>
      </c>
      <c r="C47" s="1237"/>
      <c r="D47" s="1237"/>
      <c r="E47" s="1237"/>
      <c r="F47" s="1237"/>
      <c r="G47" s="1237"/>
      <c r="H47" s="1237"/>
      <c r="I47" s="1237"/>
      <c r="J47" s="1237"/>
      <c r="K47" s="1237"/>
      <c r="L47" s="1237"/>
      <c r="M47" s="1237"/>
    </row>
    <row r="48" spans="2:13" ht="25.5" customHeight="1">
      <c r="B48" s="1238" t="s">
        <v>300</v>
      </c>
      <c r="C48" s="1239"/>
      <c r="D48" s="1239"/>
      <c r="E48" s="1239"/>
      <c r="F48" s="1239"/>
      <c r="G48" s="1239"/>
      <c r="H48" s="1239"/>
      <c r="I48" s="1239"/>
      <c r="J48" s="1239"/>
      <c r="K48" s="1239"/>
      <c r="L48" s="1239"/>
      <c r="M48" s="1239"/>
    </row>
    <row r="49" spans="2:13" ht="36" customHeight="1">
      <c r="B49" s="1240" t="s">
        <v>330</v>
      </c>
      <c r="C49" s="1239"/>
      <c r="D49" s="1239"/>
      <c r="E49" s="1239"/>
      <c r="F49" s="1239"/>
      <c r="G49" s="1239"/>
      <c r="H49" s="1239"/>
      <c r="I49" s="1239"/>
      <c r="J49" s="1239"/>
      <c r="K49" s="1239"/>
      <c r="L49" s="1239"/>
      <c r="M49" s="1239"/>
    </row>
    <row r="50" ht="23.25" customHeight="1"/>
    <row r="51" spans="2:13" ht="12.75">
      <c r="B51" s="1240"/>
      <c r="C51" s="1241"/>
      <c r="D51" s="1241"/>
      <c r="E51" s="1241"/>
      <c r="F51" s="1241"/>
      <c r="G51" s="1241"/>
      <c r="H51" s="1241"/>
      <c r="I51" s="1241"/>
      <c r="J51" s="1241"/>
      <c r="K51" s="1241"/>
      <c r="L51" s="1241"/>
      <c r="M51" s="1241"/>
    </row>
    <row r="52" ht="12.75" customHeight="1"/>
  </sheetData>
  <sheetProtection/>
  <mergeCells count="11">
    <mergeCell ref="B2:M2"/>
    <mergeCell ref="C3:D4"/>
    <mergeCell ref="E3:F4"/>
    <mergeCell ref="G3:H4"/>
    <mergeCell ref="I3:L3"/>
    <mergeCell ref="I4:L4"/>
    <mergeCell ref="I5:L5"/>
    <mergeCell ref="B47:M47"/>
    <mergeCell ref="B48:M48"/>
    <mergeCell ref="B49:M49"/>
    <mergeCell ref="B51:M51"/>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C00000"/>
  </sheetPr>
  <dimension ref="A1:Z53"/>
  <sheetViews>
    <sheetView zoomScalePageLayoutView="0" workbookViewId="0" topLeftCell="A1">
      <selection activeCell="W7" sqref="W7:W8"/>
    </sheetView>
  </sheetViews>
  <sheetFormatPr defaultColWidth="9.140625" defaultRowHeight="12.75"/>
  <cols>
    <col min="1" max="1" width="3.7109375" style="0" customWidth="1"/>
    <col min="2" max="2" width="4.57421875" style="0" customWidth="1"/>
    <col min="3" max="13" width="7.7109375" style="0" hidden="1" customWidth="1"/>
    <col min="14" max="14" width="7.7109375" style="0" customWidth="1"/>
    <col min="15" max="23" width="8.28125" style="0" customWidth="1"/>
    <col min="24" max="24" width="6.00390625" style="0" customWidth="1"/>
    <col min="25" max="25" width="6.28125" style="0" customWidth="1"/>
    <col min="26" max="26" width="5.8515625" style="0" customWidth="1"/>
  </cols>
  <sheetData>
    <row r="1" spans="2:26" ht="14.25" customHeight="1">
      <c r="B1" s="202"/>
      <c r="C1" s="93"/>
      <c r="D1" s="93"/>
      <c r="E1" s="93"/>
      <c r="F1" s="93"/>
      <c r="G1" s="93"/>
      <c r="H1" s="93"/>
      <c r="I1" s="93"/>
      <c r="J1" s="203"/>
      <c r="Z1" s="95" t="s">
        <v>218</v>
      </c>
    </row>
    <row r="2" spans="2:26" s="152" customFormat="1" ht="15" customHeight="1">
      <c r="B2" s="1255" t="s">
        <v>238</v>
      </c>
      <c r="C2" s="1255"/>
      <c r="D2" s="1255"/>
      <c r="E2" s="1255"/>
      <c r="F2" s="1255"/>
      <c r="G2" s="1255"/>
      <c r="H2" s="1255"/>
      <c r="I2" s="1255"/>
      <c r="J2" s="1255"/>
      <c r="K2" s="1255"/>
      <c r="L2" s="1255"/>
      <c r="M2" s="1255"/>
      <c r="N2" s="1255"/>
      <c r="O2" s="1255"/>
      <c r="P2" s="1255"/>
      <c r="Q2" s="1255"/>
      <c r="R2" s="1255"/>
      <c r="S2" s="1255"/>
      <c r="T2" s="1255"/>
      <c r="U2" s="1255"/>
      <c r="V2" s="1255"/>
      <c r="W2" s="1255"/>
      <c r="X2" s="1255"/>
      <c r="Y2" s="1255"/>
      <c r="Z2" s="1255"/>
    </row>
    <row r="3" spans="2:26" ht="15" customHeight="1">
      <c r="B3" s="1256" t="s">
        <v>219</v>
      </c>
      <c r="C3" s="1256"/>
      <c r="D3" s="1256"/>
      <c r="E3" s="1256"/>
      <c r="F3" s="1256"/>
      <c r="G3" s="1256"/>
      <c r="H3" s="1256"/>
      <c r="I3" s="1256"/>
      <c r="J3" s="1256"/>
      <c r="K3" s="1256"/>
      <c r="L3" s="1256"/>
      <c r="M3" s="1256"/>
      <c r="N3" s="1256"/>
      <c r="O3" s="1256"/>
      <c r="P3" s="1256"/>
      <c r="Q3" s="1256"/>
      <c r="R3" s="1256"/>
      <c r="S3" s="1256"/>
      <c r="T3" s="1256"/>
      <c r="U3" s="1256"/>
      <c r="V3" s="1256"/>
      <c r="W3" s="1256"/>
      <c r="X3" s="1256"/>
      <c r="Y3" s="1256"/>
      <c r="Z3" s="1256"/>
    </row>
    <row r="4" spans="2:25" ht="12" customHeight="1">
      <c r="B4" s="108"/>
      <c r="C4" s="185"/>
      <c r="D4" s="185"/>
      <c r="E4" s="185"/>
      <c r="F4" s="185"/>
      <c r="G4" s="185"/>
      <c r="H4" s="185"/>
      <c r="J4" s="204"/>
      <c r="K4" s="204"/>
      <c r="L4" s="204"/>
      <c r="M4" s="133"/>
      <c r="R4" s="133" t="s">
        <v>239</v>
      </c>
      <c r="S4" s="133"/>
      <c r="T4" s="133"/>
      <c r="U4" s="133"/>
      <c r="V4" s="133"/>
      <c r="W4" s="133"/>
      <c r="X4" s="133"/>
      <c r="Y4" s="134"/>
    </row>
    <row r="5" spans="2:26" ht="19.5" customHeight="1">
      <c r="B5" s="108"/>
      <c r="C5" s="98">
        <v>1995</v>
      </c>
      <c r="D5" s="99">
        <v>1996</v>
      </c>
      <c r="E5" s="99">
        <v>1997</v>
      </c>
      <c r="F5" s="99">
        <v>1998</v>
      </c>
      <c r="G5" s="99">
        <v>1999</v>
      </c>
      <c r="H5" s="99">
        <v>2000</v>
      </c>
      <c r="I5" s="99">
        <v>2001</v>
      </c>
      <c r="J5" s="99">
        <v>2002</v>
      </c>
      <c r="K5" s="99">
        <v>2003</v>
      </c>
      <c r="L5" s="99">
        <v>2004</v>
      </c>
      <c r="M5" s="99">
        <v>2005</v>
      </c>
      <c r="N5" s="99">
        <v>2006</v>
      </c>
      <c r="O5" s="99">
        <v>2007</v>
      </c>
      <c r="P5" s="99">
        <v>2008</v>
      </c>
      <c r="Q5" s="99">
        <v>2009</v>
      </c>
      <c r="R5" s="99">
        <v>2010</v>
      </c>
      <c r="S5" s="99">
        <v>2011</v>
      </c>
      <c r="T5" s="99">
        <v>2012</v>
      </c>
      <c r="U5" s="99">
        <v>2013</v>
      </c>
      <c r="V5" s="99">
        <v>2014</v>
      </c>
      <c r="W5" s="99">
        <v>2015</v>
      </c>
      <c r="X5" s="107" t="s">
        <v>331</v>
      </c>
      <c r="Y5" s="150"/>
      <c r="Z5" s="150"/>
    </row>
    <row r="6" spans="2:26" ht="9.75" customHeight="1">
      <c r="B6" s="108"/>
      <c r="C6" s="110"/>
      <c r="D6" s="112"/>
      <c r="E6" s="112"/>
      <c r="F6" s="112"/>
      <c r="G6" s="112"/>
      <c r="H6" s="112"/>
      <c r="I6" s="112"/>
      <c r="J6" s="112"/>
      <c r="K6" s="112"/>
      <c r="L6" s="112"/>
      <c r="M6" s="112"/>
      <c r="N6" s="112"/>
      <c r="O6" s="112"/>
      <c r="P6" s="112"/>
      <c r="Q6" s="112"/>
      <c r="R6" s="112"/>
      <c r="S6" s="112"/>
      <c r="T6" s="112"/>
      <c r="U6" s="112"/>
      <c r="V6" s="112"/>
      <c r="W6" s="112"/>
      <c r="X6" s="135" t="s">
        <v>147</v>
      </c>
      <c r="Y6" s="205"/>
      <c r="Z6" s="150"/>
    </row>
    <row r="7" spans="2:26" ht="12.75" customHeight="1">
      <c r="B7" s="113" t="s">
        <v>250</v>
      </c>
      <c r="C7" s="281">
        <v>1288.66</v>
      </c>
      <c r="D7" s="282">
        <v>1302.5789999999997</v>
      </c>
      <c r="E7" s="282">
        <v>1351.678</v>
      </c>
      <c r="F7" s="282">
        <v>1414.2039999999997</v>
      </c>
      <c r="G7" s="282">
        <v>1460.6219999999998</v>
      </c>
      <c r="H7" s="282">
        <v>1509.488</v>
      </c>
      <c r="I7" s="282">
        <v>1552.5170000000003</v>
      </c>
      <c r="J7" s="282">
        <v>1602.835</v>
      </c>
      <c r="K7" s="282">
        <v>1607.683</v>
      </c>
      <c r="L7" s="282">
        <v>1750.92</v>
      </c>
      <c r="M7" s="282">
        <v>1225.8260000000002</v>
      </c>
      <c r="N7" s="282">
        <v>1857.7469999999998</v>
      </c>
      <c r="O7" s="282">
        <v>1924.9579999999996</v>
      </c>
      <c r="P7" s="282">
        <v>1891.1260000000002</v>
      </c>
      <c r="Q7" s="282">
        <v>1699.7570000000003</v>
      </c>
      <c r="R7" s="282">
        <v>1756.3639999999998</v>
      </c>
      <c r="S7" s="282">
        <v>1745.6840000000002</v>
      </c>
      <c r="T7" s="282">
        <v>1694.862</v>
      </c>
      <c r="U7" s="282">
        <v>1721.3450000000003</v>
      </c>
      <c r="V7" s="282">
        <v>1726.9309999999998</v>
      </c>
      <c r="W7" s="282">
        <v>1768.1589999999999</v>
      </c>
      <c r="X7" s="242">
        <v>2.3873565301682618</v>
      </c>
      <c r="Y7" s="113" t="s">
        <v>250</v>
      </c>
      <c r="Z7" s="283"/>
    </row>
    <row r="8" spans="1:26" ht="12.75" customHeight="1">
      <c r="A8" s="104"/>
      <c r="B8" s="114" t="s">
        <v>89</v>
      </c>
      <c r="C8" s="284">
        <v>1138.231</v>
      </c>
      <c r="D8" s="285">
        <v>1147.34</v>
      </c>
      <c r="E8" s="285">
        <v>1183.0330000000001</v>
      </c>
      <c r="F8" s="285">
        <v>1233.762</v>
      </c>
      <c r="G8" s="285">
        <v>1272.581</v>
      </c>
      <c r="H8" s="285">
        <v>1316.793</v>
      </c>
      <c r="I8" s="285">
        <v>1343.646</v>
      </c>
      <c r="J8" s="285">
        <v>1374.9560000000001</v>
      </c>
      <c r="K8" s="286">
        <v>1360.677</v>
      </c>
      <c r="L8" s="286">
        <v>1469.8320000000003</v>
      </c>
      <c r="M8" s="286">
        <v>1092.8690000000001</v>
      </c>
      <c r="N8" s="286">
        <v>1497.1750000000002</v>
      </c>
      <c r="O8" s="286">
        <v>1523.239</v>
      </c>
      <c r="P8" s="286">
        <v>1469.598</v>
      </c>
      <c r="Q8" s="286">
        <v>1302.358</v>
      </c>
      <c r="R8" s="286">
        <v>1333.9560000000001</v>
      </c>
      <c r="S8" s="286">
        <v>1305.8210000000001</v>
      </c>
      <c r="T8" s="286">
        <v>1236.738</v>
      </c>
      <c r="U8" s="286">
        <v>1220.7079999999999</v>
      </c>
      <c r="V8" s="286">
        <v>1215.554</v>
      </c>
      <c r="W8" s="286">
        <v>1230.434</v>
      </c>
      <c r="X8" s="243">
        <v>1.224133193589097</v>
      </c>
      <c r="Y8" s="114" t="s">
        <v>89</v>
      </c>
      <c r="Z8" s="283"/>
    </row>
    <row r="9" spans="1:26" ht="12.75" customHeight="1">
      <c r="A9" s="104"/>
      <c r="B9" s="115" t="s">
        <v>251</v>
      </c>
      <c r="C9" s="287">
        <v>150.4290000000001</v>
      </c>
      <c r="D9" s="288">
        <v>155.2389999999998</v>
      </c>
      <c r="E9" s="288">
        <v>168.64499999999998</v>
      </c>
      <c r="F9" s="288">
        <v>180.44199999999978</v>
      </c>
      <c r="G9" s="288">
        <v>188.04099999999994</v>
      </c>
      <c r="H9" s="288">
        <v>192.69500000000016</v>
      </c>
      <c r="I9" s="288">
        <v>208.87100000000032</v>
      </c>
      <c r="J9" s="288">
        <v>227.8789999999999</v>
      </c>
      <c r="K9" s="288">
        <v>247.00600000000009</v>
      </c>
      <c r="L9" s="288">
        <v>281.08799999999974</v>
      </c>
      <c r="M9" s="288">
        <v>132.957</v>
      </c>
      <c r="N9" s="288">
        <v>360.57199999999966</v>
      </c>
      <c r="O9" s="288">
        <v>401.7189999999996</v>
      </c>
      <c r="P9" s="288">
        <v>421.52800000000025</v>
      </c>
      <c r="Q9" s="288">
        <v>397.39900000000034</v>
      </c>
      <c r="R9" s="288">
        <v>422.4079999999997</v>
      </c>
      <c r="S9" s="288">
        <v>439.86300000000006</v>
      </c>
      <c r="T9" s="288">
        <v>458.124</v>
      </c>
      <c r="U9" s="288">
        <v>500.6370000000004</v>
      </c>
      <c r="V9" s="288">
        <v>511.3769999999997</v>
      </c>
      <c r="W9" s="288">
        <v>537.7249999999999</v>
      </c>
      <c r="X9" s="244">
        <v>5.152363129354697</v>
      </c>
      <c r="Y9" s="115" t="s">
        <v>251</v>
      </c>
      <c r="Z9" s="283"/>
    </row>
    <row r="10" spans="1:26" ht="12.75" customHeight="1">
      <c r="A10" s="104"/>
      <c r="B10" s="114" t="s">
        <v>81</v>
      </c>
      <c r="C10" s="195">
        <v>26.5</v>
      </c>
      <c r="D10" s="125">
        <v>27.8</v>
      </c>
      <c r="E10" s="125">
        <v>28.6</v>
      </c>
      <c r="F10" s="125">
        <v>30.3</v>
      </c>
      <c r="G10" s="144">
        <v>33.982</v>
      </c>
      <c r="H10" s="125">
        <v>35.122</v>
      </c>
      <c r="I10" s="125">
        <v>37.532</v>
      </c>
      <c r="J10" s="125">
        <v>38.498</v>
      </c>
      <c r="K10" s="125">
        <v>39.557</v>
      </c>
      <c r="L10" s="125">
        <v>39.186</v>
      </c>
      <c r="M10" s="125">
        <v>19.283</v>
      </c>
      <c r="N10" s="124">
        <v>39.187</v>
      </c>
      <c r="O10" s="124">
        <v>37.402</v>
      </c>
      <c r="P10" s="124">
        <v>34.313</v>
      </c>
      <c r="Q10" s="124">
        <v>29.075</v>
      </c>
      <c r="R10" s="124">
        <v>28.659</v>
      </c>
      <c r="S10" s="294">
        <v>28.542</v>
      </c>
      <c r="T10" s="294">
        <v>26.089</v>
      </c>
      <c r="U10" s="294">
        <v>24.213</v>
      </c>
      <c r="V10" s="124">
        <v>24.299</v>
      </c>
      <c r="W10" s="124">
        <v>24.436</v>
      </c>
      <c r="X10" s="246">
        <v>0.5638092102555561</v>
      </c>
      <c r="Y10" s="114" t="s">
        <v>81</v>
      </c>
      <c r="Z10" s="283"/>
    </row>
    <row r="11" spans="1:26" ht="12.75" customHeight="1">
      <c r="A11" s="104"/>
      <c r="B11" s="100" t="s">
        <v>60</v>
      </c>
      <c r="C11" s="138">
        <v>45.6</v>
      </c>
      <c r="D11" s="128">
        <v>41.8</v>
      </c>
      <c r="E11" s="128">
        <v>43.7</v>
      </c>
      <c r="F11" s="128">
        <v>41.1</v>
      </c>
      <c r="G11" s="126">
        <v>37.284</v>
      </c>
      <c r="H11" s="128">
        <v>51.047</v>
      </c>
      <c r="I11" s="128">
        <v>53.182</v>
      </c>
      <c r="J11" s="128">
        <v>52.889</v>
      </c>
      <c r="K11" s="128">
        <v>50.542</v>
      </c>
      <c r="L11" s="128">
        <v>47.878</v>
      </c>
      <c r="M11" s="128">
        <v>5.045</v>
      </c>
      <c r="N11" s="125">
        <v>43.017</v>
      </c>
      <c r="O11" s="125">
        <v>42.085</v>
      </c>
      <c r="P11" s="125">
        <v>38.356</v>
      </c>
      <c r="Q11" s="125">
        <v>36.174</v>
      </c>
      <c r="R11" s="125">
        <v>35.002</v>
      </c>
      <c r="S11" s="196">
        <v>33.107</v>
      </c>
      <c r="T11" s="196">
        <v>32.105</v>
      </c>
      <c r="U11" s="196">
        <v>32.796</v>
      </c>
      <c r="V11" s="125">
        <v>31.808</v>
      </c>
      <c r="W11" s="125">
        <v>31.729</v>
      </c>
      <c r="X11" s="155">
        <v>-0.24836519114688826</v>
      </c>
      <c r="Y11" s="114" t="s">
        <v>60</v>
      </c>
      <c r="Z11" s="283"/>
    </row>
    <row r="12" spans="1:26" ht="12.75" customHeight="1">
      <c r="A12" s="104"/>
      <c r="B12" s="114" t="s">
        <v>101</v>
      </c>
      <c r="C12" s="195">
        <v>5.2</v>
      </c>
      <c r="D12" s="125">
        <v>5.4</v>
      </c>
      <c r="E12" s="125">
        <v>5.6</v>
      </c>
      <c r="F12" s="125">
        <v>5.8</v>
      </c>
      <c r="G12" s="125">
        <v>6</v>
      </c>
      <c r="H12" s="125">
        <v>6.404</v>
      </c>
      <c r="I12" s="125">
        <v>8.047</v>
      </c>
      <c r="J12" s="125">
        <v>8.804</v>
      </c>
      <c r="K12" s="125">
        <v>9.497</v>
      </c>
      <c r="L12" s="125">
        <v>11.961</v>
      </c>
      <c r="M12" s="125">
        <v>15.518</v>
      </c>
      <c r="N12" s="128">
        <v>13.765</v>
      </c>
      <c r="O12" s="128">
        <v>14.624</v>
      </c>
      <c r="P12" s="128">
        <v>15.322</v>
      </c>
      <c r="Q12" s="128">
        <v>17.742</v>
      </c>
      <c r="R12" s="128">
        <v>19.433</v>
      </c>
      <c r="S12" s="128">
        <v>21.214</v>
      </c>
      <c r="T12" s="128">
        <v>24.372</v>
      </c>
      <c r="U12" s="128">
        <v>27.097</v>
      </c>
      <c r="V12" s="128">
        <v>27.854</v>
      </c>
      <c r="W12" s="128">
        <v>32.297</v>
      </c>
      <c r="X12" s="156">
        <v>15.951030372657414</v>
      </c>
      <c r="Y12" s="100" t="s">
        <v>101</v>
      </c>
      <c r="Z12" s="283"/>
    </row>
    <row r="13" spans="1:26" ht="12.75" customHeight="1">
      <c r="A13" s="104"/>
      <c r="B13" s="100" t="s">
        <v>71</v>
      </c>
      <c r="C13" s="141">
        <v>1.2</v>
      </c>
      <c r="D13" s="126">
        <v>1.23</v>
      </c>
      <c r="E13" s="126">
        <v>1.25</v>
      </c>
      <c r="F13" s="126">
        <v>1.29</v>
      </c>
      <c r="G13" s="126">
        <v>1.3</v>
      </c>
      <c r="H13" s="126">
        <v>1.31</v>
      </c>
      <c r="I13" s="126">
        <v>1.32</v>
      </c>
      <c r="J13" s="126">
        <v>1.322</v>
      </c>
      <c r="K13" s="126">
        <v>1.401</v>
      </c>
      <c r="L13" s="126">
        <v>1.119</v>
      </c>
      <c r="M13" s="126">
        <v>11.058</v>
      </c>
      <c r="N13" s="126">
        <v>1.165</v>
      </c>
      <c r="O13" s="126">
        <v>1.202</v>
      </c>
      <c r="P13" s="126">
        <v>1.308</v>
      </c>
      <c r="Q13" s="126">
        <v>0.963</v>
      </c>
      <c r="R13" s="126">
        <v>1.087</v>
      </c>
      <c r="S13" s="126">
        <v>0.941</v>
      </c>
      <c r="T13" s="126">
        <v>0.896</v>
      </c>
      <c r="U13" s="126">
        <v>0.634</v>
      </c>
      <c r="V13" s="126">
        <v>0.538</v>
      </c>
      <c r="W13" s="126">
        <v>0.563</v>
      </c>
      <c r="X13" s="156">
        <v>4.646840148698871</v>
      </c>
      <c r="Y13" s="100" t="s">
        <v>71</v>
      </c>
      <c r="Z13" s="283"/>
    </row>
    <row r="14" spans="1:26" ht="12.75" customHeight="1">
      <c r="A14" s="104"/>
      <c r="B14" s="100" t="s">
        <v>61</v>
      </c>
      <c r="C14" s="141">
        <v>31.3</v>
      </c>
      <c r="D14" s="126">
        <v>30.1</v>
      </c>
      <c r="E14" s="126">
        <v>30.64</v>
      </c>
      <c r="F14" s="126">
        <v>33.911</v>
      </c>
      <c r="G14" s="126">
        <v>36.964</v>
      </c>
      <c r="H14" s="126">
        <v>37.31</v>
      </c>
      <c r="I14" s="126">
        <v>39.067</v>
      </c>
      <c r="J14" s="126">
        <v>43.674</v>
      </c>
      <c r="K14" s="126">
        <v>46.535</v>
      </c>
      <c r="L14" s="126">
        <v>46.011</v>
      </c>
      <c r="M14" s="126">
        <v>237.617</v>
      </c>
      <c r="N14" s="125">
        <v>50.376</v>
      </c>
      <c r="O14" s="125">
        <v>48.141</v>
      </c>
      <c r="P14" s="125">
        <v>50.877</v>
      </c>
      <c r="Q14" s="125">
        <v>44.955</v>
      </c>
      <c r="R14" s="125">
        <v>51.832</v>
      </c>
      <c r="S14" s="125">
        <v>54.83</v>
      </c>
      <c r="T14" s="125">
        <v>51.228</v>
      </c>
      <c r="U14" s="125">
        <v>54.893</v>
      </c>
      <c r="V14" s="125">
        <v>54.092</v>
      </c>
      <c r="W14" s="125">
        <v>57.2</v>
      </c>
      <c r="X14" s="155">
        <v>5.74576647193669</v>
      </c>
      <c r="Y14" s="114" t="s">
        <v>61</v>
      </c>
      <c r="Z14" s="283"/>
    </row>
    <row r="15" spans="1:26" ht="12.75" customHeight="1">
      <c r="A15" s="104"/>
      <c r="B15" s="100" t="s">
        <v>63</v>
      </c>
      <c r="C15" s="141">
        <v>237.8</v>
      </c>
      <c r="D15" s="126">
        <v>236.6</v>
      </c>
      <c r="E15" s="126">
        <v>245.9</v>
      </c>
      <c r="F15" s="126">
        <v>257.4</v>
      </c>
      <c r="G15" s="126">
        <v>278.427</v>
      </c>
      <c r="H15" s="126">
        <v>280.708</v>
      </c>
      <c r="I15" s="126">
        <v>288.964</v>
      </c>
      <c r="J15" s="142">
        <v>285.214</v>
      </c>
      <c r="K15" s="126">
        <v>290.745</v>
      </c>
      <c r="L15" s="126">
        <v>303.752</v>
      </c>
      <c r="M15" s="126">
        <v>1.847</v>
      </c>
      <c r="N15" s="126">
        <v>330.016</v>
      </c>
      <c r="O15" s="126">
        <v>343.447</v>
      </c>
      <c r="P15" s="126">
        <v>341.532</v>
      </c>
      <c r="Q15" s="126">
        <v>307.547</v>
      </c>
      <c r="R15" s="126">
        <v>313.104</v>
      </c>
      <c r="S15" s="126">
        <v>323.833</v>
      </c>
      <c r="T15" s="126">
        <v>307.009</v>
      </c>
      <c r="U15" s="126">
        <v>305.744</v>
      </c>
      <c r="V15" s="126">
        <v>310.142</v>
      </c>
      <c r="W15" s="126">
        <v>314.816</v>
      </c>
      <c r="X15" s="156">
        <v>1.5070516086179708</v>
      </c>
      <c r="Y15" s="100" t="s">
        <v>63</v>
      </c>
      <c r="Z15" s="283"/>
    </row>
    <row r="16" spans="1:26" ht="12.75" customHeight="1">
      <c r="A16" s="104"/>
      <c r="B16" s="114" t="s">
        <v>14</v>
      </c>
      <c r="C16" s="195">
        <v>22.4</v>
      </c>
      <c r="D16" s="125">
        <v>21.3</v>
      </c>
      <c r="E16" s="125">
        <v>21.5</v>
      </c>
      <c r="F16" s="125">
        <v>21.4</v>
      </c>
      <c r="G16" s="125">
        <v>23.236</v>
      </c>
      <c r="H16" s="125">
        <v>24.021</v>
      </c>
      <c r="I16" s="125">
        <v>22.156</v>
      </c>
      <c r="J16" s="125">
        <v>22.516</v>
      </c>
      <c r="K16" s="125">
        <v>23.009</v>
      </c>
      <c r="L16" s="125">
        <v>23.114</v>
      </c>
      <c r="M16" s="125">
        <v>13.983</v>
      </c>
      <c r="N16" s="126">
        <v>21.254</v>
      </c>
      <c r="O16" s="126">
        <v>20.96</v>
      </c>
      <c r="P16" s="126">
        <v>19.48</v>
      </c>
      <c r="Q16" s="126">
        <v>16.876</v>
      </c>
      <c r="R16" s="126">
        <v>15.018</v>
      </c>
      <c r="S16" s="126">
        <v>16.12</v>
      </c>
      <c r="T16" s="126">
        <v>16.679</v>
      </c>
      <c r="U16" s="126">
        <v>16.072</v>
      </c>
      <c r="V16" s="126">
        <v>16.184</v>
      </c>
      <c r="W16" s="126">
        <v>15.5</v>
      </c>
      <c r="X16" s="156">
        <v>-4.226396440929321</v>
      </c>
      <c r="Y16" s="100" t="s">
        <v>14</v>
      </c>
      <c r="Z16" s="283"/>
    </row>
    <row r="17" spans="1:26" ht="12.75" customHeight="1">
      <c r="A17" s="104"/>
      <c r="B17" s="114" t="s">
        <v>64</v>
      </c>
      <c r="C17" s="195">
        <v>1.549</v>
      </c>
      <c r="D17" s="125">
        <v>1.897</v>
      </c>
      <c r="E17" s="125">
        <v>2.773</v>
      </c>
      <c r="F17" s="125">
        <v>3.791</v>
      </c>
      <c r="G17" s="125">
        <v>3.975</v>
      </c>
      <c r="H17" s="125">
        <v>3.932</v>
      </c>
      <c r="I17" s="125">
        <v>4.677</v>
      </c>
      <c r="J17" s="125">
        <v>4.387</v>
      </c>
      <c r="K17" s="146">
        <v>3.974</v>
      </c>
      <c r="L17" s="125">
        <v>5.099</v>
      </c>
      <c r="M17" s="125">
        <v>19.61</v>
      </c>
      <c r="N17" s="126">
        <v>5.548</v>
      </c>
      <c r="O17" s="126">
        <v>6.417</v>
      </c>
      <c r="P17" s="126">
        <v>7.354</v>
      </c>
      <c r="Q17" s="126">
        <v>5.34</v>
      </c>
      <c r="R17" s="126">
        <v>5.614</v>
      </c>
      <c r="S17" s="126">
        <v>5.912</v>
      </c>
      <c r="T17" s="126">
        <v>5.791</v>
      </c>
      <c r="U17" s="126">
        <v>5.986</v>
      </c>
      <c r="V17" s="126">
        <v>6.31</v>
      </c>
      <c r="W17" s="126">
        <v>6.263</v>
      </c>
      <c r="X17" s="156">
        <v>-0.7448494453248742</v>
      </c>
      <c r="Y17" s="100" t="s">
        <v>64</v>
      </c>
      <c r="Z17" s="283"/>
    </row>
    <row r="18" spans="1:26" ht="12.75" customHeight="1">
      <c r="A18" s="104"/>
      <c r="B18" s="114" t="s">
        <v>15</v>
      </c>
      <c r="C18" s="245">
        <v>24</v>
      </c>
      <c r="D18" s="124">
        <v>25.05</v>
      </c>
      <c r="E18" s="124">
        <v>26.12</v>
      </c>
      <c r="F18" s="124">
        <v>27.2</v>
      </c>
      <c r="G18" s="124">
        <v>28.1</v>
      </c>
      <c r="H18" s="124">
        <v>29</v>
      </c>
      <c r="I18" s="124">
        <v>30</v>
      </c>
      <c r="J18" s="124">
        <v>31</v>
      </c>
      <c r="K18" s="125">
        <v>19.34</v>
      </c>
      <c r="L18" s="125">
        <v>36.773</v>
      </c>
      <c r="M18" s="125">
        <v>166.386</v>
      </c>
      <c r="N18" s="125">
        <v>34.002</v>
      </c>
      <c r="O18" s="125">
        <v>27.791</v>
      </c>
      <c r="P18" s="125">
        <v>28.85</v>
      </c>
      <c r="Q18" s="125">
        <v>28.585</v>
      </c>
      <c r="R18" s="125">
        <v>29.815</v>
      </c>
      <c r="S18" s="125">
        <v>20.597</v>
      </c>
      <c r="T18" s="125">
        <v>20.839</v>
      </c>
      <c r="U18" s="125">
        <v>18.97</v>
      </c>
      <c r="V18" s="125">
        <v>19.223</v>
      </c>
      <c r="W18" s="125">
        <v>19.764</v>
      </c>
      <c r="X18" s="155">
        <v>2.8143369921448453</v>
      </c>
      <c r="Y18" s="114" t="s">
        <v>15</v>
      </c>
      <c r="Z18" s="283"/>
    </row>
    <row r="19" spans="1:26" ht="12.75" customHeight="1">
      <c r="A19" s="104"/>
      <c r="B19" s="100" t="s">
        <v>66</v>
      </c>
      <c r="C19" s="138">
        <v>101.6</v>
      </c>
      <c r="D19" s="128">
        <v>102</v>
      </c>
      <c r="E19" s="128">
        <v>109.5</v>
      </c>
      <c r="F19" s="128">
        <v>125</v>
      </c>
      <c r="G19" s="128">
        <v>134.262</v>
      </c>
      <c r="H19" s="128">
        <v>148.717</v>
      </c>
      <c r="I19" s="128">
        <v>161.045</v>
      </c>
      <c r="J19" s="128">
        <v>184.549</v>
      </c>
      <c r="K19" s="128">
        <v>192.596</v>
      </c>
      <c r="L19" s="128">
        <v>220.822</v>
      </c>
      <c r="M19" s="128">
        <v>177.331</v>
      </c>
      <c r="N19" s="125">
        <v>241.788</v>
      </c>
      <c r="O19" s="125">
        <v>258.875</v>
      </c>
      <c r="P19" s="125">
        <v>242.983</v>
      </c>
      <c r="Q19" s="125">
        <v>211.895</v>
      </c>
      <c r="R19" s="125">
        <v>210.068</v>
      </c>
      <c r="S19" s="125">
        <v>206.843</v>
      </c>
      <c r="T19" s="125">
        <v>199.209</v>
      </c>
      <c r="U19" s="125">
        <v>192.597</v>
      </c>
      <c r="V19" s="125">
        <v>195.767</v>
      </c>
      <c r="W19" s="160">
        <v>209.39</v>
      </c>
      <c r="X19" s="155">
        <v>6.958782634458302</v>
      </c>
      <c r="Y19" s="114" t="s">
        <v>66</v>
      </c>
      <c r="Z19" s="283"/>
    </row>
    <row r="20" spans="1:26" ht="12.75" customHeight="1">
      <c r="A20" s="104"/>
      <c r="B20" s="114" t="s">
        <v>87</v>
      </c>
      <c r="C20" s="195">
        <v>24.5</v>
      </c>
      <c r="D20" s="125">
        <v>25</v>
      </c>
      <c r="E20" s="125">
        <v>25.7</v>
      </c>
      <c r="F20" s="125">
        <v>28.1</v>
      </c>
      <c r="G20" s="125">
        <v>29.656</v>
      </c>
      <c r="H20" s="125">
        <v>31.975</v>
      </c>
      <c r="I20" s="125">
        <v>30.478</v>
      </c>
      <c r="J20" s="125">
        <v>31.967</v>
      </c>
      <c r="K20" s="125">
        <v>30.926</v>
      </c>
      <c r="L20" s="125">
        <v>32.29</v>
      </c>
      <c r="M20" s="125">
        <v>4.387</v>
      </c>
      <c r="N20" s="125">
        <v>29.715</v>
      </c>
      <c r="O20" s="125">
        <v>29.819</v>
      </c>
      <c r="P20" s="125">
        <v>31.036</v>
      </c>
      <c r="Q20" s="125">
        <v>27.805</v>
      </c>
      <c r="R20" s="125">
        <v>29.532</v>
      </c>
      <c r="S20" s="125">
        <v>26.863</v>
      </c>
      <c r="T20" s="125">
        <v>25.46</v>
      </c>
      <c r="U20" s="125">
        <v>24.429</v>
      </c>
      <c r="V20" s="125">
        <v>23.401</v>
      </c>
      <c r="W20" s="160">
        <v>24.488</v>
      </c>
      <c r="X20" s="155">
        <v>4.645100636724919</v>
      </c>
      <c r="Y20" s="114" t="s">
        <v>87</v>
      </c>
      <c r="Z20" s="283"/>
    </row>
    <row r="21" spans="1:26" ht="12.75" customHeight="1">
      <c r="A21" s="104"/>
      <c r="B21" s="114" t="s">
        <v>67</v>
      </c>
      <c r="C21" s="195">
        <v>178.2</v>
      </c>
      <c r="D21" s="125">
        <v>180</v>
      </c>
      <c r="E21" s="125">
        <v>181.4</v>
      </c>
      <c r="F21" s="125">
        <v>189.1</v>
      </c>
      <c r="G21" s="125">
        <v>204.713</v>
      </c>
      <c r="H21" s="125">
        <v>203.999</v>
      </c>
      <c r="I21" s="125">
        <v>206.87</v>
      </c>
      <c r="J21" s="125">
        <v>204.359</v>
      </c>
      <c r="K21" s="125">
        <v>203.608</v>
      </c>
      <c r="L21" s="125">
        <v>212.201</v>
      </c>
      <c r="M21" s="125">
        <v>171.587</v>
      </c>
      <c r="N21" s="128">
        <v>211.445</v>
      </c>
      <c r="O21" s="128">
        <v>219.212</v>
      </c>
      <c r="P21" s="128">
        <v>206.304</v>
      </c>
      <c r="Q21" s="128">
        <v>173.621</v>
      </c>
      <c r="R21" s="128">
        <v>182.193</v>
      </c>
      <c r="S21" s="128">
        <v>185.685</v>
      </c>
      <c r="T21" s="128">
        <v>172.445</v>
      </c>
      <c r="U21" s="128">
        <v>171.472</v>
      </c>
      <c r="V21" s="128">
        <v>165.225</v>
      </c>
      <c r="W21" s="129">
        <v>153.58</v>
      </c>
      <c r="X21" s="156">
        <v>-7.047964896353449</v>
      </c>
      <c r="Y21" s="100" t="s">
        <v>67</v>
      </c>
      <c r="Z21" s="283"/>
    </row>
    <row r="22" spans="1:26" ht="12.75" customHeight="1">
      <c r="A22" s="104"/>
      <c r="B22" s="100" t="s">
        <v>148</v>
      </c>
      <c r="C22" s="141"/>
      <c r="D22" s="126"/>
      <c r="E22" s="126"/>
      <c r="F22" s="127"/>
      <c r="G22" s="126">
        <v>2.424</v>
      </c>
      <c r="H22" s="126">
        <v>2.856</v>
      </c>
      <c r="I22" s="126">
        <v>6.7829999999999995</v>
      </c>
      <c r="J22" s="126">
        <v>7.413</v>
      </c>
      <c r="K22" s="126">
        <v>8.241</v>
      </c>
      <c r="L22" s="126">
        <v>8.818999999999999</v>
      </c>
      <c r="M22" s="126">
        <v>1.374</v>
      </c>
      <c r="N22" s="125">
        <v>10.175</v>
      </c>
      <c r="O22" s="125">
        <v>10.502</v>
      </c>
      <c r="P22" s="125">
        <v>11.042</v>
      </c>
      <c r="Q22" s="125">
        <v>9.426</v>
      </c>
      <c r="R22" s="125">
        <v>8.78</v>
      </c>
      <c r="S22" s="125">
        <v>8.926</v>
      </c>
      <c r="T22" s="125">
        <v>8.649</v>
      </c>
      <c r="U22" s="125">
        <v>9.133</v>
      </c>
      <c r="V22" s="125">
        <v>9.381</v>
      </c>
      <c r="W22" s="160">
        <v>10.439</v>
      </c>
      <c r="X22" s="155">
        <v>11.278115339516035</v>
      </c>
      <c r="Y22" s="114" t="s">
        <v>148</v>
      </c>
      <c r="Z22" s="283"/>
    </row>
    <row r="23" spans="1:26" ht="12.75" customHeight="1">
      <c r="A23" s="104"/>
      <c r="B23" s="100" t="s">
        <v>77</v>
      </c>
      <c r="C23" s="141">
        <v>13.8</v>
      </c>
      <c r="D23" s="126">
        <v>14.3</v>
      </c>
      <c r="E23" s="126">
        <v>14.9</v>
      </c>
      <c r="F23" s="126">
        <v>18.674</v>
      </c>
      <c r="G23" s="126">
        <v>18.599</v>
      </c>
      <c r="H23" s="126">
        <v>19.124</v>
      </c>
      <c r="I23" s="126">
        <v>18.486</v>
      </c>
      <c r="J23" s="126">
        <v>17.913</v>
      </c>
      <c r="K23" s="126">
        <v>18.208</v>
      </c>
      <c r="L23" s="126">
        <v>20.608</v>
      </c>
      <c r="M23" s="126">
        <v>2.734</v>
      </c>
      <c r="N23" s="126">
        <v>30.479</v>
      </c>
      <c r="O23" s="126">
        <v>35.805</v>
      </c>
      <c r="P23" s="126">
        <v>35.759</v>
      </c>
      <c r="Q23" s="126">
        <v>35.373</v>
      </c>
      <c r="R23" s="126">
        <v>33.721</v>
      </c>
      <c r="S23" s="126">
        <v>34.529</v>
      </c>
      <c r="T23" s="126">
        <v>33.736</v>
      </c>
      <c r="U23" s="126">
        <v>35.818</v>
      </c>
      <c r="V23" s="126">
        <v>37.517</v>
      </c>
      <c r="W23" s="159">
        <v>38.353</v>
      </c>
      <c r="X23" s="156">
        <v>2.228323160167392</v>
      </c>
      <c r="Y23" s="100" t="s">
        <v>77</v>
      </c>
      <c r="Z23" s="283"/>
    </row>
    <row r="24" spans="1:26" ht="12.75" customHeight="1">
      <c r="A24" s="104"/>
      <c r="B24" s="100" t="s">
        <v>68</v>
      </c>
      <c r="C24" s="138">
        <v>5.5</v>
      </c>
      <c r="D24" s="128">
        <v>6.3</v>
      </c>
      <c r="E24" s="128">
        <v>7</v>
      </c>
      <c r="F24" s="128">
        <v>8.2</v>
      </c>
      <c r="G24" s="128">
        <v>10.206</v>
      </c>
      <c r="H24" s="128">
        <v>12.275</v>
      </c>
      <c r="I24" s="128">
        <v>12.325</v>
      </c>
      <c r="J24" s="128">
        <v>14.275</v>
      </c>
      <c r="K24" s="128">
        <v>15.65</v>
      </c>
      <c r="L24" s="128">
        <v>17.144</v>
      </c>
      <c r="M24" s="128">
        <v>2.137</v>
      </c>
      <c r="N24" s="125">
        <v>17.454</v>
      </c>
      <c r="O24" s="125">
        <v>19.02</v>
      </c>
      <c r="P24" s="125">
        <v>17.402</v>
      </c>
      <c r="Q24" s="125">
        <v>11.687</v>
      </c>
      <c r="R24" s="125">
        <v>10.939</v>
      </c>
      <c r="S24" s="125">
        <v>10.108</v>
      </c>
      <c r="T24" s="125">
        <v>9.976</v>
      </c>
      <c r="U24" s="125">
        <v>9.215</v>
      </c>
      <c r="V24" s="125">
        <v>9.751</v>
      </c>
      <c r="W24" s="160">
        <v>9.9</v>
      </c>
      <c r="X24" s="155">
        <v>1.52804840529177</v>
      </c>
      <c r="Y24" s="114" t="s">
        <v>68</v>
      </c>
      <c r="Z24" s="283"/>
    </row>
    <row r="25" spans="1:26" ht="12.75" customHeight="1">
      <c r="A25" s="104"/>
      <c r="B25" s="114" t="s">
        <v>69</v>
      </c>
      <c r="C25" s="245">
        <v>174.431</v>
      </c>
      <c r="D25" s="124">
        <v>175.45</v>
      </c>
      <c r="E25" s="124">
        <v>178.353</v>
      </c>
      <c r="F25" s="124">
        <v>180.482</v>
      </c>
      <c r="G25" s="124">
        <v>177.291</v>
      </c>
      <c r="H25" s="124">
        <v>184.677</v>
      </c>
      <c r="I25" s="124">
        <v>186.513</v>
      </c>
      <c r="J25" s="125">
        <v>192.681</v>
      </c>
      <c r="K25" s="125">
        <v>174.088</v>
      </c>
      <c r="L25" s="125">
        <v>196.98</v>
      </c>
      <c r="M25" s="125">
        <v>0.494</v>
      </c>
      <c r="N25" s="125">
        <v>187.065</v>
      </c>
      <c r="O25" s="125">
        <v>179.411</v>
      </c>
      <c r="P25" s="125">
        <v>180.461</v>
      </c>
      <c r="Q25" s="125">
        <v>167.627</v>
      </c>
      <c r="R25" s="125">
        <v>175.775</v>
      </c>
      <c r="S25" s="125">
        <v>142.843</v>
      </c>
      <c r="T25" s="125">
        <v>124.015</v>
      </c>
      <c r="U25" s="125">
        <v>127.241</v>
      </c>
      <c r="V25" s="125">
        <v>117.813</v>
      </c>
      <c r="W25" s="160">
        <v>116.82</v>
      </c>
      <c r="X25" s="155">
        <v>-0.8428611443558935</v>
      </c>
      <c r="Y25" s="114" t="s">
        <v>69</v>
      </c>
      <c r="Z25" s="283"/>
    </row>
    <row r="26" spans="1:26" ht="12.75" customHeight="1">
      <c r="A26" s="104"/>
      <c r="B26" s="100" t="s">
        <v>73</v>
      </c>
      <c r="C26" s="141">
        <v>5.2</v>
      </c>
      <c r="D26" s="126">
        <v>4.191</v>
      </c>
      <c r="E26" s="126">
        <v>5.146</v>
      </c>
      <c r="F26" s="126">
        <v>5.611</v>
      </c>
      <c r="G26" s="126">
        <v>7.74</v>
      </c>
      <c r="H26" s="126">
        <v>7.769</v>
      </c>
      <c r="I26" s="126">
        <v>8.274</v>
      </c>
      <c r="J26" s="126">
        <v>10.709</v>
      </c>
      <c r="K26" s="126">
        <v>11.462</v>
      </c>
      <c r="L26" s="126">
        <v>12.279</v>
      </c>
      <c r="M26" s="126">
        <v>11.394</v>
      </c>
      <c r="N26" s="128">
        <v>18.134</v>
      </c>
      <c r="O26" s="128">
        <v>20.278</v>
      </c>
      <c r="P26" s="128">
        <v>20.419</v>
      </c>
      <c r="Q26" s="128">
        <v>17.757</v>
      </c>
      <c r="R26" s="128">
        <v>19.398</v>
      </c>
      <c r="S26" s="128">
        <v>21.512</v>
      </c>
      <c r="T26" s="128">
        <v>23.449</v>
      </c>
      <c r="U26" s="128">
        <v>26.338</v>
      </c>
      <c r="V26" s="128">
        <v>28.067</v>
      </c>
      <c r="W26" s="129">
        <v>26.485</v>
      </c>
      <c r="X26" s="156">
        <v>-5.636512630491325</v>
      </c>
      <c r="Y26" s="100" t="s">
        <v>73</v>
      </c>
      <c r="Z26" s="283"/>
    </row>
    <row r="27" spans="1:26" ht="12.75" customHeight="1">
      <c r="A27" s="104"/>
      <c r="B27" s="114" t="s">
        <v>76</v>
      </c>
      <c r="C27" s="195">
        <v>5.5</v>
      </c>
      <c r="D27" s="125">
        <v>3.5</v>
      </c>
      <c r="E27" s="125">
        <v>4.4</v>
      </c>
      <c r="F27" s="125">
        <v>5</v>
      </c>
      <c r="G27" s="125">
        <v>6.313</v>
      </c>
      <c r="H27" s="125">
        <v>7.609</v>
      </c>
      <c r="I27" s="125">
        <v>8.7</v>
      </c>
      <c r="J27" s="125">
        <v>9.179</v>
      </c>
      <c r="K27" s="125">
        <v>9.645</v>
      </c>
      <c r="L27" s="125">
        <v>9.575</v>
      </c>
      <c r="M27" s="125">
        <v>0.2</v>
      </c>
      <c r="N27" s="125">
        <v>8.807</v>
      </c>
      <c r="O27" s="125">
        <v>9.562</v>
      </c>
      <c r="P27" s="125">
        <v>8.965</v>
      </c>
      <c r="Q27" s="125">
        <v>8.4</v>
      </c>
      <c r="R27" s="125">
        <v>8.694</v>
      </c>
      <c r="S27" s="125">
        <v>8.835</v>
      </c>
      <c r="T27" s="125">
        <v>7.95</v>
      </c>
      <c r="U27" s="125">
        <v>8.606</v>
      </c>
      <c r="V27" s="125">
        <v>9.599</v>
      </c>
      <c r="W27" s="125">
        <v>8.85</v>
      </c>
      <c r="X27" s="155">
        <v>-7.802896135014066</v>
      </c>
      <c r="Y27" s="114" t="s">
        <v>76</v>
      </c>
      <c r="Z27" s="283"/>
    </row>
    <row r="28" spans="1:26" ht="12.75" customHeight="1">
      <c r="A28" s="104"/>
      <c r="B28" s="114" t="s">
        <v>72</v>
      </c>
      <c r="C28" s="195">
        <v>1.83</v>
      </c>
      <c r="D28" s="125">
        <v>2.208</v>
      </c>
      <c r="E28" s="125">
        <v>3.352</v>
      </c>
      <c r="F28" s="125">
        <v>4.108</v>
      </c>
      <c r="G28" s="125">
        <v>4.161</v>
      </c>
      <c r="H28" s="125">
        <v>4.789</v>
      </c>
      <c r="I28" s="125">
        <v>5.36</v>
      </c>
      <c r="J28" s="125">
        <v>6.2</v>
      </c>
      <c r="K28" s="125">
        <v>6.808</v>
      </c>
      <c r="L28" s="125">
        <v>7.381</v>
      </c>
      <c r="M28" s="125">
        <v>31.827</v>
      </c>
      <c r="N28" s="126">
        <v>10.753</v>
      </c>
      <c r="O28" s="126">
        <v>13.204</v>
      </c>
      <c r="P28" s="126">
        <v>12.344</v>
      </c>
      <c r="Q28" s="126">
        <v>8.115</v>
      </c>
      <c r="R28" s="126">
        <v>10.59</v>
      </c>
      <c r="S28" s="126">
        <v>12.131</v>
      </c>
      <c r="T28" s="126">
        <v>12.178</v>
      </c>
      <c r="U28" s="126">
        <v>12.816</v>
      </c>
      <c r="V28" s="126">
        <v>13.67</v>
      </c>
      <c r="W28" s="159">
        <v>14.69</v>
      </c>
      <c r="X28" s="156">
        <v>7.461594732991955</v>
      </c>
      <c r="Y28" s="100" t="s">
        <v>72</v>
      </c>
      <c r="Z28" s="283"/>
    </row>
    <row r="29" spans="1:26" ht="12.75" customHeight="1">
      <c r="A29" s="104"/>
      <c r="B29" s="114" t="s">
        <v>78</v>
      </c>
      <c r="C29" s="245">
        <v>0.25</v>
      </c>
      <c r="D29" s="124">
        <v>0.25</v>
      </c>
      <c r="E29" s="124">
        <v>0.25</v>
      </c>
      <c r="F29" s="124">
        <v>0.25</v>
      </c>
      <c r="G29" s="124">
        <v>0.25</v>
      </c>
      <c r="H29" s="124">
        <v>0.25</v>
      </c>
      <c r="I29" s="124">
        <v>0.25</v>
      </c>
      <c r="J29" s="124">
        <v>0.25</v>
      </c>
      <c r="K29" s="124">
        <v>0.25</v>
      </c>
      <c r="L29" s="124">
        <v>0.25</v>
      </c>
      <c r="M29" s="124">
        <v>12.514</v>
      </c>
      <c r="N29" s="125">
        <v>0.25</v>
      </c>
      <c r="O29" s="125">
        <v>0.25</v>
      </c>
      <c r="P29" s="125">
        <v>0.25</v>
      </c>
      <c r="Q29" s="125">
        <v>0.25</v>
      </c>
      <c r="R29" s="125">
        <v>0.25</v>
      </c>
      <c r="S29" s="125">
        <v>0.25</v>
      </c>
      <c r="T29" s="125">
        <v>0.25</v>
      </c>
      <c r="U29" s="125">
        <v>0.25</v>
      </c>
      <c r="V29" s="125">
        <v>0.25</v>
      </c>
      <c r="W29" s="160">
        <v>0.25</v>
      </c>
      <c r="X29" s="155">
        <v>0</v>
      </c>
      <c r="Y29" s="114" t="s">
        <v>78</v>
      </c>
      <c r="Z29" s="283"/>
    </row>
    <row r="30" spans="1:26" ht="12.75" customHeight="1">
      <c r="A30" s="104"/>
      <c r="B30" s="100" t="s">
        <v>16</v>
      </c>
      <c r="C30" s="141">
        <v>67.1</v>
      </c>
      <c r="D30" s="126">
        <v>69.4</v>
      </c>
      <c r="E30" s="126">
        <v>70.6</v>
      </c>
      <c r="F30" s="126">
        <v>78.5</v>
      </c>
      <c r="G30" s="126">
        <v>83.564</v>
      </c>
      <c r="H30" s="126">
        <v>79.565</v>
      </c>
      <c r="I30" s="126">
        <v>78.492</v>
      </c>
      <c r="J30" s="126">
        <v>77.418</v>
      </c>
      <c r="K30" s="126">
        <v>79.765</v>
      </c>
      <c r="L30" s="126">
        <v>89.695</v>
      </c>
      <c r="M30" s="126">
        <v>60.94</v>
      </c>
      <c r="N30" s="125">
        <v>83.193</v>
      </c>
      <c r="O30" s="125">
        <v>77.921</v>
      </c>
      <c r="P30" s="125">
        <v>78.159</v>
      </c>
      <c r="Q30" s="125">
        <v>72.675</v>
      </c>
      <c r="R30" s="125">
        <v>76.836</v>
      </c>
      <c r="S30" s="125">
        <v>75.543</v>
      </c>
      <c r="T30" s="125">
        <v>70.085</v>
      </c>
      <c r="U30" s="125">
        <v>72.081</v>
      </c>
      <c r="V30" s="125">
        <v>72.338</v>
      </c>
      <c r="W30" s="160">
        <v>68.9</v>
      </c>
      <c r="X30" s="155">
        <v>-4.752688766623336</v>
      </c>
      <c r="Y30" s="114" t="s">
        <v>16</v>
      </c>
      <c r="Z30" s="283"/>
    </row>
    <row r="31" spans="1:26" ht="12.75" customHeight="1">
      <c r="A31" s="104"/>
      <c r="B31" s="100" t="s">
        <v>80</v>
      </c>
      <c r="C31" s="247">
        <v>51.2</v>
      </c>
      <c r="D31" s="127">
        <v>56.513000000000005</v>
      </c>
      <c r="E31" s="127">
        <v>63.684</v>
      </c>
      <c r="F31" s="127">
        <v>69.542</v>
      </c>
      <c r="G31" s="306">
        <v>70.452</v>
      </c>
      <c r="H31" s="127">
        <v>75.023</v>
      </c>
      <c r="I31" s="127">
        <v>77.228</v>
      </c>
      <c r="J31" s="127">
        <v>80.318</v>
      </c>
      <c r="K31" s="127">
        <v>85.989</v>
      </c>
      <c r="L31" s="143">
        <v>102.807</v>
      </c>
      <c r="M31" s="126">
        <v>17.445</v>
      </c>
      <c r="N31" s="126">
        <v>128.315</v>
      </c>
      <c r="O31" s="126">
        <v>150.879</v>
      </c>
      <c r="P31" s="126">
        <v>164.93</v>
      </c>
      <c r="Q31" s="126">
        <v>180.742</v>
      </c>
      <c r="R31" s="126">
        <v>202.308</v>
      </c>
      <c r="S31" s="126">
        <v>207.651</v>
      </c>
      <c r="T31" s="126">
        <v>222.332</v>
      </c>
      <c r="U31" s="126">
        <v>247.594</v>
      </c>
      <c r="V31" s="126">
        <v>250.931</v>
      </c>
      <c r="W31" s="159">
        <v>260.713</v>
      </c>
      <c r="X31" s="156">
        <v>3.8982827948719034</v>
      </c>
      <c r="Y31" s="100" t="s">
        <v>80</v>
      </c>
      <c r="Z31" s="283"/>
    </row>
    <row r="32" spans="1:26" ht="12.75" customHeight="1">
      <c r="A32" s="104"/>
      <c r="B32" s="114" t="s">
        <v>92</v>
      </c>
      <c r="C32" s="195">
        <v>32</v>
      </c>
      <c r="D32" s="125">
        <v>33.64</v>
      </c>
      <c r="E32" s="125">
        <v>35.96</v>
      </c>
      <c r="F32" s="125">
        <v>36.68</v>
      </c>
      <c r="G32" s="125">
        <v>26.087</v>
      </c>
      <c r="H32" s="125">
        <v>26.836</v>
      </c>
      <c r="I32" s="125">
        <v>29.967</v>
      </c>
      <c r="J32" s="125">
        <v>29.724</v>
      </c>
      <c r="K32" s="125">
        <v>27.425</v>
      </c>
      <c r="L32" s="125">
        <v>40.819</v>
      </c>
      <c r="M32" s="125">
        <v>19.399</v>
      </c>
      <c r="N32" s="126">
        <v>44.835</v>
      </c>
      <c r="O32" s="126">
        <v>46.203</v>
      </c>
      <c r="P32" s="126">
        <v>39.091</v>
      </c>
      <c r="Q32" s="126">
        <v>35.808</v>
      </c>
      <c r="R32" s="126">
        <v>35.368</v>
      </c>
      <c r="S32" s="126">
        <v>36.453</v>
      </c>
      <c r="T32" s="126">
        <v>32.935</v>
      </c>
      <c r="U32" s="126">
        <v>36.555</v>
      </c>
      <c r="V32" s="126">
        <v>34.863</v>
      </c>
      <c r="W32" s="159">
        <v>31.835</v>
      </c>
      <c r="X32" s="156">
        <v>-8.685425809597575</v>
      </c>
      <c r="Y32" s="100" t="s">
        <v>92</v>
      </c>
      <c r="Z32" s="283"/>
    </row>
    <row r="33" spans="1:26" ht="12.75" customHeight="1">
      <c r="A33" s="104"/>
      <c r="B33" s="100" t="s">
        <v>102</v>
      </c>
      <c r="C33" s="138">
        <v>19.7</v>
      </c>
      <c r="D33" s="128">
        <v>19.8</v>
      </c>
      <c r="E33" s="128">
        <v>21.8</v>
      </c>
      <c r="F33" s="128">
        <v>15.785</v>
      </c>
      <c r="G33" s="128">
        <v>13.456</v>
      </c>
      <c r="H33" s="123">
        <v>14.288</v>
      </c>
      <c r="I33" s="128">
        <v>18.544</v>
      </c>
      <c r="J33" s="128">
        <v>25.35</v>
      </c>
      <c r="K33" s="128">
        <v>30.853</v>
      </c>
      <c r="L33" s="128">
        <v>37.22</v>
      </c>
      <c r="M33" s="128">
        <v>2.361</v>
      </c>
      <c r="N33" s="125">
        <v>57.288</v>
      </c>
      <c r="O33" s="125">
        <v>59.524</v>
      </c>
      <c r="P33" s="125">
        <v>56.386</v>
      </c>
      <c r="Q33" s="125">
        <v>34.269</v>
      </c>
      <c r="R33" s="125">
        <v>25.889</v>
      </c>
      <c r="S33" s="125">
        <v>26.349</v>
      </c>
      <c r="T33" s="125">
        <v>29.662</v>
      </c>
      <c r="U33" s="125">
        <v>34.026</v>
      </c>
      <c r="V33" s="125">
        <v>35.136</v>
      </c>
      <c r="W33" s="160">
        <v>39.023</v>
      </c>
      <c r="X33" s="155">
        <v>11.062727686703084</v>
      </c>
      <c r="Y33" s="114" t="s">
        <v>102</v>
      </c>
      <c r="Z33" s="283"/>
    </row>
    <row r="34" spans="1:26" ht="12.75" customHeight="1">
      <c r="A34" s="104"/>
      <c r="B34" s="100" t="s">
        <v>88</v>
      </c>
      <c r="C34" s="138">
        <v>31.6</v>
      </c>
      <c r="D34" s="128">
        <v>33.3</v>
      </c>
      <c r="E34" s="128">
        <v>35.1</v>
      </c>
      <c r="F34" s="128">
        <v>33.3</v>
      </c>
      <c r="G34" s="128">
        <v>33.2</v>
      </c>
      <c r="H34" s="128">
        <v>35.621</v>
      </c>
      <c r="I34" s="128">
        <v>34.158</v>
      </c>
      <c r="J34" s="128">
        <v>36.652</v>
      </c>
      <c r="K34" s="128">
        <v>36.638</v>
      </c>
      <c r="L34" s="128">
        <v>36.949</v>
      </c>
      <c r="M34" s="128">
        <v>5.621</v>
      </c>
      <c r="N34" s="128">
        <v>39.918</v>
      </c>
      <c r="O34" s="128">
        <v>40.54</v>
      </c>
      <c r="P34" s="128">
        <v>42.37</v>
      </c>
      <c r="Q34" s="128">
        <v>35.047</v>
      </c>
      <c r="R34" s="128">
        <v>36.268</v>
      </c>
      <c r="S34" s="128">
        <v>36.932</v>
      </c>
      <c r="T34" s="128">
        <v>33.481</v>
      </c>
      <c r="U34" s="128">
        <v>33.529</v>
      </c>
      <c r="V34" s="128">
        <v>41.964</v>
      </c>
      <c r="W34" s="129">
        <v>41.502</v>
      </c>
      <c r="X34" s="156">
        <v>-1.1009436659994236</v>
      </c>
      <c r="Y34" s="100" t="s">
        <v>332</v>
      </c>
      <c r="Z34" s="283"/>
    </row>
    <row r="35" spans="1:26" ht="12.75" customHeight="1">
      <c r="A35" s="104"/>
      <c r="B35" s="114" t="s">
        <v>83</v>
      </c>
      <c r="C35" s="195">
        <v>3.3</v>
      </c>
      <c r="D35" s="125">
        <v>3.5</v>
      </c>
      <c r="E35" s="125">
        <v>3.9</v>
      </c>
      <c r="F35" s="125">
        <v>3.8</v>
      </c>
      <c r="G35" s="125">
        <v>4.2</v>
      </c>
      <c r="H35" s="125">
        <v>5.3</v>
      </c>
      <c r="I35" s="125">
        <v>7.035</v>
      </c>
      <c r="J35" s="125">
        <v>6.609</v>
      </c>
      <c r="K35" s="125">
        <v>7.04</v>
      </c>
      <c r="L35" s="125">
        <v>9.007</v>
      </c>
      <c r="M35" s="125">
        <v>27.815</v>
      </c>
      <c r="N35" s="128">
        <v>12.112</v>
      </c>
      <c r="O35" s="128">
        <v>13.734</v>
      </c>
      <c r="P35" s="128">
        <v>16.261</v>
      </c>
      <c r="Q35" s="128">
        <v>14.762</v>
      </c>
      <c r="R35" s="128">
        <v>15.931</v>
      </c>
      <c r="S35" s="128">
        <v>16.439</v>
      </c>
      <c r="T35" s="128">
        <v>15.888</v>
      </c>
      <c r="U35" s="128">
        <v>15.905</v>
      </c>
      <c r="V35" s="128">
        <v>16.273</v>
      </c>
      <c r="W35" s="129">
        <v>17.909</v>
      </c>
      <c r="X35" s="156">
        <v>10.053462791126407</v>
      </c>
      <c r="Y35" s="100" t="s">
        <v>83</v>
      </c>
      <c r="Z35" s="283"/>
    </row>
    <row r="36" spans="1:26" ht="12.75" customHeight="1">
      <c r="A36" s="104"/>
      <c r="B36" s="100" t="s">
        <v>85</v>
      </c>
      <c r="C36" s="138">
        <v>15.9</v>
      </c>
      <c r="D36" s="128">
        <v>15.85</v>
      </c>
      <c r="E36" s="128">
        <v>15.35</v>
      </c>
      <c r="F36" s="128">
        <v>17.88</v>
      </c>
      <c r="G36" s="128">
        <v>18.52</v>
      </c>
      <c r="H36" s="128">
        <v>14.34</v>
      </c>
      <c r="I36" s="128">
        <v>13.8</v>
      </c>
      <c r="J36" s="128">
        <v>14.93</v>
      </c>
      <c r="K36" s="128">
        <v>16.748</v>
      </c>
      <c r="L36" s="128">
        <v>18.527</v>
      </c>
      <c r="M36" s="128">
        <v>34.701</v>
      </c>
      <c r="N36" s="128">
        <v>22.212</v>
      </c>
      <c r="O36" s="128">
        <v>27.159</v>
      </c>
      <c r="P36" s="128">
        <v>29.276</v>
      </c>
      <c r="Q36" s="128">
        <v>27.705</v>
      </c>
      <c r="R36" s="128">
        <v>27.575</v>
      </c>
      <c r="S36" s="128">
        <v>29.179</v>
      </c>
      <c r="T36" s="128">
        <v>29.693</v>
      </c>
      <c r="U36" s="128">
        <v>30.147</v>
      </c>
      <c r="V36" s="128">
        <v>31.358</v>
      </c>
      <c r="W36" s="303">
        <v>33.54</v>
      </c>
      <c r="X36" s="156">
        <v>6.958351935710169</v>
      </c>
      <c r="Y36" s="100" t="s">
        <v>85</v>
      </c>
      <c r="Z36" s="283"/>
    </row>
    <row r="37" spans="1:26" ht="12.75" customHeight="1">
      <c r="A37" s="104"/>
      <c r="B37" s="115" t="s">
        <v>13</v>
      </c>
      <c r="C37" s="248">
        <v>161.5</v>
      </c>
      <c r="D37" s="147">
        <v>166.2</v>
      </c>
      <c r="E37" s="147">
        <v>169.2</v>
      </c>
      <c r="F37" s="147">
        <v>172</v>
      </c>
      <c r="G37" s="147">
        <v>166.26</v>
      </c>
      <c r="H37" s="147">
        <v>165.621</v>
      </c>
      <c r="I37" s="147">
        <v>163.264</v>
      </c>
      <c r="J37" s="147">
        <v>164.035</v>
      </c>
      <c r="K37" s="147">
        <v>167.143</v>
      </c>
      <c r="L37" s="147">
        <v>162.654</v>
      </c>
      <c r="M37" s="147">
        <v>151.218</v>
      </c>
      <c r="N37" s="147">
        <v>165.479</v>
      </c>
      <c r="O37" s="147">
        <v>170.991</v>
      </c>
      <c r="P37" s="147">
        <v>160.296</v>
      </c>
      <c r="Q37" s="147">
        <v>139.536</v>
      </c>
      <c r="R37" s="147">
        <v>146.685</v>
      </c>
      <c r="S37" s="147">
        <v>153.517</v>
      </c>
      <c r="T37" s="147">
        <v>158.461</v>
      </c>
      <c r="U37" s="147">
        <v>147.188</v>
      </c>
      <c r="V37" s="147">
        <v>143.177</v>
      </c>
      <c r="W37" s="212">
        <v>158.924</v>
      </c>
      <c r="X37" s="249">
        <v>10.99827486258269</v>
      </c>
      <c r="Y37" s="115" t="s">
        <v>13</v>
      </c>
      <c r="Z37" s="283"/>
    </row>
    <row r="38" spans="1:26" ht="12.75" customHeight="1">
      <c r="A38" s="104"/>
      <c r="B38" s="100" t="s">
        <v>289</v>
      </c>
      <c r="C38" s="141">
        <v>2.077</v>
      </c>
      <c r="D38" s="126">
        <v>2.248</v>
      </c>
      <c r="E38" s="126">
        <v>1.34</v>
      </c>
      <c r="F38" s="126">
        <v>1.83</v>
      </c>
      <c r="G38" s="126">
        <v>2.011</v>
      </c>
      <c r="H38" s="126">
        <v>2.164</v>
      </c>
      <c r="I38" s="126">
        <v>2.231</v>
      </c>
      <c r="J38" s="126">
        <v>2.352</v>
      </c>
      <c r="K38" s="126">
        <v>2.53</v>
      </c>
      <c r="L38" s="126">
        <v>2.798</v>
      </c>
      <c r="M38" s="126"/>
      <c r="N38" s="126">
        <v>3.306</v>
      </c>
      <c r="O38" s="126">
        <v>3.584</v>
      </c>
      <c r="P38" s="126">
        <v>4.098</v>
      </c>
      <c r="Q38" s="126">
        <v>4.445</v>
      </c>
      <c r="R38" s="126">
        <v>4.626</v>
      </c>
      <c r="S38" s="126">
        <v>3.805</v>
      </c>
      <c r="T38" s="126">
        <v>3.223</v>
      </c>
      <c r="U38" s="126">
        <v>3.497</v>
      </c>
      <c r="V38" s="126">
        <v>3.5083333333333333</v>
      </c>
      <c r="W38" s="296">
        <v>3.4094444444444445</v>
      </c>
      <c r="X38" s="304">
        <v>-2.818685669041969</v>
      </c>
      <c r="Y38" s="100" t="s">
        <v>289</v>
      </c>
      <c r="Z38" s="207"/>
    </row>
    <row r="39" spans="1:26" ht="12.75" customHeight="1">
      <c r="A39" s="104"/>
      <c r="B39" s="186" t="s">
        <v>235</v>
      </c>
      <c r="C39" s="259"/>
      <c r="D39" s="196"/>
      <c r="E39" s="196"/>
      <c r="F39" s="196"/>
      <c r="G39" s="196"/>
      <c r="H39" s="196"/>
      <c r="I39" s="196">
        <v>0.078</v>
      </c>
      <c r="J39" s="196">
        <v>0.071</v>
      </c>
      <c r="K39" s="196">
        <v>0.071</v>
      </c>
      <c r="L39" s="196">
        <v>0.065</v>
      </c>
      <c r="M39" s="196"/>
      <c r="N39" s="196">
        <v>0.073</v>
      </c>
      <c r="O39" s="196">
        <v>0.092</v>
      </c>
      <c r="P39" s="196">
        <v>0.137</v>
      </c>
      <c r="Q39" s="196">
        <v>0.179</v>
      </c>
      <c r="R39" s="196">
        <v>0.167</v>
      </c>
      <c r="S39" s="196">
        <v>0.102</v>
      </c>
      <c r="T39" s="196">
        <v>0.076</v>
      </c>
      <c r="U39" s="196">
        <v>0.067</v>
      </c>
      <c r="V39" s="196">
        <v>0.122</v>
      </c>
      <c r="W39" s="197">
        <v>0.139717</v>
      </c>
      <c r="X39" s="263">
        <v>14.522131147540989</v>
      </c>
      <c r="Y39" s="186" t="s">
        <v>235</v>
      </c>
      <c r="Z39" s="207"/>
    </row>
    <row r="40" spans="1:26" ht="12.75" customHeight="1">
      <c r="A40" s="104"/>
      <c r="B40" s="100" t="s">
        <v>149</v>
      </c>
      <c r="C40" s="141" t="s">
        <v>99</v>
      </c>
      <c r="D40" s="126" t="s">
        <v>99</v>
      </c>
      <c r="E40" s="126" t="s">
        <v>99</v>
      </c>
      <c r="F40" s="126" t="s">
        <v>99</v>
      </c>
      <c r="G40" s="126"/>
      <c r="H40" s="126"/>
      <c r="I40" s="126">
        <v>3.131</v>
      </c>
      <c r="J40" s="126">
        <v>4</v>
      </c>
      <c r="K40" s="126">
        <v>5.451</v>
      </c>
      <c r="L40" s="126">
        <v>5.341</v>
      </c>
      <c r="M40" s="126"/>
      <c r="N40" s="126">
        <v>8.299</v>
      </c>
      <c r="O40" s="126">
        <v>5.938</v>
      </c>
      <c r="P40" s="126">
        <v>3.978</v>
      </c>
      <c r="Q40" s="126">
        <v>4.035</v>
      </c>
      <c r="R40" s="126">
        <v>4.235</v>
      </c>
      <c r="S40" s="126">
        <v>5.381</v>
      </c>
      <c r="T40" s="126">
        <v>5.802</v>
      </c>
      <c r="U40" s="126">
        <v>5.145</v>
      </c>
      <c r="V40" s="126">
        <v>7.399</v>
      </c>
      <c r="W40" s="159">
        <v>6.759</v>
      </c>
      <c r="X40" s="156">
        <v>-8.649817542911194</v>
      </c>
      <c r="Y40" s="100" t="s">
        <v>149</v>
      </c>
      <c r="Z40" s="207"/>
    </row>
    <row r="41" spans="1:26" ht="12.75" customHeight="1">
      <c r="A41" s="104"/>
      <c r="B41" s="186" t="s">
        <v>236</v>
      </c>
      <c r="C41" s="259"/>
      <c r="D41" s="196"/>
      <c r="E41" s="196">
        <v>0.968</v>
      </c>
      <c r="F41" s="196">
        <v>0.875</v>
      </c>
      <c r="G41" s="196">
        <v>0.552</v>
      </c>
      <c r="H41" s="196">
        <v>0.582</v>
      </c>
      <c r="I41" s="196">
        <v>0.475</v>
      </c>
      <c r="J41" s="196">
        <v>0.459</v>
      </c>
      <c r="K41" s="196">
        <v>0.452</v>
      </c>
      <c r="L41" s="196">
        <v>0.277</v>
      </c>
      <c r="M41" s="196"/>
      <c r="N41" s="196">
        <v>0.798</v>
      </c>
      <c r="O41" s="196">
        <v>1.161</v>
      </c>
      <c r="P41" s="196">
        <v>1.112</v>
      </c>
      <c r="Q41" s="196">
        <v>1.185</v>
      </c>
      <c r="R41" s="196">
        <v>1.689</v>
      </c>
      <c r="S41" s="196">
        <v>1.907</v>
      </c>
      <c r="T41" s="196">
        <v>2.474</v>
      </c>
      <c r="U41" s="196">
        <v>2.824</v>
      </c>
      <c r="V41" s="196">
        <v>2.959</v>
      </c>
      <c r="W41" s="197">
        <v>2.973</v>
      </c>
      <c r="X41" s="263">
        <v>0.4731328151402465</v>
      </c>
      <c r="Y41" s="186" t="s">
        <v>236</v>
      </c>
      <c r="Z41" s="207"/>
    </row>
    <row r="42" spans="1:26" ht="12.75" customHeight="1">
      <c r="A42" s="104"/>
      <c r="B42" s="101" t="s">
        <v>240</v>
      </c>
      <c r="C42" s="198">
        <v>112.5</v>
      </c>
      <c r="D42" s="199">
        <v>135.8</v>
      </c>
      <c r="E42" s="199">
        <v>139.8</v>
      </c>
      <c r="F42" s="199">
        <v>152.21</v>
      </c>
      <c r="G42" s="199">
        <v>150.974</v>
      </c>
      <c r="H42" s="199">
        <v>161.552</v>
      </c>
      <c r="I42" s="199">
        <v>151.421</v>
      </c>
      <c r="J42" s="199">
        <v>150.912</v>
      </c>
      <c r="K42" s="199">
        <v>152.163</v>
      </c>
      <c r="L42" s="199">
        <v>156.853</v>
      </c>
      <c r="M42" s="199">
        <v>166.831</v>
      </c>
      <c r="N42" s="199">
        <v>177.399</v>
      </c>
      <c r="O42" s="199">
        <v>181.33</v>
      </c>
      <c r="P42" s="199">
        <v>181.935</v>
      </c>
      <c r="Q42" s="199">
        <v>176.455</v>
      </c>
      <c r="R42" s="199">
        <v>190.365</v>
      </c>
      <c r="S42" s="199">
        <v>203.072</v>
      </c>
      <c r="T42" s="199">
        <v>216.123</v>
      </c>
      <c r="U42" s="199">
        <v>224.048</v>
      </c>
      <c r="V42" s="199">
        <v>234.492</v>
      </c>
      <c r="W42" s="200">
        <v>244.329</v>
      </c>
      <c r="X42" s="250">
        <v>4.195025843099145</v>
      </c>
      <c r="Y42" s="101" t="s">
        <v>333</v>
      </c>
      <c r="Z42" s="207"/>
    </row>
    <row r="43" spans="1:26" ht="12.75" customHeight="1">
      <c r="A43" s="104"/>
      <c r="B43" s="266" t="s">
        <v>290</v>
      </c>
      <c r="C43" s="289">
        <v>0.5</v>
      </c>
      <c r="D43" s="257">
        <v>0.5</v>
      </c>
      <c r="E43" s="257">
        <v>0.5</v>
      </c>
      <c r="F43" s="257">
        <v>0.5</v>
      </c>
      <c r="G43" s="257">
        <v>0.6</v>
      </c>
      <c r="H43" s="257">
        <v>0.6</v>
      </c>
      <c r="I43" s="272">
        <v>0.642</v>
      </c>
      <c r="J43" s="272">
        <v>0.66</v>
      </c>
      <c r="K43" s="272">
        <v>0.679</v>
      </c>
      <c r="L43" s="272">
        <v>0.699</v>
      </c>
      <c r="M43" s="272">
        <v>0.741</v>
      </c>
      <c r="N43" s="272">
        <v>0.786</v>
      </c>
      <c r="O43" s="272">
        <v>0.825</v>
      </c>
      <c r="P43" s="272">
        <v>0.805</v>
      </c>
      <c r="Q43" s="272">
        <v>0.813</v>
      </c>
      <c r="R43" s="272">
        <v>0.806</v>
      </c>
      <c r="S43" s="272">
        <v>0.777</v>
      </c>
      <c r="T43" s="272">
        <v>0.786</v>
      </c>
      <c r="U43" s="272">
        <v>0.808</v>
      </c>
      <c r="V43" s="272">
        <v>0.85</v>
      </c>
      <c r="W43" s="290">
        <v>0.911</v>
      </c>
      <c r="X43" s="291">
        <v>7.17647058823529</v>
      </c>
      <c r="Y43" s="266" t="s">
        <v>334</v>
      </c>
      <c r="Z43" s="207"/>
    </row>
    <row r="44" spans="1:26" ht="12.75" customHeight="1">
      <c r="A44" s="104"/>
      <c r="B44" s="100" t="s">
        <v>152</v>
      </c>
      <c r="C44" s="141">
        <v>9.7</v>
      </c>
      <c r="D44" s="126">
        <v>12.5</v>
      </c>
      <c r="E44" s="126">
        <v>14.1</v>
      </c>
      <c r="F44" s="126">
        <v>14.8</v>
      </c>
      <c r="G44" s="126">
        <v>14.916</v>
      </c>
      <c r="H44" s="126">
        <v>15.132</v>
      </c>
      <c r="I44" s="126">
        <v>15.179</v>
      </c>
      <c r="J44" s="126">
        <v>15.426</v>
      </c>
      <c r="K44" s="126">
        <v>16.59</v>
      </c>
      <c r="L44" s="126">
        <v>17.46</v>
      </c>
      <c r="M44" s="126">
        <v>15.352</v>
      </c>
      <c r="N44" s="126">
        <v>19.387</v>
      </c>
      <c r="O44" s="126">
        <v>19.375</v>
      </c>
      <c r="P44" s="126">
        <v>20.595</v>
      </c>
      <c r="Q44" s="126">
        <v>18.447</v>
      </c>
      <c r="R44" s="126">
        <v>19.751</v>
      </c>
      <c r="S44" s="126">
        <v>19.188</v>
      </c>
      <c r="T44" s="126">
        <v>20.171</v>
      </c>
      <c r="U44" s="126">
        <v>21.317</v>
      </c>
      <c r="V44" s="126">
        <v>21.594</v>
      </c>
      <c r="W44" s="159">
        <v>23.136</v>
      </c>
      <c r="X44" s="156">
        <v>7.140872464573491</v>
      </c>
      <c r="Y44" s="100" t="s">
        <v>152</v>
      </c>
      <c r="Z44" s="207"/>
    </row>
    <row r="45" spans="1:26" ht="12.75" customHeight="1">
      <c r="A45" s="104"/>
      <c r="B45" s="258" t="s">
        <v>241</v>
      </c>
      <c r="C45" s="265">
        <v>9.1107</v>
      </c>
      <c r="D45" s="256">
        <v>8.9961</v>
      </c>
      <c r="E45" s="256">
        <v>9.1339</v>
      </c>
      <c r="F45" s="256">
        <v>9.5456</v>
      </c>
      <c r="G45" s="256">
        <v>9.565</v>
      </c>
      <c r="H45" s="256">
        <v>9.7913</v>
      </c>
      <c r="I45" s="256">
        <v>9.5618</v>
      </c>
      <c r="J45" s="256">
        <v>9.8147</v>
      </c>
      <c r="K45" s="256">
        <v>9.8916</v>
      </c>
      <c r="L45" s="256">
        <v>10.126178484062402</v>
      </c>
      <c r="M45" s="256">
        <v>9.206332904327185</v>
      </c>
      <c r="N45" s="256">
        <v>10.43279130775176</v>
      </c>
      <c r="O45" s="256">
        <v>10.79415384490122</v>
      </c>
      <c r="P45" s="255">
        <v>13.911</v>
      </c>
      <c r="Q45" s="256">
        <v>13.174</v>
      </c>
      <c r="R45" s="256">
        <v>13.237</v>
      </c>
      <c r="S45" s="256">
        <v>13.567</v>
      </c>
      <c r="T45" s="256">
        <v>12.957</v>
      </c>
      <c r="U45" s="256">
        <v>12.817</v>
      </c>
      <c r="V45" s="256">
        <v>13.067</v>
      </c>
      <c r="W45" s="267">
        <v>12.441</v>
      </c>
      <c r="X45" s="264">
        <v>-4.790694114946049</v>
      </c>
      <c r="Y45" s="258" t="s">
        <v>335</v>
      </c>
      <c r="Z45" s="207"/>
    </row>
    <row r="46" spans="1:26" ht="12.75" customHeight="1">
      <c r="A46" s="104"/>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207"/>
    </row>
    <row r="47" spans="2:26" ht="15.75" customHeight="1">
      <c r="B47" s="1257" t="s">
        <v>301</v>
      </c>
      <c r="C47" s="1257"/>
      <c r="D47" s="1257"/>
      <c r="E47" s="1257"/>
      <c r="F47" s="1257"/>
      <c r="G47" s="1257"/>
      <c r="H47" s="1257"/>
      <c r="I47" s="1257"/>
      <c r="J47" s="1257"/>
      <c r="K47" s="1257"/>
      <c r="L47" s="1257"/>
      <c r="M47" s="1257"/>
      <c r="N47" s="1257"/>
      <c r="O47" s="1257"/>
      <c r="P47" s="1257"/>
      <c r="Q47" s="1257"/>
      <c r="R47" s="1257"/>
      <c r="S47" s="1257"/>
      <c r="T47" s="1257"/>
      <c r="U47" s="1257"/>
      <c r="V47" s="1257"/>
      <c r="W47" s="1257"/>
      <c r="X47" s="1257"/>
      <c r="Y47" s="1257"/>
      <c r="Z47" s="1257"/>
    </row>
    <row r="48" ht="12.75" customHeight="1">
      <c r="B48" s="105" t="s">
        <v>173</v>
      </c>
    </row>
    <row r="49" ht="12.75" customHeight="1">
      <c r="B49" s="94" t="s">
        <v>220</v>
      </c>
    </row>
    <row r="50" ht="12.75" customHeight="1">
      <c r="B50" s="132" t="s">
        <v>221</v>
      </c>
    </row>
    <row r="51" ht="12.75">
      <c r="B51" s="305" t="s">
        <v>302</v>
      </c>
    </row>
    <row r="52" spans="2:14" ht="12.75" customHeight="1">
      <c r="B52" s="151" t="s">
        <v>303</v>
      </c>
      <c r="C52" s="208"/>
      <c r="D52" s="208"/>
      <c r="E52" s="208"/>
      <c r="F52" s="208"/>
      <c r="G52" s="208"/>
      <c r="H52" s="208"/>
      <c r="I52" s="208"/>
      <c r="J52" s="208"/>
      <c r="K52" s="208"/>
      <c r="L52" s="208"/>
      <c r="M52" s="208"/>
      <c r="N52" s="208"/>
    </row>
    <row r="53" spans="2:26" ht="14.25" customHeight="1">
      <c r="B53" s="1254" t="s">
        <v>304</v>
      </c>
      <c r="C53" s="1254"/>
      <c r="D53" s="1254"/>
      <c r="E53" s="1254"/>
      <c r="F53" s="1254"/>
      <c r="G53" s="1254"/>
      <c r="H53" s="1254"/>
      <c r="I53" s="1254"/>
      <c r="J53" s="1254"/>
      <c r="K53" s="1254"/>
      <c r="L53" s="1254"/>
      <c r="M53" s="1254"/>
      <c r="N53" s="1254"/>
      <c r="O53" s="1254"/>
      <c r="P53" s="1254"/>
      <c r="Q53" s="1254"/>
      <c r="R53" s="1254"/>
      <c r="S53" s="1254"/>
      <c r="T53" s="1254"/>
      <c r="U53" s="1254"/>
      <c r="V53" s="1254"/>
      <c r="W53" s="1254"/>
      <c r="X53" s="1254"/>
      <c r="Y53" s="1254"/>
      <c r="Z53" s="1254"/>
    </row>
  </sheetData>
  <sheetProtection/>
  <mergeCells count="4">
    <mergeCell ref="B53:Z53"/>
    <mergeCell ref="B2:Z2"/>
    <mergeCell ref="B3:Z3"/>
    <mergeCell ref="B47:Z4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C00000"/>
  </sheetPr>
  <dimension ref="A1:AF79"/>
  <sheetViews>
    <sheetView zoomScalePageLayoutView="0" workbookViewId="0" topLeftCell="A1">
      <selection activeCell="AD6" sqref="AD6:AD7"/>
    </sheetView>
  </sheetViews>
  <sheetFormatPr defaultColWidth="9.140625" defaultRowHeight="12.75"/>
  <cols>
    <col min="1" max="1" width="3.57421875" style="0" customWidth="1"/>
    <col min="2" max="2" width="7.28125" style="94" customWidth="1"/>
    <col min="3" max="20" width="6.7109375" style="94" hidden="1" customWidth="1"/>
    <col min="21" max="29" width="7.28125" style="94" customWidth="1"/>
    <col min="30" max="30" width="6.28125" style="94" customWidth="1"/>
    <col min="31" max="31" width="5.57421875" style="94" customWidth="1"/>
    <col min="32" max="32" width="9.28125" style="94" customWidth="1"/>
    <col min="33" max="16384" width="9.140625" style="94" customWidth="1"/>
  </cols>
  <sheetData>
    <row r="1" spans="2:31" ht="14.25" customHeight="1">
      <c r="B1" s="131"/>
      <c r="C1" s="171"/>
      <c r="D1" s="171"/>
      <c r="E1" s="93"/>
      <c r="F1" s="93"/>
      <c r="G1" s="93"/>
      <c r="H1" s="93"/>
      <c r="I1" s="93"/>
      <c r="J1" s="93"/>
      <c r="K1" s="93"/>
      <c r="L1" s="93"/>
      <c r="M1" s="93"/>
      <c r="N1" s="93"/>
      <c r="O1" s="93"/>
      <c r="P1" s="93"/>
      <c r="Q1" s="93"/>
      <c r="U1" s="95"/>
      <c r="V1" s="95"/>
      <c r="W1" s="95"/>
      <c r="X1" s="95"/>
      <c r="Y1" s="95"/>
      <c r="Z1" s="95"/>
      <c r="AA1" s="95"/>
      <c r="AB1" s="95"/>
      <c r="AC1" s="95"/>
      <c r="AE1" s="95" t="s">
        <v>222</v>
      </c>
    </row>
    <row r="2" spans="1:31" s="132" customFormat="1" ht="30" customHeight="1">
      <c r="A2" s="152"/>
      <c r="B2" s="1259" t="s">
        <v>22</v>
      </c>
      <c r="C2" s="1259"/>
      <c r="D2" s="1259"/>
      <c r="E2" s="1259"/>
      <c r="F2" s="1259"/>
      <c r="G2" s="1259"/>
      <c r="H2" s="1259"/>
      <c r="I2" s="1259"/>
      <c r="J2" s="1259"/>
      <c r="K2" s="1259"/>
      <c r="L2" s="1259"/>
      <c r="M2" s="1259"/>
      <c r="N2" s="1259"/>
      <c r="O2" s="1259"/>
      <c r="P2" s="1259"/>
      <c r="Q2" s="1259"/>
      <c r="R2" s="1259"/>
      <c r="S2" s="1259"/>
      <c r="T2" s="1259"/>
      <c r="U2" s="1259"/>
      <c r="V2" s="1259"/>
      <c r="W2" s="1259"/>
      <c r="X2" s="1259"/>
      <c r="Y2" s="1259"/>
      <c r="Z2" s="1259"/>
      <c r="AA2" s="1259"/>
      <c r="AB2" s="1259"/>
      <c r="AC2" s="1259"/>
      <c r="AD2" s="1259"/>
      <c r="AE2" s="1259"/>
    </row>
    <row r="3" spans="2:31" ht="12.75">
      <c r="B3" s="108"/>
      <c r="C3" s="108"/>
      <c r="E3" s="148"/>
      <c r="F3" s="148"/>
      <c r="G3" s="148"/>
      <c r="H3" s="148"/>
      <c r="I3" s="148"/>
      <c r="K3" s="172"/>
      <c r="L3" s="172"/>
      <c r="M3" s="172"/>
      <c r="N3" s="172"/>
      <c r="O3" s="172"/>
      <c r="Q3" s="209"/>
      <c r="R3" s="209"/>
      <c r="X3" s="133" t="s">
        <v>239</v>
      </c>
      <c r="Y3" s="133"/>
      <c r="Z3" s="133"/>
      <c r="AA3" s="133"/>
      <c r="AB3" s="133"/>
      <c r="AC3" s="133"/>
      <c r="AD3" s="134"/>
      <c r="AE3" s="210"/>
    </row>
    <row r="4" spans="2:32" ht="19.5" customHeight="1">
      <c r="B4" s="96"/>
      <c r="C4" s="97">
        <v>1970</v>
      </c>
      <c r="D4" s="97">
        <v>1980</v>
      </c>
      <c r="E4" s="99">
        <v>1990</v>
      </c>
      <c r="F4" s="99">
        <v>1991</v>
      </c>
      <c r="G4" s="99">
        <v>1992</v>
      </c>
      <c r="H4" s="99">
        <v>1993</v>
      </c>
      <c r="I4" s="99">
        <v>1994</v>
      </c>
      <c r="J4" s="99">
        <v>1995</v>
      </c>
      <c r="K4" s="99">
        <v>1996</v>
      </c>
      <c r="L4" s="99">
        <v>1997</v>
      </c>
      <c r="M4" s="99">
        <v>1998</v>
      </c>
      <c r="N4" s="99">
        <v>1999</v>
      </c>
      <c r="O4" s="99">
        <v>2000</v>
      </c>
      <c r="P4" s="99">
        <v>2001</v>
      </c>
      <c r="Q4" s="99">
        <v>2002</v>
      </c>
      <c r="R4" s="99">
        <v>2003</v>
      </c>
      <c r="S4" s="99">
        <v>2004</v>
      </c>
      <c r="T4" s="99">
        <v>2005</v>
      </c>
      <c r="U4" s="99">
        <v>2006</v>
      </c>
      <c r="V4" s="99">
        <v>2007</v>
      </c>
      <c r="W4" s="99">
        <v>2008</v>
      </c>
      <c r="X4" s="99">
        <v>2009</v>
      </c>
      <c r="Y4" s="99">
        <v>2010</v>
      </c>
      <c r="Z4" s="99">
        <v>2011</v>
      </c>
      <c r="AA4" s="99">
        <v>2012</v>
      </c>
      <c r="AB4" s="99">
        <v>2013</v>
      </c>
      <c r="AC4" s="99">
        <v>2014</v>
      </c>
      <c r="AD4" s="107">
        <v>2015</v>
      </c>
      <c r="AE4" s="107" t="s">
        <v>331</v>
      </c>
      <c r="AF4" s="150"/>
    </row>
    <row r="5" spans="2:32" ht="9.75" customHeight="1">
      <c r="B5" s="109"/>
      <c r="C5" s="111"/>
      <c r="D5" s="111"/>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35"/>
      <c r="AE5" s="135" t="s">
        <v>147</v>
      </c>
      <c r="AF5" s="205"/>
    </row>
    <row r="6" spans="2:32" ht="12.75" customHeight="1">
      <c r="B6" s="113" t="s">
        <v>250</v>
      </c>
      <c r="C6" s="153">
        <v>551.069</v>
      </c>
      <c r="D6" s="153">
        <v>641.432</v>
      </c>
      <c r="E6" s="117">
        <v>526.343</v>
      </c>
      <c r="F6" s="117">
        <v>443.929011</v>
      </c>
      <c r="G6" s="117">
        <v>394.464591</v>
      </c>
      <c r="H6" s="117">
        <v>371.69550899999996</v>
      </c>
      <c r="I6" s="117">
        <v>380.15225799999996</v>
      </c>
      <c r="J6" s="117">
        <v>388.11806800000005</v>
      </c>
      <c r="K6" s="117">
        <v>393.8630000000001</v>
      </c>
      <c r="L6" s="117">
        <v>411.2519999999999</v>
      </c>
      <c r="M6" s="117">
        <v>394.337525</v>
      </c>
      <c r="N6" s="117">
        <v>385.31001500293985</v>
      </c>
      <c r="O6" s="117">
        <v>405.4637546422241</v>
      </c>
      <c r="P6" s="117">
        <v>388.048302252257</v>
      </c>
      <c r="Q6" s="117">
        <v>385.983192553031</v>
      </c>
      <c r="R6" s="117">
        <v>394.37526875462396</v>
      </c>
      <c r="S6" s="117">
        <v>419.326370260433</v>
      </c>
      <c r="T6" s="117">
        <v>416.0241804501331</v>
      </c>
      <c r="U6" s="117">
        <v>438.164920252945</v>
      </c>
      <c r="V6" s="118">
        <v>452</v>
      </c>
      <c r="W6" s="118">
        <v>442.7629999999999</v>
      </c>
      <c r="X6" s="118">
        <v>363.541</v>
      </c>
      <c r="Y6" s="118">
        <v>393.531</v>
      </c>
      <c r="Z6" s="118">
        <v>422.0969999999999</v>
      </c>
      <c r="AA6" s="117">
        <v>406.661</v>
      </c>
      <c r="AB6" s="117">
        <v>406.7200000000001</v>
      </c>
      <c r="AC6" s="117">
        <v>410.82399999999996</v>
      </c>
      <c r="AD6" s="153">
        <v>417.5400000000001</v>
      </c>
      <c r="AE6" s="153">
        <f aca="true" t="shared" si="0" ref="AE6:AE11">AD6/AC6*100-100</f>
        <v>1.6347633049676062</v>
      </c>
      <c r="AF6" s="113" t="s">
        <v>250</v>
      </c>
    </row>
    <row r="7" spans="1:32" ht="12.75" customHeight="1">
      <c r="A7" s="104"/>
      <c r="B7" s="114" t="s">
        <v>89</v>
      </c>
      <c r="C7" s="154">
        <v>282.45900000000006</v>
      </c>
      <c r="D7" s="154">
        <v>289.822</v>
      </c>
      <c r="E7" s="119">
        <v>256.511</v>
      </c>
      <c r="F7" s="119">
        <v>235.668011</v>
      </c>
      <c r="G7" s="119">
        <v>223.08759099999997</v>
      </c>
      <c r="H7" s="119">
        <v>205.43950900000002</v>
      </c>
      <c r="I7" s="119">
        <v>219.61625800000002</v>
      </c>
      <c r="J7" s="119">
        <v>222.73306799999997</v>
      </c>
      <c r="K7" s="119">
        <v>223.77200000000002</v>
      </c>
      <c r="L7" s="119">
        <v>240.20200000000003</v>
      </c>
      <c r="M7" s="119">
        <v>239.98352500000004</v>
      </c>
      <c r="N7" s="119">
        <v>243.43601500294002</v>
      </c>
      <c r="O7" s="119">
        <v>257.067754642224</v>
      </c>
      <c r="P7" s="119">
        <v>248.427302252257</v>
      </c>
      <c r="Q7" s="119">
        <v>245.78019255303101</v>
      </c>
      <c r="R7" s="119">
        <v>248.47926875462403</v>
      </c>
      <c r="S7" s="119">
        <v>264.833370260433</v>
      </c>
      <c r="T7" s="119">
        <v>261.933180450133</v>
      </c>
      <c r="U7" s="119">
        <v>280.598920252945</v>
      </c>
      <c r="V7" s="120">
        <v>292.45700000000005</v>
      </c>
      <c r="W7" s="120">
        <v>289.077</v>
      </c>
      <c r="X7" s="120">
        <v>236.41699999999997</v>
      </c>
      <c r="Y7" s="120">
        <v>255.416</v>
      </c>
      <c r="Z7" s="120">
        <v>269.988</v>
      </c>
      <c r="AA7" s="119">
        <v>263.321</v>
      </c>
      <c r="AB7" s="119">
        <v>263.98799999999994</v>
      </c>
      <c r="AC7" s="119">
        <v>268.254</v>
      </c>
      <c r="AD7" s="154">
        <v>273.48599999999993</v>
      </c>
      <c r="AE7" s="154">
        <f t="shared" si="0"/>
        <v>1.9503903017289161</v>
      </c>
      <c r="AF7" s="114" t="s">
        <v>89</v>
      </c>
    </row>
    <row r="8" spans="1:32" ht="12.75" customHeight="1">
      <c r="A8" s="104"/>
      <c r="B8" s="115" t="s">
        <v>251</v>
      </c>
      <c r="C8" s="206">
        <v>268.6099999999999</v>
      </c>
      <c r="D8" s="206">
        <v>351.61</v>
      </c>
      <c r="E8" s="121">
        <v>269.83199999999994</v>
      </c>
      <c r="F8" s="121">
        <v>208.261</v>
      </c>
      <c r="G8" s="121">
        <v>171.377</v>
      </c>
      <c r="H8" s="121">
        <v>166.25599999999994</v>
      </c>
      <c r="I8" s="121">
        <v>160.53599999999994</v>
      </c>
      <c r="J8" s="121">
        <v>165.38500000000008</v>
      </c>
      <c r="K8" s="121">
        <v>170.0910000000001</v>
      </c>
      <c r="L8" s="121">
        <v>171.04999999999987</v>
      </c>
      <c r="M8" s="121">
        <v>154.35399999999998</v>
      </c>
      <c r="N8" s="121">
        <v>141.87399999999982</v>
      </c>
      <c r="O8" s="121">
        <v>148.39600000000013</v>
      </c>
      <c r="P8" s="121">
        <v>139.62099999999998</v>
      </c>
      <c r="Q8" s="121">
        <v>140.203</v>
      </c>
      <c r="R8" s="121">
        <v>145.89599999999993</v>
      </c>
      <c r="S8" s="122">
        <v>154.493</v>
      </c>
      <c r="T8" s="122">
        <v>154.09100000000007</v>
      </c>
      <c r="U8" s="121">
        <v>157.56600000000003</v>
      </c>
      <c r="V8" s="122">
        <v>159.54299999999995</v>
      </c>
      <c r="W8" s="122">
        <v>153.68599999999992</v>
      </c>
      <c r="X8" s="122">
        <v>127.12400000000002</v>
      </c>
      <c r="Y8" s="122">
        <v>138.115</v>
      </c>
      <c r="Z8" s="122">
        <v>152.10899999999992</v>
      </c>
      <c r="AA8" s="122">
        <v>143.33999999999997</v>
      </c>
      <c r="AB8" s="122">
        <v>142.73200000000014</v>
      </c>
      <c r="AC8" s="122">
        <v>142.56999999999994</v>
      </c>
      <c r="AD8" s="211">
        <v>144.05400000000014</v>
      </c>
      <c r="AE8" s="211">
        <f t="shared" si="0"/>
        <v>1.040892193308693</v>
      </c>
      <c r="AF8" s="115" t="s">
        <v>251</v>
      </c>
    </row>
    <row r="9" spans="1:32" ht="12.75" customHeight="1">
      <c r="A9" s="104"/>
      <c r="B9" s="114" t="s">
        <v>81</v>
      </c>
      <c r="C9" s="245">
        <v>9.868</v>
      </c>
      <c r="D9" s="245">
        <v>11.002</v>
      </c>
      <c r="E9" s="245">
        <v>12.158</v>
      </c>
      <c r="F9" s="294">
        <v>12.322</v>
      </c>
      <c r="G9" s="294">
        <v>11.57</v>
      </c>
      <c r="H9" s="294">
        <v>11.24</v>
      </c>
      <c r="I9" s="294">
        <v>12.42</v>
      </c>
      <c r="J9" s="124">
        <v>13.2</v>
      </c>
      <c r="K9" s="124">
        <v>13.33</v>
      </c>
      <c r="L9" s="124">
        <v>14.199</v>
      </c>
      <c r="M9" s="124">
        <v>14.71</v>
      </c>
      <c r="N9" s="309">
        <v>15.04</v>
      </c>
      <c r="O9" s="124">
        <v>16.6</v>
      </c>
      <c r="P9" s="124">
        <v>16.893</v>
      </c>
      <c r="Q9" s="124">
        <v>17.13</v>
      </c>
      <c r="R9" s="124">
        <v>16.866</v>
      </c>
      <c r="S9" s="124">
        <v>18.757</v>
      </c>
      <c r="T9" s="124">
        <v>18.957</v>
      </c>
      <c r="U9" s="124">
        <v>20.98</v>
      </c>
      <c r="V9" s="124">
        <v>21.371</v>
      </c>
      <c r="W9" s="124">
        <v>21.915</v>
      </c>
      <c r="X9" s="124">
        <v>17.767</v>
      </c>
      <c r="Y9" s="294">
        <v>19.833</v>
      </c>
      <c r="Z9" s="294">
        <v>20.345</v>
      </c>
      <c r="AA9" s="294">
        <v>19.499</v>
      </c>
      <c r="AB9" s="294">
        <v>19.278</v>
      </c>
      <c r="AC9" s="295">
        <v>20.494</v>
      </c>
      <c r="AD9" s="136">
        <v>20.266</v>
      </c>
      <c r="AE9" s="139">
        <f t="shared" si="0"/>
        <v>-1.1125207377769186</v>
      </c>
      <c r="AF9" s="114" t="s">
        <v>81</v>
      </c>
    </row>
    <row r="10" spans="1:32" ht="12.75" customHeight="1">
      <c r="A10" s="104"/>
      <c r="B10" s="114" t="s">
        <v>60</v>
      </c>
      <c r="C10" s="195">
        <v>7.876</v>
      </c>
      <c r="D10" s="195">
        <v>8.037</v>
      </c>
      <c r="E10" s="195">
        <v>8.37</v>
      </c>
      <c r="F10" s="196">
        <v>8.203</v>
      </c>
      <c r="G10" s="196">
        <v>8.361</v>
      </c>
      <c r="H10" s="196">
        <v>7.596</v>
      </c>
      <c r="I10" s="196">
        <v>8.097</v>
      </c>
      <c r="J10" s="125">
        <v>7.304</v>
      </c>
      <c r="K10" s="125">
        <v>7.244</v>
      </c>
      <c r="L10" s="125">
        <v>7.465</v>
      </c>
      <c r="M10" s="125">
        <v>7.6</v>
      </c>
      <c r="N10" s="125">
        <v>7.392</v>
      </c>
      <c r="O10" s="124">
        <v>7.674</v>
      </c>
      <c r="P10" s="124">
        <v>7.081</v>
      </c>
      <c r="Q10" s="124">
        <v>7.297</v>
      </c>
      <c r="R10" s="124">
        <v>7.293</v>
      </c>
      <c r="S10" s="125">
        <v>7.691</v>
      </c>
      <c r="T10" s="125">
        <v>8.13</v>
      </c>
      <c r="U10" s="125">
        <v>8.572</v>
      </c>
      <c r="V10" s="125">
        <v>9.258</v>
      </c>
      <c r="W10" s="125">
        <v>8.927</v>
      </c>
      <c r="X10" s="125">
        <v>6.374</v>
      </c>
      <c r="Y10" s="196">
        <v>7.476</v>
      </c>
      <c r="Z10" s="196">
        <v>7.593</v>
      </c>
      <c r="AA10" s="196">
        <v>7.28</v>
      </c>
      <c r="AB10" s="196">
        <v>7.28</v>
      </c>
      <c r="AC10" s="197">
        <v>7.28</v>
      </c>
      <c r="AD10" s="139">
        <v>7.28</v>
      </c>
      <c r="AE10" s="137">
        <f t="shared" si="0"/>
        <v>0</v>
      </c>
      <c r="AF10" s="100" t="s">
        <v>60</v>
      </c>
    </row>
    <row r="11" spans="1:32" ht="12.75" customHeight="1">
      <c r="A11" s="104"/>
      <c r="B11" s="100" t="s">
        <v>101</v>
      </c>
      <c r="C11" s="138">
        <v>13.7</v>
      </c>
      <c r="D11" s="138">
        <v>17.68</v>
      </c>
      <c r="E11" s="138">
        <v>14.13</v>
      </c>
      <c r="F11" s="128">
        <v>8.7</v>
      </c>
      <c r="G11" s="128">
        <v>7.76</v>
      </c>
      <c r="H11" s="128">
        <v>7.7</v>
      </c>
      <c r="I11" s="128">
        <v>7.77</v>
      </c>
      <c r="J11" s="128">
        <v>8.6</v>
      </c>
      <c r="K11" s="128">
        <v>7.517</v>
      </c>
      <c r="L11" s="128">
        <v>7.405</v>
      </c>
      <c r="M11" s="128">
        <v>6.152</v>
      </c>
      <c r="N11" s="126">
        <v>5.2</v>
      </c>
      <c r="O11" s="128">
        <v>5.538</v>
      </c>
      <c r="P11" s="128">
        <v>4.9</v>
      </c>
      <c r="Q11" s="128">
        <v>4.627</v>
      </c>
      <c r="R11" s="128">
        <v>5.274</v>
      </c>
      <c r="S11" s="128">
        <v>5.211</v>
      </c>
      <c r="T11" s="128">
        <v>5.163</v>
      </c>
      <c r="U11" s="128">
        <v>5.396</v>
      </c>
      <c r="V11" s="128">
        <v>5.241</v>
      </c>
      <c r="W11" s="128">
        <v>4.693</v>
      </c>
      <c r="X11" s="128">
        <v>3.145</v>
      </c>
      <c r="Y11" s="128">
        <v>3.064</v>
      </c>
      <c r="Z11" s="128">
        <v>3.291</v>
      </c>
      <c r="AA11" s="123">
        <v>2.907</v>
      </c>
      <c r="AB11" s="123">
        <v>3.246</v>
      </c>
      <c r="AC11" s="307">
        <v>3.439</v>
      </c>
      <c r="AD11" s="137">
        <v>3.65</v>
      </c>
      <c r="AE11" s="139">
        <f t="shared" si="0"/>
        <v>6.135504507124168</v>
      </c>
      <c r="AF11" s="114" t="s">
        <v>101</v>
      </c>
    </row>
    <row r="12" spans="1:32" ht="12.75" customHeight="1">
      <c r="A12" s="104"/>
      <c r="B12" s="100" t="s">
        <v>71</v>
      </c>
      <c r="C12" s="141" t="s">
        <v>146</v>
      </c>
      <c r="D12" s="141" t="s">
        <v>146</v>
      </c>
      <c r="E12" s="141" t="s">
        <v>146</v>
      </c>
      <c r="F12" s="126" t="s">
        <v>146</v>
      </c>
      <c r="G12" s="126" t="s">
        <v>146</v>
      </c>
      <c r="H12" s="126" t="s">
        <v>146</v>
      </c>
      <c r="I12" s="126" t="s">
        <v>146</v>
      </c>
      <c r="J12" s="126" t="s">
        <v>146</v>
      </c>
      <c r="K12" s="126" t="s">
        <v>146</v>
      </c>
      <c r="L12" s="126" t="s">
        <v>146</v>
      </c>
      <c r="M12" s="127" t="s">
        <v>146</v>
      </c>
      <c r="N12" s="126" t="s">
        <v>146</v>
      </c>
      <c r="O12" s="126" t="s">
        <v>146</v>
      </c>
      <c r="P12" s="126" t="s">
        <v>146</v>
      </c>
      <c r="Q12" s="126" t="s">
        <v>146</v>
      </c>
      <c r="R12" s="126" t="s">
        <v>146</v>
      </c>
      <c r="S12" s="126" t="s">
        <v>146</v>
      </c>
      <c r="T12" s="126" t="s">
        <v>146</v>
      </c>
      <c r="U12" s="126" t="s">
        <v>146</v>
      </c>
      <c r="V12" s="126" t="s">
        <v>146</v>
      </c>
      <c r="W12" s="126" t="s">
        <v>146</v>
      </c>
      <c r="X12" s="126" t="s">
        <v>146</v>
      </c>
      <c r="Y12" s="126" t="s">
        <v>146</v>
      </c>
      <c r="Z12" s="126" t="s">
        <v>146</v>
      </c>
      <c r="AA12" s="126" t="s">
        <v>146</v>
      </c>
      <c r="AB12" s="126" t="s">
        <v>146</v>
      </c>
      <c r="AC12" s="308" t="s">
        <v>146</v>
      </c>
      <c r="AD12" s="145" t="s">
        <v>146</v>
      </c>
      <c r="AE12" s="145" t="s">
        <v>146</v>
      </c>
      <c r="AF12" s="100" t="s">
        <v>71</v>
      </c>
    </row>
    <row r="13" spans="1:32" ht="12.75" customHeight="1">
      <c r="A13" s="104"/>
      <c r="B13" s="114" t="s">
        <v>61</v>
      </c>
      <c r="C13" s="195"/>
      <c r="D13" s="195"/>
      <c r="E13" s="195"/>
      <c r="F13" s="125"/>
      <c r="G13" s="125"/>
      <c r="H13" s="125">
        <v>25.2</v>
      </c>
      <c r="I13" s="125">
        <v>22.8</v>
      </c>
      <c r="J13" s="125">
        <v>22.623</v>
      </c>
      <c r="K13" s="125">
        <v>22.339</v>
      </c>
      <c r="L13" s="125">
        <v>21.01</v>
      </c>
      <c r="M13" s="125">
        <v>18.709</v>
      </c>
      <c r="N13" s="125">
        <v>16.713</v>
      </c>
      <c r="O13" s="125">
        <v>17.496</v>
      </c>
      <c r="P13" s="125">
        <v>16.9</v>
      </c>
      <c r="Q13" s="125">
        <v>15.81</v>
      </c>
      <c r="R13" s="125">
        <v>15.862</v>
      </c>
      <c r="S13" s="125">
        <v>15.092</v>
      </c>
      <c r="T13" s="125">
        <v>14.866</v>
      </c>
      <c r="U13" s="125">
        <v>15.779</v>
      </c>
      <c r="V13" s="125">
        <v>16.304</v>
      </c>
      <c r="W13" s="125">
        <v>15.437</v>
      </c>
      <c r="X13" s="125">
        <v>12.791</v>
      </c>
      <c r="Y13" s="125">
        <v>13.77</v>
      </c>
      <c r="Z13" s="125">
        <v>14.316</v>
      </c>
      <c r="AA13" s="125">
        <v>14.267</v>
      </c>
      <c r="AB13" s="125">
        <v>13.965</v>
      </c>
      <c r="AC13" s="160">
        <v>14.574</v>
      </c>
      <c r="AD13" s="139">
        <v>15.261</v>
      </c>
      <c r="AE13" s="145">
        <f aca="true" t="shared" si="1" ref="AE13:AE27">AD13/AC13*100-100</f>
        <v>4.7138740222313515</v>
      </c>
      <c r="AF13" s="100" t="s">
        <v>61</v>
      </c>
    </row>
    <row r="14" spans="1:32" ht="12.75" customHeight="1">
      <c r="A14" s="104"/>
      <c r="B14" s="100" t="s">
        <v>63</v>
      </c>
      <c r="C14" s="141">
        <v>113</v>
      </c>
      <c r="D14" s="141">
        <v>121.3</v>
      </c>
      <c r="E14" s="141">
        <v>101.7</v>
      </c>
      <c r="F14" s="126">
        <v>82.2</v>
      </c>
      <c r="G14" s="126">
        <v>72.8</v>
      </c>
      <c r="H14" s="126">
        <v>65.6</v>
      </c>
      <c r="I14" s="126">
        <v>70.7</v>
      </c>
      <c r="J14" s="126">
        <v>70.5</v>
      </c>
      <c r="K14" s="126">
        <v>70</v>
      </c>
      <c r="L14" s="126">
        <v>73.9</v>
      </c>
      <c r="M14" s="126">
        <v>74.2</v>
      </c>
      <c r="N14" s="126">
        <v>76.822</v>
      </c>
      <c r="O14" s="126">
        <v>82.675</v>
      </c>
      <c r="P14" s="126">
        <v>81.042</v>
      </c>
      <c r="Q14" s="142">
        <v>81.059</v>
      </c>
      <c r="R14" s="126">
        <v>85.128</v>
      </c>
      <c r="S14" s="126">
        <v>91.921</v>
      </c>
      <c r="T14" s="126">
        <v>95.42</v>
      </c>
      <c r="U14" s="126">
        <v>107.007</v>
      </c>
      <c r="V14" s="126">
        <v>114.615</v>
      </c>
      <c r="W14" s="126">
        <v>115.652</v>
      </c>
      <c r="X14" s="126">
        <v>95.834</v>
      </c>
      <c r="Y14" s="126">
        <v>107.317</v>
      </c>
      <c r="Z14" s="126">
        <v>113.317</v>
      </c>
      <c r="AA14" s="126">
        <v>110.065</v>
      </c>
      <c r="AB14" s="126">
        <v>112.613</v>
      </c>
      <c r="AC14" s="159">
        <v>112.629</v>
      </c>
      <c r="AD14" s="145">
        <v>116.632</v>
      </c>
      <c r="AE14" s="145">
        <f t="shared" si="1"/>
        <v>3.5541468005575894</v>
      </c>
      <c r="AF14" s="100" t="s">
        <v>63</v>
      </c>
    </row>
    <row r="15" spans="1:32" ht="12.75" customHeight="1">
      <c r="A15" s="104"/>
      <c r="B15" s="100" t="s">
        <v>14</v>
      </c>
      <c r="C15" s="141">
        <v>1.701</v>
      </c>
      <c r="D15" s="141">
        <v>1.619</v>
      </c>
      <c r="E15" s="141">
        <v>1.73</v>
      </c>
      <c r="F15" s="126">
        <v>1.858</v>
      </c>
      <c r="G15" s="126">
        <v>1.87</v>
      </c>
      <c r="H15" s="126">
        <v>1.796</v>
      </c>
      <c r="I15" s="126">
        <v>2.008</v>
      </c>
      <c r="J15" s="126">
        <v>1.985</v>
      </c>
      <c r="K15" s="126">
        <v>1.757</v>
      </c>
      <c r="L15" s="126">
        <v>1.983</v>
      </c>
      <c r="M15" s="126">
        <v>2.058</v>
      </c>
      <c r="N15" s="126">
        <v>1.938</v>
      </c>
      <c r="O15" s="126">
        <v>2.025</v>
      </c>
      <c r="P15" s="126">
        <v>2.091</v>
      </c>
      <c r="Q15" s="126">
        <v>1.877</v>
      </c>
      <c r="R15" s="126">
        <v>1.985</v>
      </c>
      <c r="S15" s="126">
        <v>2.321</v>
      </c>
      <c r="T15" s="126">
        <v>1.976</v>
      </c>
      <c r="U15" s="126">
        <v>1.892</v>
      </c>
      <c r="V15" s="126">
        <v>1.779</v>
      </c>
      <c r="W15" s="126">
        <v>1.866</v>
      </c>
      <c r="X15" s="126">
        <v>1.7</v>
      </c>
      <c r="Y15" s="126">
        <v>2.239</v>
      </c>
      <c r="Z15" s="126">
        <v>2.615</v>
      </c>
      <c r="AA15" s="126">
        <v>2.278</v>
      </c>
      <c r="AB15" s="126">
        <v>2.449</v>
      </c>
      <c r="AC15" s="159">
        <v>2.455</v>
      </c>
      <c r="AD15" s="145">
        <v>2.273</v>
      </c>
      <c r="AE15" s="139">
        <f t="shared" si="1"/>
        <v>-7.413441955193477</v>
      </c>
      <c r="AF15" s="114" t="s">
        <v>14</v>
      </c>
    </row>
    <row r="16" spans="1:32" ht="12.75" customHeight="1">
      <c r="A16" s="104"/>
      <c r="B16" s="100" t="s">
        <v>64</v>
      </c>
      <c r="C16" s="141">
        <v>5.7</v>
      </c>
      <c r="D16" s="141">
        <v>6.5</v>
      </c>
      <c r="E16" s="141">
        <v>6.98</v>
      </c>
      <c r="F16" s="126">
        <v>6.5</v>
      </c>
      <c r="G16" s="126">
        <v>3.4</v>
      </c>
      <c r="H16" s="126">
        <v>4.2</v>
      </c>
      <c r="I16" s="126">
        <v>3.6</v>
      </c>
      <c r="J16" s="126">
        <v>3.845</v>
      </c>
      <c r="K16" s="126">
        <v>4.198</v>
      </c>
      <c r="L16" s="126">
        <v>5.102</v>
      </c>
      <c r="M16" s="126">
        <v>6.079</v>
      </c>
      <c r="N16" s="126">
        <v>7.295</v>
      </c>
      <c r="O16" s="126">
        <v>8.102</v>
      </c>
      <c r="P16" s="126">
        <v>8.557</v>
      </c>
      <c r="Q16" s="126">
        <v>9.697</v>
      </c>
      <c r="R16" s="126">
        <v>9.67</v>
      </c>
      <c r="S16" s="126">
        <v>10.488</v>
      </c>
      <c r="T16" s="126">
        <v>10.639</v>
      </c>
      <c r="U16" s="126">
        <v>10.418</v>
      </c>
      <c r="V16" s="126">
        <v>8.43</v>
      </c>
      <c r="W16" s="126">
        <v>5.943</v>
      </c>
      <c r="X16" s="126">
        <v>5.947</v>
      </c>
      <c r="Y16" s="126">
        <v>6.638</v>
      </c>
      <c r="Z16" s="126">
        <v>6.271</v>
      </c>
      <c r="AA16" s="126">
        <v>5.129</v>
      </c>
      <c r="AB16" s="126">
        <v>4.722</v>
      </c>
      <c r="AC16" s="159">
        <v>3.256</v>
      </c>
      <c r="AD16" s="145">
        <v>3.117</v>
      </c>
      <c r="AE16" s="139">
        <f t="shared" si="1"/>
        <v>-4.269041769041763</v>
      </c>
      <c r="AF16" s="114" t="s">
        <v>64</v>
      </c>
    </row>
    <row r="17" spans="1:32" ht="12.75" customHeight="1">
      <c r="A17" s="104"/>
      <c r="B17" s="114" t="s">
        <v>15</v>
      </c>
      <c r="C17" s="195">
        <v>0.688</v>
      </c>
      <c r="D17" s="195">
        <v>0.814</v>
      </c>
      <c r="E17" s="195">
        <v>0.609</v>
      </c>
      <c r="F17" s="125">
        <v>0.561</v>
      </c>
      <c r="G17" s="125">
        <v>0.527</v>
      </c>
      <c r="H17" s="125">
        <v>0.503</v>
      </c>
      <c r="I17" s="125">
        <v>0.31</v>
      </c>
      <c r="J17" s="125">
        <v>0.292</v>
      </c>
      <c r="K17" s="125">
        <v>0.337</v>
      </c>
      <c r="L17" s="125">
        <v>0.317</v>
      </c>
      <c r="M17" s="125">
        <v>0.326</v>
      </c>
      <c r="N17" s="125">
        <v>0.326</v>
      </c>
      <c r="O17" s="125">
        <v>0.427</v>
      </c>
      <c r="P17" s="125">
        <v>0.38</v>
      </c>
      <c r="Q17" s="125">
        <v>0.327</v>
      </c>
      <c r="R17" s="125">
        <v>0.456</v>
      </c>
      <c r="S17" s="125">
        <v>0.592</v>
      </c>
      <c r="T17" s="125">
        <v>0.613</v>
      </c>
      <c r="U17" s="125">
        <v>0.662</v>
      </c>
      <c r="V17" s="125">
        <v>0.835</v>
      </c>
      <c r="W17" s="125">
        <v>0.786</v>
      </c>
      <c r="X17" s="125">
        <v>0.552</v>
      </c>
      <c r="Y17" s="125">
        <v>0.614</v>
      </c>
      <c r="Z17" s="125">
        <v>0.352</v>
      </c>
      <c r="AA17" s="125">
        <v>0.283</v>
      </c>
      <c r="AB17" s="125">
        <v>0.237</v>
      </c>
      <c r="AC17" s="160">
        <v>0.311</v>
      </c>
      <c r="AD17" s="139">
        <v>0.294</v>
      </c>
      <c r="AE17" s="139">
        <f t="shared" si="1"/>
        <v>-5.466237942122191</v>
      </c>
      <c r="AF17" s="114" t="s">
        <v>15</v>
      </c>
    </row>
    <row r="18" spans="1:32" ht="12.75" customHeight="1">
      <c r="A18" s="104"/>
      <c r="B18" s="114" t="s">
        <v>66</v>
      </c>
      <c r="C18" s="245">
        <v>9.741</v>
      </c>
      <c r="D18" s="245">
        <v>11.281</v>
      </c>
      <c r="E18" s="245">
        <v>11.153</v>
      </c>
      <c r="F18" s="124">
        <v>10.462</v>
      </c>
      <c r="G18" s="124">
        <v>9.205</v>
      </c>
      <c r="H18" s="124">
        <v>7.836</v>
      </c>
      <c r="I18" s="124">
        <v>9.089</v>
      </c>
      <c r="J18" s="124">
        <v>10.955</v>
      </c>
      <c r="K18" s="124">
        <v>11.125</v>
      </c>
      <c r="L18" s="124">
        <v>12.511</v>
      </c>
      <c r="M18" s="124">
        <v>11.322</v>
      </c>
      <c r="N18" s="124">
        <v>11.487</v>
      </c>
      <c r="O18" s="124">
        <v>11.614</v>
      </c>
      <c r="P18" s="124">
        <v>11.717</v>
      </c>
      <c r="Q18" s="124">
        <v>11.569</v>
      </c>
      <c r="R18" s="125">
        <v>11.743</v>
      </c>
      <c r="S18" s="124">
        <v>12.436</v>
      </c>
      <c r="T18" s="124">
        <v>11.585</v>
      </c>
      <c r="U18" s="124">
        <v>11.541</v>
      </c>
      <c r="V18" s="125">
        <v>11.237</v>
      </c>
      <c r="W18" s="125">
        <v>10.971</v>
      </c>
      <c r="X18" s="125">
        <v>7.806</v>
      </c>
      <c r="Y18" s="125">
        <v>8.913</v>
      </c>
      <c r="Z18" s="125">
        <v>9.451</v>
      </c>
      <c r="AA18" s="125">
        <v>9.458</v>
      </c>
      <c r="AB18" s="125">
        <v>9.338</v>
      </c>
      <c r="AC18" s="160">
        <v>10.385</v>
      </c>
      <c r="AD18" s="139">
        <v>11.131</v>
      </c>
      <c r="AE18" s="145">
        <f t="shared" si="1"/>
        <v>7.1834376504573925</v>
      </c>
      <c r="AF18" s="100" t="s">
        <v>66</v>
      </c>
    </row>
    <row r="19" spans="1:32" ht="12.75" customHeight="1">
      <c r="A19" s="104"/>
      <c r="B19" s="114" t="s">
        <v>87</v>
      </c>
      <c r="C19" s="195">
        <v>6.27</v>
      </c>
      <c r="D19" s="195">
        <v>8.335</v>
      </c>
      <c r="E19" s="195">
        <v>8.357</v>
      </c>
      <c r="F19" s="125">
        <v>7.63</v>
      </c>
      <c r="G19" s="125">
        <v>7.848</v>
      </c>
      <c r="H19" s="125">
        <v>9.26</v>
      </c>
      <c r="I19" s="125">
        <v>9.948</v>
      </c>
      <c r="J19" s="125">
        <v>9.6</v>
      </c>
      <c r="K19" s="125">
        <v>8.806</v>
      </c>
      <c r="L19" s="125">
        <v>9.856</v>
      </c>
      <c r="M19" s="125">
        <v>9.885</v>
      </c>
      <c r="N19" s="125">
        <v>9.753</v>
      </c>
      <c r="O19" s="125">
        <v>10.107</v>
      </c>
      <c r="P19" s="125">
        <v>9.857</v>
      </c>
      <c r="Q19" s="125">
        <v>9.664</v>
      </c>
      <c r="R19" s="125">
        <v>10.047</v>
      </c>
      <c r="S19" s="125">
        <v>10.105</v>
      </c>
      <c r="T19" s="125">
        <v>9.706</v>
      </c>
      <c r="U19" s="125">
        <v>11.06</v>
      </c>
      <c r="V19" s="125">
        <v>10.434</v>
      </c>
      <c r="W19" s="125">
        <v>10.777</v>
      </c>
      <c r="X19" s="125">
        <v>8.872</v>
      </c>
      <c r="Y19" s="125">
        <v>9.75</v>
      </c>
      <c r="Z19" s="125">
        <v>9.395</v>
      </c>
      <c r="AA19" s="125">
        <v>9.275</v>
      </c>
      <c r="AB19" s="125">
        <v>9.47</v>
      </c>
      <c r="AC19" s="160">
        <v>9.597</v>
      </c>
      <c r="AD19" s="139">
        <v>8.468</v>
      </c>
      <c r="AE19" s="139">
        <f t="shared" si="1"/>
        <v>-11.764092945712207</v>
      </c>
      <c r="AF19" s="114" t="s">
        <v>87</v>
      </c>
    </row>
    <row r="20" spans="1:32" ht="12.75" customHeight="1">
      <c r="A20" s="104"/>
      <c r="B20" s="100" t="s">
        <v>67</v>
      </c>
      <c r="C20" s="138">
        <v>67.586</v>
      </c>
      <c r="D20" s="138">
        <v>68.815</v>
      </c>
      <c r="E20" s="138">
        <v>52.24</v>
      </c>
      <c r="F20" s="128">
        <v>52.430011</v>
      </c>
      <c r="G20" s="128">
        <v>51.180591</v>
      </c>
      <c r="H20" s="128">
        <v>45.582509</v>
      </c>
      <c r="I20" s="128">
        <v>48.871258</v>
      </c>
      <c r="J20" s="128">
        <v>48.266068</v>
      </c>
      <c r="K20" s="128">
        <v>50.113</v>
      </c>
      <c r="L20" s="128">
        <v>54.246</v>
      </c>
      <c r="M20" s="128">
        <v>54.09952500000001</v>
      </c>
      <c r="N20" s="128">
        <v>54.53801500294</v>
      </c>
      <c r="O20" s="128">
        <v>57.72575464222399</v>
      </c>
      <c r="P20" s="128">
        <v>51.718302252257004</v>
      </c>
      <c r="Q20" s="128">
        <v>51.288192553031</v>
      </c>
      <c r="R20" s="128">
        <v>48.057268754624005</v>
      </c>
      <c r="S20" s="128">
        <v>46.348370260433</v>
      </c>
      <c r="T20" s="128">
        <v>40.701180450133</v>
      </c>
      <c r="U20" s="128">
        <v>41.17892025294501</v>
      </c>
      <c r="V20" s="128">
        <v>42.623</v>
      </c>
      <c r="W20" s="128">
        <v>40.436</v>
      </c>
      <c r="X20" s="128">
        <v>32.13</v>
      </c>
      <c r="Y20" s="128">
        <v>29.965</v>
      </c>
      <c r="Z20" s="128">
        <v>34.202</v>
      </c>
      <c r="AA20" s="128">
        <v>32.552</v>
      </c>
      <c r="AB20" s="128">
        <v>32.23</v>
      </c>
      <c r="AC20" s="129">
        <v>32.596</v>
      </c>
      <c r="AD20" s="145">
        <v>34.252</v>
      </c>
      <c r="AE20" s="139">
        <f t="shared" si="1"/>
        <v>5.080377960485976</v>
      </c>
      <c r="AF20" s="114" t="s">
        <v>67</v>
      </c>
    </row>
    <row r="21" spans="1:32" ht="12.75" customHeight="1">
      <c r="A21" s="104"/>
      <c r="B21" s="114" t="s">
        <v>148</v>
      </c>
      <c r="C21" s="195"/>
      <c r="D21" s="195"/>
      <c r="E21" s="195" t="s">
        <v>99</v>
      </c>
      <c r="F21" s="125"/>
      <c r="G21" s="125"/>
      <c r="H21" s="125"/>
      <c r="I21" s="125"/>
      <c r="J21" s="125">
        <v>1.974</v>
      </c>
      <c r="K21" s="125">
        <v>1.717</v>
      </c>
      <c r="L21" s="125">
        <v>1.715</v>
      </c>
      <c r="M21" s="125">
        <v>1.831</v>
      </c>
      <c r="N21" s="125">
        <v>1.685</v>
      </c>
      <c r="O21" s="125">
        <v>1.788</v>
      </c>
      <c r="P21" s="125">
        <v>2.074</v>
      </c>
      <c r="Q21" s="125">
        <v>2.206</v>
      </c>
      <c r="R21" s="125">
        <v>2.487</v>
      </c>
      <c r="S21" s="125">
        <v>2.493</v>
      </c>
      <c r="T21" s="125">
        <v>2.835</v>
      </c>
      <c r="U21" s="125">
        <v>3.305</v>
      </c>
      <c r="V21" s="125">
        <v>3.574</v>
      </c>
      <c r="W21" s="125">
        <v>3.312</v>
      </c>
      <c r="X21" s="125">
        <v>2.641</v>
      </c>
      <c r="Y21" s="125">
        <v>2.618</v>
      </c>
      <c r="Z21" s="125">
        <v>2.438</v>
      </c>
      <c r="AA21" s="125">
        <v>2.332</v>
      </c>
      <c r="AB21" s="125">
        <v>2.086</v>
      </c>
      <c r="AC21" s="160">
        <v>2.119</v>
      </c>
      <c r="AD21" s="139">
        <v>2.184</v>
      </c>
      <c r="AE21" s="145">
        <f t="shared" si="1"/>
        <v>3.067484662576689</v>
      </c>
      <c r="AF21" s="100" t="s">
        <v>148</v>
      </c>
    </row>
    <row r="22" spans="1:32" ht="12.75" customHeight="1">
      <c r="A22" s="104"/>
      <c r="B22" s="100" t="s">
        <v>77</v>
      </c>
      <c r="C22" s="141">
        <v>19.82</v>
      </c>
      <c r="D22" s="141">
        <v>24.4</v>
      </c>
      <c r="E22" s="141">
        <v>16.8</v>
      </c>
      <c r="F22" s="126">
        <v>11.9</v>
      </c>
      <c r="G22" s="126">
        <v>10</v>
      </c>
      <c r="H22" s="126">
        <v>7.7</v>
      </c>
      <c r="I22" s="126">
        <v>7.7</v>
      </c>
      <c r="J22" s="126">
        <v>8.4</v>
      </c>
      <c r="K22" s="126">
        <v>7.6</v>
      </c>
      <c r="L22" s="126">
        <v>8.147</v>
      </c>
      <c r="M22" s="126">
        <v>8.15</v>
      </c>
      <c r="N22" s="126">
        <v>8.5</v>
      </c>
      <c r="O22" s="126">
        <v>8.8</v>
      </c>
      <c r="P22" s="126">
        <v>7.7</v>
      </c>
      <c r="Q22" s="126">
        <v>7.8</v>
      </c>
      <c r="R22" s="126">
        <v>7.614</v>
      </c>
      <c r="S22" s="126">
        <v>8.749</v>
      </c>
      <c r="T22" s="126">
        <v>9.09</v>
      </c>
      <c r="U22" s="126">
        <v>10.167</v>
      </c>
      <c r="V22" s="126">
        <v>10.048</v>
      </c>
      <c r="W22" s="126">
        <v>9.874</v>
      </c>
      <c r="X22" s="126">
        <v>7.673</v>
      </c>
      <c r="Y22" s="126">
        <v>8.809</v>
      </c>
      <c r="Z22" s="126">
        <v>9.118</v>
      </c>
      <c r="AA22" s="126">
        <v>9.23</v>
      </c>
      <c r="AB22" s="126">
        <v>9.722</v>
      </c>
      <c r="AC22" s="159">
        <v>10.158</v>
      </c>
      <c r="AD22" s="145">
        <v>10.01</v>
      </c>
      <c r="AE22" s="145">
        <f t="shared" si="1"/>
        <v>-1.456979720417408</v>
      </c>
      <c r="AF22" s="100" t="s">
        <v>77</v>
      </c>
    </row>
    <row r="23" spans="1:32" ht="12.75" customHeight="1">
      <c r="A23" s="104"/>
      <c r="B23" s="114" t="s">
        <v>68</v>
      </c>
      <c r="C23" s="195">
        <v>0.545</v>
      </c>
      <c r="D23" s="195">
        <v>0.637</v>
      </c>
      <c r="E23" s="195">
        <v>0.589</v>
      </c>
      <c r="F23" s="125">
        <v>0.603</v>
      </c>
      <c r="G23" s="125">
        <v>0.633</v>
      </c>
      <c r="H23" s="125">
        <v>0.575</v>
      </c>
      <c r="I23" s="125">
        <v>0.569</v>
      </c>
      <c r="J23" s="125">
        <v>0.602</v>
      </c>
      <c r="K23" s="125">
        <v>0.57</v>
      </c>
      <c r="L23" s="125">
        <v>0.522</v>
      </c>
      <c r="M23" s="125">
        <v>0.466</v>
      </c>
      <c r="N23" s="125">
        <v>0.526</v>
      </c>
      <c r="O23" s="125">
        <v>0.491</v>
      </c>
      <c r="P23" s="125">
        <v>0.516</v>
      </c>
      <c r="Q23" s="125">
        <v>0.426</v>
      </c>
      <c r="R23" s="125">
        <v>0.398</v>
      </c>
      <c r="S23" s="125">
        <v>0.399</v>
      </c>
      <c r="T23" s="125">
        <v>0.303</v>
      </c>
      <c r="U23" s="125">
        <v>0.205</v>
      </c>
      <c r="V23" s="125">
        <v>0.129</v>
      </c>
      <c r="W23" s="125">
        <v>0.103</v>
      </c>
      <c r="X23" s="125">
        <v>0.079</v>
      </c>
      <c r="Y23" s="125">
        <v>0.092</v>
      </c>
      <c r="Z23" s="125">
        <v>0.105</v>
      </c>
      <c r="AA23" s="125">
        <v>0.091</v>
      </c>
      <c r="AB23" s="125">
        <v>0.099</v>
      </c>
      <c r="AC23" s="160">
        <v>0.1</v>
      </c>
      <c r="AD23" s="139">
        <v>0.096</v>
      </c>
      <c r="AE23" s="145">
        <f t="shared" si="1"/>
        <v>-4</v>
      </c>
      <c r="AF23" s="100" t="s">
        <v>68</v>
      </c>
    </row>
    <row r="24" spans="1:32" ht="12.75" customHeight="1">
      <c r="A24" s="104"/>
      <c r="B24" s="114" t="s">
        <v>69</v>
      </c>
      <c r="C24" s="195">
        <v>18.069</v>
      </c>
      <c r="D24" s="195">
        <v>18.384</v>
      </c>
      <c r="E24" s="195">
        <v>19.361</v>
      </c>
      <c r="F24" s="125">
        <v>19.963</v>
      </c>
      <c r="G24" s="125">
        <v>19.267</v>
      </c>
      <c r="H24" s="125">
        <v>18.12</v>
      </c>
      <c r="I24" s="125">
        <v>20.425</v>
      </c>
      <c r="J24" s="125">
        <v>21.69</v>
      </c>
      <c r="K24" s="125">
        <v>21.034</v>
      </c>
      <c r="L24" s="125">
        <v>22.903</v>
      </c>
      <c r="M24" s="125">
        <v>22.454</v>
      </c>
      <c r="N24" s="125">
        <v>21.549</v>
      </c>
      <c r="O24" s="125">
        <v>22.817</v>
      </c>
      <c r="P24" s="125">
        <v>21.762</v>
      </c>
      <c r="Q24" s="125">
        <v>20.679</v>
      </c>
      <c r="R24" s="125">
        <v>20.299</v>
      </c>
      <c r="S24" s="125">
        <v>22.183</v>
      </c>
      <c r="T24" s="125">
        <v>22.761</v>
      </c>
      <c r="U24" s="125">
        <v>24.151</v>
      </c>
      <c r="V24" s="125">
        <v>25.285</v>
      </c>
      <c r="W24" s="125">
        <v>23.831</v>
      </c>
      <c r="X24" s="125">
        <v>17.791</v>
      </c>
      <c r="Y24" s="125">
        <v>18.616</v>
      </c>
      <c r="Z24" s="125">
        <v>19.787</v>
      </c>
      <c r="AA24" s="125">
        <v>20.244</v>
      </c>
      <c r="AB24" s="125">
        <v>19.037</v>
      </c>
      <c r="AC24" s="160">
        <v>20.157</v>
      </c>
      <c r="AD24" s="139">
        <v>20.781</v>
      </c>
      <c r="AE24" s="139">
        <f t="shared" si="1"/>
        <v>3.095698764697133</v>
      </c>
      <c r="AF24" s="114" t="s">
        <v>69</v>
      </c>
    </row>
    <row r="25" spans="1:32" ht="12.75" customHeight="1">
      <c r="A25" s="104"/>
      <c r="B25" s="100" t="s">
        <v>73</v>
      </c>
      <c r="C25" s="138">
        <v>13.57</v>
      </c>
      <c r="D25" s="138">
        <v>18.24</v>
      </c>
      <c r="E25" s="138">
        <v>19.26</v>
      </c>
      <c r="F25" s="128">
        <v>17.7</v>
      </c>
      <c r="G25" s="128">
        <v>11.34</v>
      </c>
      <c r="H25" s="128">
        <v>9.9</v>
      </c>
      <c r="I25" s="128">
        <v>8</v>
      </c>
      <c r="J25" s="128">
        <v>7.2</v>
      </c>
      <c r="K25" s="128">
        <v>8.103</v>
      </c>
      <c r="L25" s="128">
        <v>8.622</v>
      </c>
      <c r="M25" s="128">
        <v>8.265</v>
      </c>
      <c r="N25" s="128">
        <v>7.849</v>
      </c>
      <c r="O25" s="128">
        <v>8.918</v>
      </c>
      <c r="P25" s="128">
        <v>7.741</v>
      </c>
      <c r="Q25" s="128">
        <v>9.767</v>
      </c>
      <c r="R25" s="128">
        <v>11.457</v>
      </c>
      <c r="S25" s="128">
        <v>11.637</v>
      </c>
      <c r="T25" s="128">
        <v>12.457</v>
      </c>
      <c r="U25" s="128">
        <v>12.896</v>
      </c>
      <c r="V25" s="128">
        <v>14.373</v>
      </c>
      <c r="W25" s="128">
        <v>14.748</v>
      </c>
      <c r="X25" s="128">
        <v>11.888</v>
      </c>
      <c r="Y25" s="128">
        <v>13.431</v>
      </c>
      <c r="Z25" s="128">
        <v>15.088</v>
      </c>
      <c r="AA25" s="128">
        <v>14.172</v>
      </c>
      <c r="AB25" s="128">
        <v>13.344</v>
      </c>
      <c r="AC25" s="129">
        <v>14.307</v>
      </c>
      <c r="AD25" s="145">
        <v>14.036</v>
      </c>
      <c r="AE25" s="145">
        <f t="shared" si="1"/>
        <v>-1.8941776752638617</v>
      </c>
      <c r="AF25" s="100" t="s">
        <v>73</v>
      </c>
    </row>
    <row r="26" spans="1:32" ht="12.75" customHeight="1">
      <c r="A26" s="104"/>
      <c r="B26" s="114" t="s">
        <v>76</v>
      </c>
      <c r="C26" s="245">
        <v>0.763</v>
      </c>
      <c r="D26" s="245">
        <v>0.665</v>
      </c>
      <c r="E26" s="245">
        <v>0.615</v>
      </c>
      <c r="F26" s="124">
        <v>0.622</v>
      </c>
      <c r="G26" s="124">
        <v>0.597</v>
      </c>
      <c r="H26" s="124">
        <v>0.607</v>
      </c>
      <c r="I26" s="124">
        <v>0.645</v>
      </c>
      <c r="J26" s="124">
        <v>0.529</v>
      </c>
      <c r="K26" s="124">
        <v>0.53</v>
      </c>
      <c r="L26" s="124">
        <v>0.566</v>
      </c>
      <c r="M26" s="124">
        <v>0.574</v>
      </c>
      <c r="N26" s="124">
        <v>0.608</v>
      </c>
      <c r="O26" s="124">
        <v>0.632</v>
      </c>
      <c r="P26" s="124">
        <v>0.585</v>
      </c>
      <c r="Q26" s="125">
        <v>0.55</v>
      </c>
      <c r="R26" s="125">
        <v>0.525</v>
      </c>
      <c r="S26" s="125">
        <v>0.559</v>
      </c>
      <c r="T26" s="125">
        <v>0.392</v>
      </c>
      <c r="U26" s="125">
        <v>0.441</v>
      </c>
      <c r="V26" s="125">
        <v>0.574</v>
      </c>
      <c r="W26" s="125">
        <v>0.279</v>
      </c>
      <c r="X26" s="125">
        <v>0.2</v>
      </c>
      <c r="Y26" s="125">
        <v>0.323</v>
      </c>
      <c r="Z26" s="125">
        <v>0.288</v>
      </c>
      <c r="AA26" s="125">
        <v>0.231</v>
      </c>
      <c r="AB26" s="125">
        <v>0.218</v>
      </c>
      <c r="AC26" s="160">
        <v>0.208</v>
      </c>
      <c r="AD26" s="139">
        <v>0.207</v>
      </c>
      <c r="AE26" s="136">
        <f t="shared" si="1"/>
        <v>-0.4807692307692264</v>
      </c>
      <c r="AF26" s="114" t="s">
        <v>76</v>
      </c>
    </row>
    <row r="27" spans="1:32" ht="12.75" customHeight="1">
      <c r="A27" s="104"/>
      <c r="B27" s="100" t="s">
        <v>72</v>
      </c>
      <c r="C27" s="141">
        <v>15.52</v>
      </c>
      <c r="D27" s="141">
        <v>17.59</v>
      </c>
      <c r="E27" s="141">
        <v>18.54</v>
      </c>
      <c r="F27" s="126">
        <v>16.7</v>
      </c>
      <c r="G27" s="126">
        <v>10.12</v>
      </c>
      <c r="H27" s="126">
        <v>9.85</v>
      </c>
      <c r="I27" s="126">
        <v>9.52</v>
      </c>
      <c r="J27" s="126">
        <v>9.76</v>
      </c>
      <c r="K27" s="126">
        <v>12.413</v>
      </c>
      <c r="L27" s="126">
        <v>13.97</v>
      </c>
      <c r="M27" s="126">
        <v>12.996</v>
      </c>
      <c r="N27" s="126">
        <v>12.21</v>
      </c>
      <c r="O27" s="126">
        <v>13.31</v>
      </c>
      <c r="P27" s="126">
        <v>14.18</v>
      </c>
      <c r="Q27" s="126">
        <v>15.02</v>
      </c>
      <c r="R27" s="126">
        <v>17.955</v>
      </c>
      <c r="S27" s="126">
        <v>18.618</v>
      </c>
      <c r="T27" s="126">
        <v>19.779</v>
      </c>
      <c r="U27" s="126">
        <v>16.831</v>
      </c>
      <c r="V27" s="126">
        <v>18.313</v>
      </c>
      <c r="W27" s="126">
        <v>19.581</v>
      </c>
      <c r="X27" s="126">
        <v>18.725</v>
      </c>
      <c r="Y27" s="126">
        <v>17.179</v>
      </c>
      <c r="Z27" s="126">
        <v>21.41</v>
      </c>
      <c r="AA27" s="126">
        <v>21.867</v>
      </c>
      <c r="AB27" s="126">
        <v>19.532</v>
      </c>
      <c r="AC27" s="159">
        <v>19.441</v>
      </c>
      <c r="AD27" s="145">
        <v>18.906</v>
      </c>
      <c r="AE27" s="139">
        <f t="shared" si="1"/>
        <v>-2.7519160537009384</v>
      </c>
      <c r="AF27" s="114" t="s">
        <v>72</v>
      </c>
    </row>
    <row r="28" spans="1:32" ht="12.75" customHeight="1">
      <c r="A28" s="104"/>
      <c r="B28" s="114" t="s">
        <v>78</v>
      </c>
      <c r="C28" s="195" t="s">
        <v>146</v>
      </c>
      <c r="D28" s="195" t="s">
        <v>146</v>
      </c>
      <c r="E28" s="195" t="s">
        <v>146</v>
      </c>
      <c r="F28" s="125" t="s">
        <v>146</v>
      </c>
      <c r="G28" s="125" t="s">
        <v>146</v>
      </c>
      <c r="H28" s="125" t="s">
        <v>146</v>
      </c>
      <c r="I28" s="125" t="s">
        <v>146</v>
      </c>
      <c r="J28" s="125" t="s">
        <v>146</v>
      </c>
      <c r="K28" s="125" t="s">
        <v>146</v>
      </c>
      <c r="L28" s="125" t="s">
        <v>146</v>
      </c>
      <c r="M28" s="125" t="s">
        <v>146</v>
      </c>
      <c r="N28" s="125" t="s">
        <v>146</v>
      </c>
      <c r="O28" s="125" t="s">
        <v>146</v>
      </c>
      <c r="P28" s="125" t="s">
        <v>146</v>
      </c>
      <c r="Q28" s="125" t="s">
        <v>146</v>
      </c>
      <c r="R28" s="125" t="s">
        <v>146</v>
      </c>
      <c r="S28" s="125" t="s">
        <v>146</v>
      </c>
      <c r="T28" s="125" t="s">
        <v>146</v>
      </c>
      <c r="U28" s="125" t="s">
        <v>146</v>
      </c>
      <c r="V28" s="125" t="s">
        <v>146</v>
      </c>
      <c r="W28" s="125" t="s">
        <v>146</v>
      </c>
      <c r="X28" s="125" t="s">
        <v>146</v>
      </c>
      <c r="Y28" s="125" t="s">
        <v>146</v>
      </c>
      <c r="Z28" s="125" t="s">
        <v>146</v>
      </c>
      <c r="AA28" s="125" t="s">
        <v>146</v>
      </c>
      <c r="AB28" s="125" t="s">
        <v>146</v>
      </c>
      <c r="AC28" s="160" t="s">
        <v>146</v>
      </c>
      <c r="AD28" s="136" t="s">
        <v>146</v>
      </c>
      <c r="AE28" s="136" t="s">
        <v>146</v>
      </c>
      <c r="AF28" s="114" t="s">
        <v>78</v>
      </c>
    </row>
    <row r="29" spans="1:32" ht="12.75" customHeight="1">
      <c r="A29" s="104"/>
      <c r="B29" s="114" t="s">
        <v>16</v>
      </c>
      <c r="C29" s="195">
        <v>3.715</v>
      </c>
      <c r="D29" s="195">
        <v>3.468</v>
      </c>
      <c r="E29" s="195">
        <v>3.07</v>
      </c>
      <c r="F29" s="125">
        <v>3.038</v>
      </c>
      <c r="G29" s="125">
        <v>2.76</v>
      </c>
      <c r="H29" s="125">
        <v>2.68</v>
      </c>
      <c r="I29" s="125">
        <v>2.83</v>
      </c>
      <c r="J29" s="125">
        <v>3.1</v>
      </c>
      <c r="K29" s="125">
        <v>3.123</v>
      </c>
      <c r="L29" s="125">
        <v>3.406</v>
      </c>
      <c r="M29" s="125">
        <v>3.778</v>
      </c>
      <c r="N29" s="125">
        <v>3.988</v>
      </c>
      <c r="O29" s="125">
        <v>4.522</v>
      </c>
      <c r="P29" s="125">
        <v>4.293</v>
      </c>
      <c r="Q29" s="125">
        <v>4.024</v>
      </c>
      <c r="R29" s="125">
        <v>4.705</v>
      </c>
      <c r="S29" s="125">
        <v>5.831</v>
      </c>
      <c r="T29" s="125">
        <v>5.865</v>
      </c>
      <c r="U29" s="125">
        <v>6.289</v>
      </c>
      <c r="V29" s="125">
        <v>7.216</v>
      </c>
      <c r="W29" s="125">
        <v>6.984</v>
      </c>
      <c r="X29" s="125">
        <v>5.578</v>
      </c>
      <c r="Y29" s="125">
        <v>5.925</v>
      </c>
      <c r="Z29" s="125">
        <v>6.378</v>
      </c>
      <c r="AA29" s="125">
        <v>6.157</v>
      </c>
      <c r="AB29" s="125">
        <v>6.078</v>
      </c>
      <c r="AC29" s="160">
        <v>6.169</v>
      </c>
      <c r="AD29" s="139">
        <v>6.545</v>
      </c>
      <c r="AE29" s="145">
        <f aca="true" t="shared" si="2" ref="AE29:AE41">AD29/AC29*100-100</f>
        <v>6.09499108445452</v>
      </c>
      <c r="AF29" s="100" t="s">
        <v>16</v>
      </c>
    </row>
    <row r="30" spans="1:32" ht="12.75" customHeight="1">
      <c r="A30" s="104"/>
      <c r="B30" s="100" t="s">
        <v>80</v>
      </c>
      <c r="C30" s="141">
        <v>98</v>
      </c>
      <c r="D30" s="141">
        <v>132.4</v>
      </c>
      <c r="E30" s="141">
        <v>81.6</v>
      </c>
      <c r="F30" s="126">
        <v>65.2</v>
      </c>
      <c r="G30" s="126">
        <v>57.8</v>
      </c>
      <c r="H30" s="126">
        <v>63.2</v>
      </c>
      <c r="I30" s="126">
        <v>64.7</v>
      </c>
      <c r="J30" s="126">
        <v>68.2</v>
      </c>
      <c r="K30" s="126">
        <v>67.4</v>
      </c>
      <c r="L30" s="126">
        <v>67.7</v>
      </c>
      <c r="M30" s="126">
        <v>60.9</v>
      </c>
      <c r="N30" s="126">
        <v>55.1</v>
      </c>
      <c r="O30" s="126">
        <v>54</v>
      </c>
      <c r="P30" s="126">
        <v>47.7</v>
      </c>
      <c r="Q30" s="126">
        <v>46.6</v>
      </c>
      <c r="R30" s="126">
        <v>47.407</v>
      </c>
      <c r="S30" s="126">
        <v>52.332</v>
      </c>
      <c r="T30" s="126">
        <v>49.972</v>
      </c>
      <c r="U30" s="126">
        <v>53.622</v>
      </c>
      <c r="V30" s="126">
        <v>54.253</v>
      </c>
      <c r="W30" s="126">
        <v>52.043</v>
      </c>
      <c r="X30" s="126">
        <v>43.445</v>
      </c>
      <c r="Y30" s="126">
        <v>48.705</v>
      </c>
      <c r="Z30" s="126">
        <v>53.746</v>
      </c>
      <c r="AA30" s="126">
        <v>48.903</v>
      </c>
      <c r="AB30" s="126">
        <v>50.881</v>
      </c>
      <c r="AC30" s="159">
        <v>50.073</v>
      </c>
      <c r="AD30" s="145">
        <v>50.603</v>
      </c>
      <c r="AE30" s="145">
        <f t="shared" si="2"/>
        <v>1.0584546562019597</v>
      </c>
      <c r="AF30" s="100" t="s">
        <v>80</v>
      </c>
    </row>
    <row r="31" spans="1:32" ht="12.75" customHeight="1">
      <c r="A31" s="104"/>
      <c r="B31" s="100" t="s">
        <v>92</v>
      </c>
      <c r="C31" s="247">
        <v>0.776</v>
      </c>
      <c r="D31" s="247">
        <v>1.001</v>
      </c>
      <c r="E31" s="247">
        <v>1.459</v>
      </c>
      <c r="F31" s="127">
        <v>1.66</v>
      </c>
      <c r="G31" s="127">
        <v>1.767</v>
      </c>
      <c r="H31" s="127">
        <v>1.666</v>
      </c>
      <c r="I31" s="127">
        <v>1.635</v>
      </c>
      <c r="J31" s="127">
        <v>2.019</v>
      </c>
      <c r="K31" s="127">
        <v>1.857</v>
      </c>
      <c r="L31" s="127">
        <v>2.247</v>
      </c>
      <c r="M31" s="127">
        <v>2.048</v>
      </c>
      <c r="N31" s="127">
        <v>2.179</v>
      </c>
      <c r="O31" s="127">
        <v>2.183</v>
      </c>
      <c r="P31" s="127">
        <v>2.138</v>
      </c>
      <c r="Q31" s="127">
        <v>2.193</v>
      </c>
      <c r="R31" s="127">
        <v>2.073</v>
      </c>
      <c r="S31" s="126">
        <v>2.282</v>
      </c>
      <c r="T31" s="126">
        <v>2.422</v>
      </c>
      <c r="U31" s="126">
        <v>2.43</v>
      </c>
      <c r="V31" s="126">
        <v>2.586</v>
      </c>
      <c r="W31" s="126">
        <v>2.549</v>
      </c>
      <c r="X31" s="126">
        <v>2.174</v>
      </c>
      <c r="Y31" s="126">
        <v>2.313</v>
      </c>
      <c r="Z31" s="126">
        <v>2.322</v>
      </c>
      <c r="AA31" s="126">
        <v>2.421</v>
      </c>
      <c r="AB31" s="126">
        <v>2.29</v>
      </c>
      <c r="AC31" s="159">
        <v>2.434</v>
      </c>
      <c r="AD31" s="145">
        <v>2.688</v>
      </c>
      <c r="AE31" s="139">
        <f t="shared" si="2"/>
        <v>10.435497124075582</v>
      </c>
      <c r="AF31" s="114" t="s">
        <v>92</v>
      </c>
    </row>
    <row r="32" spans="1:32" ht="12.75" customHeight="1">
      <c r="A32" s="104"/>
      <c r="B32" s="114" t="s">
        <v>102</v>
      </c>
      <c r="C32" s="195">
        <v>43.1</v>
      </c>
      <c r="D32" s="195">
        <v>64.8</v>
      </c>
      <c r="E32" s="195">
        <v>48.912</v>
      </c>
      <c r="F32" s="125">
        <v>32.561</v>
      </c>
      <c r="G32" s="125">
        <v>24.387</v>
      </c>
      <c r="H32" s="125">
        <v>22.046</v>
      </c>
      <c r="I32" s="125">
        <v>21.746</v>
      </c>
      <c r="J32" s="125">
        <v>17.907</v>
      </c>
      <c r="K32" s="125">
        <v>24.254</v>
      </c>
      <c r="L32" s="125">
        <v>22.111</v>
      </c>
      <c r="M32" s="125">
        <v>16.619</v>
      </c>
      <c r="N32" s="125">
        <v>14.679</v>
      </c>
      <c r="O32" s="125">
        <v>16.354</v>
      </c>
      <c r="P32" s="125">
        <v>16.102</v>
      </c>
      <c r="Q32" s="125">
        <v>15.218</v>
      </c>
      <c r="R32" s="125">
        <v>15.039</v>
      </c>
      <c r="S32" s="125">
        <v>17.022</v>
      </c>
      <c r="T32" s="125">
        <v>16.582</v>
      </c>
      <c r="U32" s="125">
        <v>15.791</v>
      </c>
      <c r="V32" s="125">
        <v>15.757</v>
      </c>
      <c r="W32" s="125">
        <v>15.236</v>
      </c>
      <c r="X32" s="125">
        <v>11.088</v>
      </c>
      <c r="Y32" s="125">
        <v>12.375</v>
      </c>
      <c r="Z32" s="125">
        <v>14.719</v>
      </c>
      <c r="AA32" s="125">
        <v>13.472</v>
      </c>
      <c r="AB32" s="125">
        <v>12.941</v>
      </c>
      <c r="AC32" s="160">
        <v>12.264</v>
      </c>
      <c r="AD32" s="139">
        <v>13.673</v>
      </c>
      <c r="AE32" s="145">
        <f t="shared" si="2"/>
        <v>11.488910632746268</v>
      </c>
      <c r="AF32" s="100" t="s">
        <v>102</v>
      </c>
    </row>
    <row r="33" spans="1:32" ht="12.75" customHeight="1">
      <c r="A33" s="104"/>
      <c r="B33" s="100" t="s">
        <v>88</v>
      </c>
      <c r="C33" s="138">
        <v>17.311</v>
      </c>
      <c r="D33" s="138">
        <v>16.648</v>
      </c>
      <c r="E33" s="138">
        <v>19.1</v>
      </c>
      <c r="F33" s="128">
        <v>18.816</v>
      </c>
      <c r="G33" s="128">
        <v>19.202</v>
      </c>
      <c r="H33" s="128">
        <v>18.578</v>
      </c>
      <c r="I33" s="128">
        <v>19.069</v>
      </c>
      <c r="J33" s="128">
        <v>19.391</v>
      </c>
      <c r="K33" s="128">
        <v>18.846</v>
      </c>
      <c r="L33" s="128">
        <v>19.181</v>
      </c>
      <c r="M33" s="128">
        <v>19.163</v>
      </c>
      <c r="N33" s="128">
        <v>19.09</v>
      </c>
      <c r="O33" s="128">
        <v>19.475</v>
      </c>
      <c r="P33" s="128">
        <v>18.954</v>
      </c>
      <c r="Q33" s="128">
        <v>19.197</v>
      </c>
      <c r="R33" s="128">
        <v>20.17</v>
      </c>
      <c r="S33" s="128">
        <v>20.856</v>
      </c>
      <c r="T33" s="128">
        <v>21.675</v>
      </c>
      <c r="U33" s="128">
        <v>22.271</v>
      </c>
      <c r="V33" s="128">
        <v>23.25</v>
      </c>
      <c r="W33" s="128">
        <v>22.924</v>
      </c>
      <c r="X33" s="128">
        <v>20.389</v>
      </c>
      <c r="Y33" s="128">
        <v>23.464</v>
      </c>
      <c r="Z33" s="128">
        <v>22.864</v>
      </c>
      <c r="AA33" s="128">
        <v>22.043</v>
      </c>
      <c r="AB33" s="128">
        <v>20.97</v>
      </c>
      <c r="AC33" s="129">
        <v>21.296</v>
      </c>
      <c r="AD33" s="145">
        <v>20.583</v>
      </c>
      <c r="AE33" s="145">
        <f t="shared" si="2"/>
        <v>-3.3480465815176643</v>
      </c>
      <c r="AF33" s="100" t="s">
        <v>88</v>
      </c>
    </row>
    <row r="34" spans="1:32" ht="12.75" customHeight="1">
      <c r="A34" s="104"/>
      <c r="B34" s="100" t="s">
        <v>83</v>
      </c>
      <c r="C34" s="138">
        <v>3.3</v>
      </c>
      <c r="D34" s="138">
        <v>3.8</v>
      </c>
      <c r="E34" s="138">
        <v>4.21</v>
      </c>
      <c r="F34" s="128">
        <v>3.2</v>
      </c>
      <c r="G34" s="128">
        <v>2.57</v>
      </c>
      <c r="H34" s="128">
        <v>2.26</v>
      </c>
      <c r="I34" s="128">
        <v>2.5</v>
      </c>
      <c r="J34" s="128">
        <v>3.076</v>
      </c>
      <c r="K34" s="128">
        <v>2.55</v>
      </c>
      <c r="L34" s="128">
        <v>2.9</v>
      </c>
      <c r="M34" s="128">
        <v>2.9</v>
      </c>
      <c r="N34" s="128">
        <v>2.784</v>
      </c>
      <c r="O34" s="123">
        <v>2.857</v>
      </c>
      <c r="P34" s="128">
        <v>2.837</v>
      </c>
      <c r="Q34" s="128">
        <v>3.078</v>
      </c>
      <c r="R34" s="128">
        <v>3.018</v>
      </c>
      <c r="S34" s="128">
        <v>3.149</v>
      </c>
      <c r="T34" s="128">
        <v>3.245</v>
      </c>
      <c r="U34" s="128">
        <v>3.373</v>
      </c>
      <c r="V34" s="128">
        <v>3.603</v>
      </c>
      <c r="W34" s="128">
        <v>3.52</v>
      </c>
      <c r="X34" s="128">
        <v>2.817</v>
      </c>
      <c r="Y34" s="128">
        <v>3.421</v>
      </c>
      <c r="Z34" s="128">
        <v>3.752</v>
      </c>
      <c r="AA34" s="128">
        <v>3.47</v>
      </c>
      <c r="AB34" s="128">
        <v>3.799</v>
      </c>
      <c r="AC34" s="129">
        <v>4.11</v>
      </c>
      <c r="AD34" s="145">
        <v>4.175</v>
      </c>
      <c r="AE34" s="139">
        <f t="shared" si="2"/>
        <v>1.5815085158150737</v>
      </c>
      <c r="AF34" s="114" t="s">
        <v>83</v>
      </c>
    </row>
    <row r="35" spans="1:32" ht="12.75" customHeight="1">
      <c r="A35" s="104"/>
      <c r="B35" s="100" t="s">
        <v>85</v>
      </c>
      <c r="C35" s="138"/>
      <c r="D35" s="138"/>
      <c r="E35" s="138"/>
      <c r="F35" s="128"/>
      <c r="G35" s="128"/>
      <c r="H35" s="128">
        <v>14.2</v>
      </c>
      <c r="I35" s="128">
        <v>12.2</v>
      </c>
      <c r="J35" s="128">
        <v>13.8</v>
      </c>
      <c r="K35" s="128">
        <v>12</v>
      </c>
      <c r="L35" s="128">
        <v>12.368</v>
      </c>
      <c r="M35" s="128">
        <v>11.753</v>
      </c>
      <c r="N35" s="128">
        <v>9.859</v>
      </c>
      <c r="O35" s="128">
        <v>11.233</v>
      </c>
      <c r="P35" s="128">
        <v>10.93</v>
      </c>
      <c r="Q35" s="128">
        <v>10.38</v>
      </c>
      <c r="R35" s="128">
        <v>10.113</v>
      </c>
      <c r="S35" s="128">
        <v>9.702</v>
      </c>
      <c r="T35" s="128">
        <v>9.463</v>
      </c>
      <c r="U35" s="128">
        <v>9.988</v>
      </c>
      <c r="V35" s="128">
        <v>9.647</v>
      </c>
      <c r="W35" s="128">
        <v>9.299</v>
      </c>
      <c r="X35" s="128">
        <v>6.964</v>
      </c>
      <c r="Y35" s="128">
        <v>8.105</v>
      </c>
      <c r="Z35" s="128">
        <v>7.96</v>
      </c>
      <c r="AA35" s="128">
        <v>7.591</v>
      </c>
      <c r="AB35" s="128">
        <v>8.494</v>
      </c>
      <c r="AC35" s="129">
        <v>8.829</v>
      </c>
      <c r="AD35" s="145">
        <v>8.439</v>
      </c>
      <c r="AE35" s="145">
        <f t="shared" si="2"/>
        <v>-4.417261297995239</v>
      </c>
      <c r="AF35" s="100" t="s">
        <v>85</v>
      </c>
    </row>
    <row r="36" spans="1:32" ht="12.75" customHeight="1">
      <c r="A36" s="104"/>
      <c r="B36" s="115" t="s">
        <v>13</v>
      </c>
      <c r="C36" s="248">
        <v>24.55</v>
      </c>
      <c r="D36" s="248">
        <v>17.816</v>
      </c>
      <c r="E36" s="248">
        <v>16</v>
      </c>
      <c r="F36" s="147">
        <v>15.3</v>
      </c>
      <c r="G36" s="147">
        <v>15.5</v>
      </c>
      <c r="H36" s="147">
        <v>13.8</v>
      </c>
      <c r="I36" s="147">
        <v>13</v>
      </c>
      <c r="J36" s="147">
        <v>13.3</v>
      </c>
      <c r="K36" s="147">
        <v>15.1</v>
      </c>
      <c r="L36" s="147">
        <v>16.9</v>
      </c>
      <c r="M36" s="147">
        <v>17.3</v>
      </c>
      <c r="N36" s="147">
        <v>18.2</v>
      </c>
      <c r="O36" s="147">
        <v>18.1</v>
      </c>
      <c r="P36" s="147">
        <v>19.4</v>
      </c>
      <c r="Q36" s="147">
        <v>18.5</v>
      </c>
      <c r="R36" s="147">
        <v>18.734</v>
      </c>
      <c r="S36" s="147">
        <v>22.552</v>
      </c>
      <c r="T36" s="147">
        <v>21.427</v>
      </c>
      <c r="U36" s="147">
        <v>21.919</v>
      </c>
      <c r="V36" s="147">
        <v>21.265</v>
      </c>
      <c r="W36" s="147">
        <v>21.077</v>
      </c>
      <c r="X36" s="147">
        <v>19.171</v>
      </c>
      <c r="Y36" s="147">
        <v>18.576</v>
      </c>
      <c r="Z36" s="147">
        <v>20.974</v>
      </c>
      <c r="AA36" s="147">
        <v>21.444</v>
      </c>
      <c r="AB36" s="147">
        <v>22.401</v>
      </c>
      <c r="AC36" s="212">
        <v>22.143</v>
      </c>
      <c r="AD36" s="157">
        <v>21.99</v>
      </c>
      <c r="AE36" s="157">
        <f t="shared" si="2"/>
        <v>-0.6909632841078661</v>
      </c>
      <c r="AF36" s="115" t="s">
        <v>13</v>
      </c>
    </row>
    <row r="37" spans="1:32" ht="12.75" customHeight="1">
      <c r="A37" s="104"/>
      <c r="B37" s="100" t="s">
        <v>289</v>
      </c>
      <c r="C37" s="141">
        <v>0.16</v>
      </c>
      <c r="D37" s="292">
        <v>0.477</v>
      </c>
      <c r="E37" s="292">
        <v>0.584</v>
      </c>
      <c r="F37" s="130">
        <v>0.278</v>
      </c>
      <c r="G37" s="293">
        <v>0.06</v>
      </c>
      <c r="H37" s="130">
        <v>0.054</v>
      </c>
      <c r="I37" s="130">
        <v>0.053</v>
      </c>
      <c r="J37" s="130">
        <v>0.053</v>
      </c>
      <c r="K37" s="126">
        <v>0.042</v>
      </c>
      <c r="L37" s="126">
        <v>0.023</v>
      </c>
      <c r="M37" s="126">
        <v>0.025</v>
      </c>
      <c r="N37" s="126">
        <v>0.026</v>
      </c>
      <c r="O37" s="126">
        <v>0.028</v>
      </c>
      <c r="P37" s="126">
        <v>0.019</v>
      </c>
      <c r="Q37" s="126">
        <v>0.021</v>
      </c>
      <c r="R37" s="126">
        <v>0.032</v>
      </c>
      <c r="S37" s="126">
        <v>0.032</v>
      </c>
      <c r="T37" s="126">
        <v>0.026</v>
      </c>
      <c r="U37" s="126">
        <v>0.036</v>
      </c>
      <c r="V37" s="126">
        <v>0.053</v>
      </c>
      <c r="W37" s="126">
        <v>0.052</v>
      </c>
      <c r="X37" s="126">
        <v>0.046</v>
      </c>
      <c r="Y37" s="126">
        <v>0.066177</v>
      </c>
      <c r="Z37" s="126">
        <v>0.050122</v>
      </c>
      <c r="AA37" s="126">
        <v>0.025307</v>
      </c>
      <c r="AB37" s="126">
        <v>0.022975</v>
      </c>
      <c r="AC37" s="159">
        <v>0.039889</v>
      </c>
      <c r="AD37" s="145">
        <v>0.023</v>
      </c>
      <c r="AE37" s="145">
        <f t="shared" si="2"/>
        <v>-42.33999348191231</v>
      </c>
      <c r="AF37" s="100" t="s">
        <v>289</v>
      </c>
    </row>
    <row r="38" spans="1:32" ht="12.75" customHeight="1">
      <c r="A38" s="104"/>
      <c r="B38" s="186" t="s">
        <v>235</v>
      </c>
      <c r="C38" s="254"/>
      <c r="D38" s="254"/>
      <c r="E38" s="196"/>
      <c r="F38" s="196"/>
      <c r="G38" s="196"/>
      <c r="H38" s="196"/>
      <c r="I38" s="196"/>
      <c r="J38" s="196"/>
      <c r="K38" s="196"/>
      <c r="L38" s="196"/>
      <c r="M38" s="196"/>
      <c r="N38" s="196"/>
      <c r="O38" s="196"/>
      <c r="P38" s="196"/>
      <c r="Q38" s="196"/>
      <c r="R38" s="196"/>
      <c r="S38" s="196"/>
      <c r="T38" s="196"/>
      <c r="U38" s="196"/>
      <c r="V38" s="196">
        <v>0.185</v>
      </c>
      <c r="W38" s="196">
        <v>0.183</v>
      </c>
      <c r="X38" s="196">
        <v>0.1</v>
      </c>
      <c r="Y38" s="196">
        <v>0.15</v>
      </c>
      <c r="Z38" s="196">
        <v>0.136</v>
      </c>
      <c r="AA38" s="196">
        <v>0.073</v>
      </c>
      <c r="AB38" s="196">
        <v>0.105</v>
      </c>
      <c r="AC38" s="197">
        <v>0.094</v>
      </c>
      <c r="AD38" s="260">
        <v>0.112</v>
      </c>
      <c r="AE38" s="260">
        <f t="shared" si="2"/>
        <v>19.148936170212764</v>
      </c>
      <c r="AF38" s="186" t="s">
        <v>235</v>
      </c>
    </row>
    <row r="39" spans="1:32" ht="12.75" customHeight="1">
      <c r="A39" s="104"/>
      <c r="B39" s="100" t="s">
        <v>149</v>
      </c>
      <c r="C39" s="140" t="s">
        <v>99</v>
      </c>
      <c r="D39" s="140" t="s">
        <v>99</v>
      </c>
      <c r="E39" s="126" t="s">
        <v>99</v>
      </c>
      <c r="F39" s="126"/>
      <c r="G39" s="126"/>
      <c r="H39" s="126"/>
      <c r="I39" s="126"/>
      <c r="J39" s="126"/>
      <c r="K39" s="126"/>
      <c r="L39" s="126"/>
      <c r="M39" s="126"/>
      <c r="N39" s="126"/>
      <c r="O39" s="126">
        <v>0.5</v>
      </c>
      <c r="P39" s="126">
        <v>0.462</v>
      </c>
      <c r="Q39" s="126">
        <v>0.334</v>
      </c>
      <c r="R39" s="126">
        <v>0.373</v>
      </c>
      <c r="S39" s="126">
        <v>0.426</v>
      </c>
      <c r="T39" s="126">
        <v>0.531</v>
      </c>
      <c r="U39" s="126">
        <v>0.614</v>
      </c>
      <c r="V39" s="126">
        <v>0.778</v>
      </c>
      <c r="W39" s="126">
        <v>0.743</v>
      </c>
      <c r="X39" s="126">
        <v>0.497</v>
      </c>
      <c r="Y39" s="126">
        <v>0.525</v>
      </c>
      <c r="Z39" s="126">
        <v>0.479</v>
      </c>
      <c r="AA39" s="126">
        <v>0.423</v>
      </c>
      <c r="AB39" s="126">
        <v>0.421</v>
      </c>
      <c r="AC39" s="159">
        <v>0.411</v>
      </c>
      <c r="AD39" s="145">
        <v>0.278</v>
      </c>
      <c r="AE39" s="145">
        <f t="shared" si="2"/>
        <v>-32.36009732360097</v>
      </c>
      <c r="AF39" s="100" t="s">
        <v>149</v>
      </c>
    </row>
    <row r="40" spans="1:32" ht="12.75" customHeight="1">
      <c r="A40" s="104"/>
      <c r="B40" s="186" t="s">
        <v>236</v>
      </c>
      <c r="C40" s="254"/>
      <c r="D40" s="254"/>
      <c r="E40" s="196"/>
      <c r="F40" s="196"/>
      <c r="G40" s="196"/>
      <c r="H40" s="196"/>
      <c r="I40" s="196"/>
      <c r="J40" s="196"/>
      <c r="K40" s="196"/>
      <c r="L40" s="196"/>
      <c r="M40" s="196"/>
      <c r="N40" s="196"/>
      <c r="O40" s="196"/>
      <c r="P40" s="196"/>
      <c r="Q40" s="196"/>
      <c r="R40" s="196"/>
      <c r="S40" s="196"/>
      <c r="T40" s="196"/>
      <c r="U40" s="196"/>
      <c r="V40" s="196"/>
      <c r="W40" s="196">
        <v>4.339</v>
      </c>
      <c r="X40" s="196">
        <v>2.967</v>
      </c>
      <c r="Y40" s="196">
        <v>3.522</v>
      </c>
      <c r="Z40" s="196">
        <v>3.611</v>
      </c>
      <c r="AA40" s="196">
        <v>2.769</v>
      </c>
      <c r="AB40" s="196">
        <v>3.022</v>
      </c>
      <c r="AC40" s="197">
        <v>2.988</v>
      </c>
      <c r="AD40" s="260">
        <v>3.248</v>
      </c>
      <c r="AE40" s="260">
        <f t="shared" si="2"/>
        <v>8.701472556894245</v>
      </c>
      <c r="AF40" s="186" t="s">
        <v>236</v>
      </c>
    </row>
    <row r="41" spans="1:32" ht="12.75" customHeight="1">
      <c r="A41" s="104"/>
      <c r="B41" s="101" t="s">
        <v>150</v>
      </c>
      <c r="C41" s="213">
        <v>5.5</v>
      </c>
      <c r="D41" s="213">
        <v>5</v>
      </c>
      <c r="E41" s="199">
        <v>7.894</v>
      </c>
      <c r="F41" s="199">
        <v>7.977</v>
      </c>
      <c r="G41" s="199">
        <v>8.231</v>
      </c>
      <c r="H41" s="199">
        <v>8.396</v>
      </c>
      <c r="I41" s="199">
        <v>8.203</v>
      </c>
      <c r="J41" s="199">
        <v>8.506</v>
      </c>
      <c r="K41" s="199">
        <v>8.904</v>
      </c>
      <c r="L41" s="199">
        <v>9.606</v>
      </c>
      <c r="M41" s="199">
        <v>8.369</v>
      </c>
      <c r="N41" s="199">
        <v>8.23</v>
      </c>
      <c r="O41" s="199">
        <v>9.757</v>
      </c>
      <c r="P41" s="199">
        <v>7.483</v>
      </c>
      <c r="Q41" s="199">
        <v>7.176</v>
      </c>
      <c r="R41" s="199">
        <v>8.612</v>
      </c>
      <c r="S41" s="199">
        <v>9.332</v>
      </c>
      <c r="T41" s="199">
        <v>9.077</v>
      </c>
      <c r="U41" s="199">
        <v>9.544</v>
      </c>
      <c r="V41" s="199">
        <v>9.755</v>
      </c>
      <c r="W41" s="199">
        <v>10.552</v>
      </c>
      <c r="X41" s="199">
        <v>10.163</v>
      </c>
      <c r="Y41" s="199">
        <v>11.3</v>
      </c>
      <c r="Z41" s="199">
        <v>11.303</v>
      </c>
      <c r="AA41" s="199">
        <v>11.223</v>
      </c>
      <c r="AB41" s="199">
        <v>10.75</v>
      </c>
      <c r="AC41" s="200">
        <v>11.601</v>
      </c>
      <c r="AD41" s="158">
        <v>10.178</v>
      </c>
      <c r="AE41" s="158">
        <f t="shared" si="2"/>
        <v>-12.26618394965952</v>
      </c>
      <c r="AF41" s="101" t="s">
        <v>150</v>
      </c>
    </row>
    <row r="42" spans="1:32" ht="12.75" customHeight="1">
      <c r="A42" s="104"/>
      <c r="B42" s="186" t="s">
        <v>151</v>
      </c>
      <c r="C42" s="254" t="s">
        <v>146</v>
      </c>
      <c r="D42" s="254" t="s">
        <v>146</v>
      </c>
      <c r="E42" s="257" t="s">
        <v>146</v>
      </c>
      <c r="F42" s="257" t="s">
        <v>146</v>
      </c>
      <c r="G42" s="257" t="s">
        <v>146</v>
      </c>
      <c r="H42" s="257" t="s">
        <v>146</v>
      </c>
      <c r="I42" s="257" t="s">
        <v>146</v>
      </c>
      <c r="J42" s="257" t="s">
        <v>146</v>
      </c>
      <c r="K42" s="257" t="s">
        <v>146</v>
      </c>
      <c r="L42" s="257" t="s">
        <v>146</v>
      </c>
      <c r="M42" s="257" t="s">
        <v>146</v>
      </c>
      <c r="N42" s="257" t="s">
        <v>146</v>
      </c>
      <c r="O42" s="257" t="s">
        <v>146</v>
      </c>
      <c r="P42" s="272" t="s">
        <v>146</v>
      </c>
      <c r="Q42" s="272" t="s">
        <v>146</v>
      </c>
      <c r="R42" s="272" t="s">
        <v>146</v>
      </c>
      <c r="S42" s="272" t="s">
        <v>146</v>
      </c>
      <c r="T42" s="272" t="s">
        <v>146</v>
      </c>
      <c r="U42" s="272" t="s">
        <v>146</v>
      </c>
      <c r="V42" s="272" t="s">
        <v>146</v>
      </c>
      <c r="W42" s="272" t="s">
        <v>146</v>
      </c>
      <c r="X42" s="272" t="s">
        <v>146</v>
      </c>
      <c r="Y42" s="272" t="s">
        <v>146</v>
      </c>
      <c r="Z42" s="294" t="s">
        <v>146</v>
      </c>
      <c r="AA42" s="294" t="s">
        <v>146</v>
      </c>
      <c r="AB42" s="294" t="s">
        <v>146</v>
      </c>
      <c r="AC42" s="295" t="s">
        <v>146</v>
      </c>
      <c r="AD42" s="271" t="s">
        <v>146</v>
      </c>
      <c r="AE42" s="271" t="s">
        <v>146</v>
      </c>
      <c r="AF42" s="266" t="s">
        <v>151</v>
      </c>
    </row>
    <row r="43" spans="1:32" ht="12.75" customHeight="1">
      <c r="A43" s="104"/>
      <c r="B43" s="100" t="s">
        <v>152</v>
      </c>
      <c r="C43" s="140">
        <v>2.6</v>
      </c>
      <c r="D43" s="140">
        <v>3</v>
      </c>
      <c r="E43" s="126">
        <v>2.6</v>
      </c>
      <c r="F43" s="126">
        <v>2.7</v>
      </c>
      <c r="G43" s="126">
        <v>2.7</v>
      </c>
      <c r="H43" s="126">
        <v>2.9</v>
      </c>
      <c r="I43" s="126">
        <v>2.7</v>
      </c>
      <c r="J43" s="126">
        <v>2.7</v>
      </c>
      <c r="K43" s="126">
        <v>2.8</v>
      </c>
      <c r="L43" s="126">
        <v>3</v>
      </c>
      <c r="M43" s="126">
        <v>2.9</v>
      </c>
      <c r="N43" s="126">
        <v>2.9</v>
      </c>
      <c r="O43" s="126">
        <v>3</v>
      </c>
      <c r="P43" s="126">
        <v>2.9</v>
      </c>
      <c r="Q43" s="126">
        <v>2.7</v>
      </c>
      <c r="R43" s="126">
        <v>2.627</v>
      </c>
      <c r="S43" s="126">
        <v>2.845</v>
      </c>
      <c r="T43" s="126">
        <v>3.149</v>
      </c>
      <c r="U43" s="126">
        <v>3.351</v>
      </c>
      <c r="V43" s="126">
        <v>3.502</v>
      </c>
      <c r="W43" s="126">
        <v>3.621</v>
      </c>
      <c r="X43" s="126">
        <v>3.506</v>
      </c>
      <c r="Y43" s="126">
        <v>3.496</v>
      </c>
      <c r="Z43" s="126">
        <v>3.574</v>
      </c>
      <c r="AA43" s="126">
        <v>3.489</v>
      </c>
      <c r="AB43" s="126">
        <v>3.383</v>
      </c>
      <c r="AC43" s="159">
        <v>3.539</v>
      </c>
      <c r="AD43" s="145">
        <v>3.498</v>
      </c>
      <c r="AE43" s="145">
        <f>AD43/AC43*100-100</f>
        <v>-1.1585193557502151</v>
      </c>
      <c r="AF43" s="100" t="s">
        <v>152</v>
      </c>
    </row>
    <row r="44" spans="1:32" ht="12.75" customHeight="1">
      <c r="A44" s="104"/>
      <c r="B44" s="258" t="s">
        <v>153</v>
      </c>
      <c r="C44" s="262">
        <v>6.9</v>
      </c>
      <c r="D44" s="262">
        <v>7.8</v>
      </c>
      <c r="E44" s="256">
        <v>9.045</v>
      </c>
      <c r="F44" s="256">
        <v>8.917</v>
      </c>
      <c r="G44" s="256">
        <v>8.458</v>
      </c>
      <c r="H44" s="256">
        <v>8.051</v>
      </c>
      <c r="I44" s="256">
        <v>8.819</v>
      </c>
      <c r="J44" s="256">
        <v>8.856</v>
      </c>
      <c r="K44" s="256">
        <v>8.031</v>
      </c>
      <c r="L44" s="256">
        <v>8.836</v>
      </c>
      <c r="M44" s="256">
        <v>9.411</v>
      </c>
      <c r="N44" s="256">
        <v>9.831</v>
      </c>
      <c r="O44" s="256">
        <v>11.08</v>
      </c>
      <c r="P44" s="256">
        <v>11.172</v>
      </c>
      <c r="Q44" s="256">
        <v>10.746</v>
      </c>
      <c r="R44" s="256">
        <v>10.598</v>
      </c>
      <c r="S44" s="256">
        <v>11.489</v>
      </c>
      <c r="T44" s="256">
        <v>11.677</v>
      </c>
      <c r="U44" s="256">
        <v>12.466</v>
      </c>
      <c r="V44" s="255">
        <v>11.952</v>
      </c>
      <c r="W44" s="256">
        <v>12.265</v>
      </c>
      <c r="X44" s="256">
        <v>10.565</v>
      </c>
      <c r="Y44" s="256">
        <v>11.074</v>
      </c>
      <c r="Z44" s="256">
        <v>11.526</v>
      </c>
      <c r="AA44" s="256">
        <v>11.061</v>
      </c>
      <c r="AB44" s="256">
        <v>11.812</v>
      </c>
      <c r="AC44" s="267">
        <v>12.313</v>
      </c>
      <c r="AD44" s="261">
        <v>12.431</v>
      </c>
      <c r="AE44" s="261">
        <f>AD44/AC44*100-100</f>
        <v>0.9583367172906634</v>
      </c>
      <c r="AF44" s="258" t="s">
        <v>153</v>
      </c>
    </row>
    <row r="45" spans="2:32" ht="27" customHeight="1">
      <c r="B45" s="1260" t="s">
        <v>242</v>
      </c>
      <c r="C45" s="1260"/>
      <c r="D45" s="1260"/>
      <c r="E45" s="1260"/>
      <c r="F45" s="1260"/>
      <c r="G45" s="1260"/>
      <c r="H45" s="1260"/>
      <c r="I45" s="1260"/>
      <c r="J45" s="1260"/>
      <c r="K45" s="1260"/>
      <c r="L45" s="1260"/>
      <c r="M45" s="1260"/>
      <c r="N45" s="1260"/>
      <c r="O45" s="1260"/>
      <c r="P45" s="1260"/>
      <c r="Q45" s="1260"/>
      <c r="R45" s="1260"/>
      <c r="S45" s="1260"/>
      <c r="T45" s="1260"/>
      <c r="U45" s="1260"/>
      <c r="V45" s="1260"/>
      <c r="W45" s="1260"/>
      <c r="X45" s="1260"/>
      <c r="Y45" s="1260"/>
      <c r="Z45" s="1260"/>
      <c r="AA45" s="1260"/>
      <c r="AB45" s="1260"/>
      <c r="AC45" s="1260"/>
      <c r="AD45" s="1260"/>
      <c r="AE45" s="1260"/>
      <c r="AF45" s="251"/>
    </row>
    <row r="46" spans="2:30" ht="44.25" customHeight="1">
      <c r="B46" s="149" t="s">
        <v>189</v>
      </c>
      <c r="C46" s="1258" t="s">
        <v>305</v>
      </c>
      <c r="D46" s="1258"/>
      <c r="E46" s="1258"/>
      <c r="F46" s="1258"/>
      <c r="G46" s="1258"/>
      <c r="H46" s="1258"/>
      <c r="I46" s="1258"/>
      <c r="J46" s="1258"/>
      <c r="K46" s="1258"/>
      <c r="L46" s="1258"/>
      <c r="M46" s="1258"/>
      <c r="N46" s="1258"/>
      <c r="O46" s="1258"/>
      <c r="P46" s="1258"/>
      <c r="Q46" s="1258"/>
      <c r="R46" s="1258"/>
      <c r="S46" s="252"/>
      <c r="T46" s="252"/>
      <c r="U46" s="252"/>
      <c r="V46" s="252"/>
      <c r="W46" s="252"/>
      <c r="X46" s="252"/>
      <c r="Y46" s="252"/>
      <c r="Z46" s="252"/>
      <c r="AA46" s="252"/>
      <c r="AB46" s="252"/>
      <c r="AC46" s="252"/>
      <c r="AD46" s="252"/>
    </row>
    <row r="47" ht="12.75">
      <c r="C47" s="252"/>
    </row>
    <row r="48" spans="21:24" ht="12.75">
      <c r="U48"/>
      <c r="V48"/>
      <c r="W48"/>
      <c r="X48"/>
    </row>
    <row r="53" ht="12.75" customHeight="1"/>
    <row r="69" spans="16:21" ht="12.75">
      <c r="P69" s="253"/>
      <c r="Q69"/>
      <c r="R69"/>
      <c r="S69"/>
      <c r="T69"/>
      <c r="U69"/>
    </row>
    <row r="70" spans="16:21" ht="12.75">
      <c r="P70" s="253"/>
      <c r="Q70" s="253"/>
      <c r="R70"/>
      <c r="S70"/>
      <c r="T70"/>
      <c r="U70"/>
    </row>
    <row r="71" spans="16:21" ht="12.75">
      <c r="P71"/>
      <c r="Q71"/>
      <c r="R71"/>
      <c r="S71"/>
      <c r="T71"/>
      <c r="U71"/>
    </row>
    <row r="72" spans="16:21" ht="12.75">
      <c r="P72"/>
      <c r="Q72"/>
      <c r="R72"/>
      <c r="S72"/>
      <c r="T72"/>
      <c r="U72"/>
    </row>
    <row r="73" spans="16:21" ht="12.75">
      <c r="P73"/>
      <c r="Q73"/>
      <c r="R73"/>
      <c r="S73"/>
      <c r="T73"/>
      <c r="U73"/>
    </row>
    <row r="74" spans="16:21" ht="12.75">
      <c r="P74"/>
      <c r="Q74"/>
      <c r="R74"/>
      <c r="S74"/>
      <c r="T74"/>
      <c r="U74"/>
    </row>
    <row r="75" spans="16:21" ht="12.75">
      <c r="P75"/>
      <c r="Q75"/>
      <c r="R75"/>
      <c r="S75"/>
      <c r="T75"/>
      <c r="U75"/>
    </row>
    <row r="76" spans="16:21" ht="12.75">
      <c r="P76"/>
      <c r="Q76"/>
      <c r="R76"/>
      <c r="S76"/>
      <c r="T76"/>
      <c r="U76"/>
    </row>
    <row r="77" spans="16:21" ht="12.75">
      <c r="P77"/>
      <c r="Q77"/>
      <c r="R77"/>
      <c r="S77"/>
      <c r="T77"/>
      <c r="U77"/>
    </row>
    <row r="78" spans="16:21" ht="12.75">
      <c r="P78"/>
      <c r="Q78"/>
      <c r="R78"/>
      <c r="S78"/>
      <c r="T78"/>
      <c r="U78"/>
    </row>
    <row r="79" spans="16:21" ht="12.75">
      <c r="P79"/>
      <c r="Q79"/>
      <c r="R79"/>
      <c r="S79"/>
      <c r="T79"/>
      <c r="U79"/>
    </row>
  </sheetData>
  <sheetProtection/>
  <mergeCells count="3">
    <mergeCell ref="C46:R46"/>
    <mergeCell ref="B2:AE2"/>
    <mergeCell ref="B45:AE45"/>
  </mergeCells>
  <hyperlinks>
    <hyperlink ref="AA49" r:id="rId1" tooltip="Click once to display linked information. Click and hold to select this cell." display="http://stats.oecd.org/OECDStat_Metadata/ShowMetadata.ashx?Dataset=ITF_GOODS_TRANSPORT&amp;ShowOnWeb=true&amp;Lang=en"/>
    <hyperlink ref="AA53" r:id="rId2" tooltip="Click once to display linked information. Click and hold to select this cell." display="http://stats.oecd.org/OECDStat_Metadata/ShowMetadata.ashx?Dataset=ITF_GOODS_TRANSPORT&amp;ShowOnWeb=true&amp;Lang=en"/>
    <hyperlink ref="AA59" r:id="rId3" tooltip="Click once to display linked information. Click and hold to select this cell." display="http://stats.oecd.org/"/>
    <hyperlink ref="AA55" r:id="rId4" tooltip="Click once to display linked information. Click and hold to select this cell." display="http://stats.oecd.org/"/>
  </hyperlinks>
  <printOptions/>
  <pageMargins left="0.7" right="0.7" top="0.75" bottom="0.75" header="0.3" footer="0.3"/>
  <pageSetup horizontalDpi="600" verticalDpi="600" orientation="portrait" paperSize="9" r:id="rId5"/>
</worksheet>
</file>

<file path=xl/worksheets/sheet6.xml><?xml version="1.0" encoding="utf-8"?>
<worksheet xmlns="http://schemas.openxmlformats.org/spreadsheetml/2006/main" xmlns:r="http://schemas.openxmlformats.org/officeDocument/2006/relationships">
  <sheetPr>
    <tabColor rgb="FFC00000"/>
    <pageSetUpPr fitToPage="1"/>
  </sheetPr>
  <dimension ref="A1:AG51"/>
  <sheetViews>
    <sheetView zoomScalePageLayoutView="0" workbookViewId="0" topLeftCell="A1">
      <selection activeCell="AD6" sqref="AD6:AD7"/>
    </sheetView>
  </sheetViews>
  <sheetFormatPr defaultColWidth="9.140625" defaultRowHeight="12.75"/>
  <cols>
    <col min="1" max="1" width="2.7109375" style="317" customWidth="1"/>
    <col min="2" max="2" width="4.00390625" style="416" customWidth="1"/>
    <col min="3" max="20" width="6.7109375" style="416" hidden="1" customWidth="1"/>
    <col min="21" max="26" width="7.28125" style="416" customWidth="1"/>
    <col min="27" max="30" width="7.421875" style="416" customWidth="1"/>
    <col min="31" max="31" width="6.28125" style="416" customWidth="1"/>
    <col min="32" max="32" width="4.7109375" style="416" customWidth="1"/>
    <col min="33" max="33" width="3.00390625" style="416" customWidth="1"/>
    <col min="34" max="16384" width="9.140625" style="416" customWidth="1"/>
  </cols>
  <sheetData>
    <row r="1" spans="2:32" ht="14.25" customHeight="1">
      <c r="B1" s="413"/>
      <c r="C1" s="414"/>
      <c r="D1" s="414"/>
      <c r="E1" s="415"/>
      <c r="F1" s="415"/>
      <c r="G1" s="415"/>
      <c r="H1" s="415"/>
      <c r="I1" s="415"/>
      <c r="J1" s="415"/>
      <c r="K1" s="415"/>
      <c r="L1" s="415"/>
      <c r="M1" s="415"/>
      <c r="N1" s="415"/>
      <c r="O1" s="415"/>
      <c r="P1" s="415"/>
      <c r="R1" s="317"/>
      <c r="U1" s="417"/>
      <c r="V1" s="417"/>
      <c r="W1" s="417"/>
      <c r="X1" s="417"/>
      <c r="Y1" s="417"/>
      <c r="Z1" s="417"/>
      <c r="AA1" s="417"/>
      <c r="AB1" s="417"/>
      <c r="AC1" s="417"/>
      <c r="AD1" s="417"/>
      <c r="AF1" s="417" t="s">
        <v>223</v>
      </c>
    </row>
    <row r="2" spans="1:32" s="418" customFormat="1" ht="30" customHeight="1">
      <c r="A2" s="320"/>
      <c r="B2" s="1242" t="s">
        <v>224</v>
      </c>
      <c r="C2" s="1242"/>
      <c r="D2" s="1242"/>
      <c r="E2" s="1242"/>
      <c r="F2" s="1242"/>
      <c r="G2" s="1242"/>
      <c r="H2" s="1242"/>
      <c r="I2" s="1242"/>
      <c r="J2" s="1242"/>
      <c r="K2" s="1242"/>
      <c r="L2" s="1242"/>
      <c r="M2" s="1242"/>
      <c r="N2" s="1242"/>
      <c r="O2" s="1242"/>
      <c r="P2" s="1242"/>
      <c r="Q2" s="1242"/>
      <c r="R2" s="1242"/>
      <c r="S2" s="1242"/>
      <c r="T2" s="1242"/>
      <c r="U2" s="1242"/>
      <c r="V2" s="1242"/>
      <c r="W2" s="1242"/>
      <c r="X2" s="1242"/>
      <c r="Y2" s="1242"/>
      <c r="Z2" s="1242"/>
      <c r="AA2" s="1242"/>
      <c r="AB2" s="1242"/>
      <c r="AC2" s="1242"/>
      <c r="AD2" s="1242"/>
      <c r="AE2" s="1242"/>
      <c r="AF2" s="1242"/>
    </row>
    <row r="3" spans="2:33" ht="12" customHeight="1">
      <c r="B3" s="321"/>
      <c r="C3" s="321"/>
      <c r="E3" s="419"/>
      <c r="F3" s="419"/>
      <c r="G3" s="419"/>
      <c r="H3" s="419"/>
      <c r="I3" s="419"/>
      <c r="J3" s="420"/>
      <c r="K3" s="420"/>
      <c r="L3" s="420"/>
      <c r="M3" s="420"/>
      <c r="N3" s="420"/>
      <c r="O3" s="420"/>
      <c r="R3" s="421"/>
      <c r="T3" s="422"/>
      <c r="U3" s="422"/>
      <c r="W3" s="1261" t="s">
        <v>239</v>
      </c>
      <c r="X3" s="1261"/>
      <c r="Y3" s="423"/>
      <c r="Z3" s="423"/>
      <c r="AA3" s="423"/>
      <c r="AB3" s="423"/>
      <c r="AC3" s="423"/>
      <c r="AD3" s="423"/>
      <c r="AE3" s="424"/>
      <c r="AF3" s="425"/>
      <c r="AG3" s="425"/>
    </row>
    <row r="4" spans="2:33" ht="19.5" customHeight="1">
      <c r="B4" s="426"/>
      <c r="C4" s="427">
        <v>1970</v>
      </c>
      <c r="D4" s="427">
        <v>1980</v>
      </c>
      <c r="E4" s="428">
        <v>1990</v>
      </c>
      <c r="F4" s="428">
        <v>1991</v>
      </c>
      <c r="G4" s="428">
        <v>1992</v>
      </c>
      <c r="H4" s="428">
        <v>1993</v>
      </c>
      <c r="I4" s="428">
        <v>1994</v>
      </c>
      <c r="J4" s="428">
        <v>1995</v>
      </c>
      <c r="K4" s="428">
        <v>1996</v>
      </c>
      <c r="L4" s="428">
        <v>1997</v>
      </c>
      <c r="M4" s="428">
        <v>1998</v>
      </c>
      <c r="N4" s="428">
        <v>1999</v>
      </c>
      <c r="O4" s="428">
        <v>2000</v>
      </c>
      <c r="P4" s="428">
        <v>2001</v>
      </c>
      <c r="Q4" s="428">
        <v>2002</v>
      </c>
      <c r="R4" s="428">
        <v>2003</v>
      </c>
      <c r="S4" s="428">
        <v>2004</v>
      </c>
      <c r="T4" s="428">
        <v>2005</v>
      </c>
      <c r="U4" s="428">
        <v>2006</v>
      </c>
      <c r="V4" s="428">
        <v>2007</v>
      </c>
      <c r="W4" s="428">
        <v>2008</v>
      </c>
      <c r="X4" s="428">
        <v>2009</v>
      </c>
      <c r="Y4" s="428">
        <v>2010</v>
      </c>
      <c r="Z4" s="428">
        <v>2011</v>
      </c>
      <c r="AA4" s="428">
        <v>2012</v>
      </c>
      <c r="AB4" s="428">
        <v>2013</v>
      </c>
      <c r="AC4" s="428">
        <v>2014</v>
      </c>
      <c r="AD4" s="428">
        <v>2015</v>
      </c>
      <c r="AE4" s="429" t="s">
        <v>331</v>
      </c>
      <c r="AF4" s="430"/>
      <c r="AG4" s="431"/>
    </row>
    <row r="5" spans="2:33" ht="9.75" customHeight="1">
      <c r="B5" s="426"/>
      <c r="C5" s="432"/>
      <c r="D5" s="433"/>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5" t="s">
        <v>147</v>
      </c>
      <c r="AF5" s="430"/>
      <c r="AG5" s="431"/>
    </row>
    <row r="6" spans="2:33" ht="12.75" customHeight="1">
      <c r="B6" s="336" t="s">
        <v>250</v>
      </c>
      <c r="C6" s="436">
        <v>112.776</v>
      </c>
      <c r="D6" s="436">
        <v>119.771</v>
      </c>
      <c r="E6" s="437">
        <v>118.83522714499999</v>
      </c>
      <c r="F6" s="437">
        <v>116.70840167300001</v>
      </c>
      <c r="G6" s="437">
        <v>115.05673840299998</v>
      </c>
      <c r="H6" s="437">
        <v>109.08724280999999</v>
      </c>
      <c r="I6" s="437">
        <v>118.78323084900002</v>
      </c>
      <c r="J6" s="437">
        <v>122.118208</v>
      </c>
      <c r="K6" s="437">
        <v>119.778492</v>
      </c>
      <c r="L6" s="437">
        <v>127.87012699999998</v>
      </c>
      <c r="M6" s="437">
        <v>131.064354551</v>
      </c>
      <c r="N6" s="437">
        <v>128.778899</v>
      </c>
      <c r="O6" s="437">
        <v>133.9248856</v>
      </c>
      <c r="P6" s="437">
        <v>132.6062436</v>
      </c>
      <c r="Q6" s="437">
        <v>132.594023</v>
      </c>
      <c r="R6" s="437">
        <v>123.6150852</v>
      </c>
      <c r="S6" s="437">
        <v>136.91315100000006</v>
      </c>
      <c r="T6" s="437">
        <v>138.78097439999996</v>
      </c>
      <c r="U6" s="437">
        <v>138.57696909999999</v>
      </c>
      <c r="V6" s="437">
        <v>145.564</v>
      </c>
      <c r="W6" s="437">
        <v>147.067</v>
      </c>
      <c r="X6" s="437">
        <v>132.73900000000003</v>
      </c>
      <c r="Y6" s="437">
        <v>155.521</v>
      </c>
      <c r="Z6" s="437">
        <v>141.96900000000002</v>
      </c>
      <c r="AA6" s="437">
        <v>149.987</v>
      </c>
      <c r="AB6" s="437">
        <v>152.79500000000004</v>
      </c>
      <c r="AC6" s="437">
        <v>150.87599999999998</v>
      </c>
      <c r="AD6" s="437">
        <v>147.51900000000003</v>
      </c>
      <c r="AE6" s="436">
        <v>-2.2250059651634047</v>
      </c>
      <c r="AF6" s="336" t="s">
        <v>250</v>
      </c>
      <c r="AG6" s="431"/>
    </row>
    <row r="7" spans="1:32" ht="12.75" customHeight="1">
      <c r="A7" s="316"/>
      <c r="B7" s="346" t="s">
        <v>89</v>
      </c>
      <c r="C7" s="438">
        <v>102.626</v>
      </c>
      <c r="D7" s="438">
        <v>105.891</v>
      </c>
      <c r="E7" s="439">
        <v>106.97722714499997</v>
      </c>
      <c r="F7" s="439">
        <v>107.16240167300002</v>
      </c>
      <c r="G7" s="439">
        <v>106.95373840299997</v>
      </c>
      <c r="H7" s="439">
        <v>104.70724281</v>
      </c>
      <c r="I7" s="439">
        <v>113.25353084899999</v>
      </c>
      <c r="J7" s="439">
        <v>114.596308</v>
      </c>
      <c r="K7" s="439">
        <v>111.37309199999999</v>
      </c>
      <c r="L7" s="439">
        <v>118.92042699999998</v>
      </c>
      <c r="M7" s="439">
        <v>121.944141</v>
      </c>
      <c r="N7" s="439">
        <v>121.99729899999998</v>
      </c>
      <c r="O7" s="439">
        <v>127.380566</v>
      </c>
      <c r="P7" s="439">
        <v>125.94002399999998</v>
      </c>
      <c r="Q7" s="439">
        <v>125.08906300000001</v>
      </c>
      <c r="R7" s="439">
        <v>116.41082</v>
      </c>
      <c r="S7" s="439">
        <v>126.01883</v>
      </c>
      <c r="T7" s="439">
        <v>126.22875</v>
      </c>
      <c r="U7" s="439">
        <v>126.622974</v>
      </c>
      <c r="V7" s="439">
        <v>132.71</v>
      </c>
      <c r="W7" s="439">
        <v>130.98</v>
      </c>
      <c r="X7" s="439">
        <v>111.843</v>
      </c>
      <c r="Y7" s="439">
        <v>130.458</v>
      </c>
      <c r="Z7" s="439">
        <v>122.58100000000003</v>
      </c>
      <c r="AA7" s="439">
        <v>128.208</v>
      </c>
      <c r="AB7" s="439">
        <v>131.36200000000002</v>
      </c>
      <c r="AC7" s="439">
        <v>130.473</v>
      </c>
      <c r="AD7" s="439">
        <v>125.19099999999999</v>
      </c>
      <c r="AE7" s="438">
        <v>-4.048347167613244</v>
      </c>
      <c r="AF7" s="346" t="s">
        <v>89</v>
      </c>
    </row>
    <row r="8" spans="1:32" ht="12.75" customHeight="1">
      <c r="A8" s="316"/>
      <c r="B8" s="355" t="s">
        <v>251</v>
      </c>
      <c r="C8" s="440">
        <v>10.149999999999991</v>
      </c>
      <c r="D8" s="440">
        <v>13.879999999999995</v>
      </c>
      <c r="E8" s="441">
        <v>11.858000000000018</v>
      </c>
      <c r="F8" s="441">
        <v>9.545999999999992</v>
      </c>
      <c r="G8" s="441">
        <v>8.103000000000009</v>
      </c>
      <c r="H8" s="441">
        <v>4.3799999999999955</v>
      </c>
      <c r="I8" s="441">
        <v>5.529700000000034</v>
      </c>
      <c r="J8" s="441">
        <v>7.521900000000002</v>
      </c>
      <c r="K8" s="441">
        <v>8.405400000000014</v>
      </c>
      <c r="L8" s="441">
        <v>8.949700000000007</v>
      </c>
      <c r="M8" s="441">
        <v>9.120213551000006</v>
      </c>
      <c r="N8" s="441">
        <v>6.781600000000012</v>
      </c>
      <c r="O8" s="441">
        <v>6.544319600000009</v>
      </c>
      <c r="P8" s="441">
        <v>6.666219600000019</v>
      </c>
      <c r="Q8" s="441">
        <v>7.504959999999983</v>
      </c>
      <c r="R8" s="441">
        <v>7.204265199999995</v>
      </c>
      <c r="S8" s="441">
        <v>10.894321000000062</v>
      </c>
      <c r="T8" s="441">
        <v>12.552224399999957</v>
      </c>
      <c r="U8" s="441">
        <v>11.953995099999986</v>
      </c>
      <c r="V8" s="441">
        <v>12.853999999999985</v>
      </c>
      <c r="W8" s="441">
        <v>16.087000000000018</v>
      </c>
      <c r="X8" s="441">
        <v>20.89600000000003</v>
      </c>
      <c r="Y8" s="441">
        <v>25.062999999999988</v>
      </c>
      <c r="Z8" s="441">
        <v>19.38799999999999</v>
      </c>
      <c r="AA8" s="441">
        <v>21.778999999999996</v>
      </c>
      <c r="AB8" s="441">
        <v>21.43300000000002</v>
      </c>
      <c r="AC8" s="441">
        <v>20.402999999999963</v>
      </c>
      <c r="AD8" s="441">
        <v>22.328000000000046</v>
      </c>
      <c r="AE8" s="440">
        <v>9.43488702641811</v>
      </c>
      <c r="AF8" s="355" t="s">
        <v>251</v>
      </c>
    </row>
    <row r="9" spans="1:32" ht="12.75" customHeight="1">
      <c r="A9" s="316"/>
      <c r="B9" s="346" t="s">
        <v>81</v>
      </c>
      <c r="C9" s="448">
        <v>1.293</v>
      </c>
      <c r="D9" s="448">
        <v>1.557</v>
      </c>
      <c r="E9" s="446">
        <v>1.663</v>
      </c>
      <c r="F9" s="446">
        <v>1.48</v>
      </c>
      <c r="G9" s="446">
        <v>1.437</v>
      </c>
      <c r="H9" s="446">
        <v>1.454</v>
      </c>
      <c r="I9" s="446">
        <v>1.82</v>
      </c>
      <c r="J9" s="446">
        <v>2.046</v>
      </c>
      <c r="K9" s="446">
        <v>2.101</v>
      </c>
      <c r="L9" s="446">
        <v>2.087</v>
      </c>
      <c r="M9" s="446">
        <v>2.28</v>
      </c>
      <c r="N9" s="446">
        <v>2.231</v>
      </c>
      <c r="O9" s="462">
        <v>2.444</v>
      </c>
      <c r="P9" s="462">
        <v>2.557</v>
      </c>
      <c r="Q9" s="462">
        <v>2.846</v>
      </c>
      <c r="R9" s="462">
        <v>2.276</v>
      </c>
      <c r="S9" s="446">
        <v>1.747</v>
      </c>
      <c r="T9" s="446">
        <v>1.753</v>
      </c>
      <c r="U9" s="446">
        <v>1.837</v>
      </c>
      <c r="V9" s="446">
        <v>2.597</v>
      </c>
      <c r="W9" s="446">
        <v>2.359</v>
      </c>
      <c r="X9" s="446">
        <v>2.003</v>
      </c>
      <c r="Y9" s="446">
        <v>2.375</v>
      </c>
      <c r="Z9" s="446">
        <v>2.123</v>
      </c>
      <c r="AA9" s="446">
        <v>2.191</v>
      </c>
      <c r="AB9" s="446">
        <v>2.353</v>
      </c>
      <c r="AC9" s="446">
        <v>2.177</v>
      </c>
      <c r="AD9" s="446">
        <v>1.806</v>
      </c>
      <c r="AE9" s="448">
        <f>AD9/AC9*100-100</f>
        <v>-17.041800643086816</v>
      </c>
      <c r="AF9" s="346" t="s">
        <v>81</v>
      </c>
    </row>
    <row r="10" spans="1:32" ht="12.75" customHeight="1">
      <c r="A10" s="316"/>
      <c r="B10" s="365" t="s">
        <v>60</v>
      </c>
      <c r="C10" s="442">
        <v>6.734</v>
      </c>
      <c r="D10" s="442">
        <v>5.852</v>
      </c>
      <c r="E10" s="443">
        <v>5.388896222</v>
      </c>
      <c r="F10" s="443">
        <v>5.177006499</v>
      </c>
      <c r="G10" s="443">
        <v>5.0178631</v>
      </c>
      <c r="H10" s="443">
        <v>4.931673973</v>
      </c>
      <c r="I10" s="443">
        <v>5.490262438</v>
      </c>
      <c r="J10" s="443">
        <v>5.731</v>
      </c>
      <c r="K10" s="443">
        <v>5.715</v>
      </c>
      <c r="L10" s="443">
        <v>5.829</v>
      </c>
      <c r="M10" s="443">
        <v>6.015</v>
      </c>
      <c r="N10" s="443">
        <v>6.362</v>
      </c>
      <c r="O10" s="443">
        <v>7.215</v>
      </c>
      <c r="P10" s="443">
        <v>7.655</v>
      </c>
      <c r="Q10" s="443">
        <v>8.073</v>
      </c>
      <c r="R10" s="443">
        <v>8.23</v>
      </c>
      <c r="S10" s="443">
        <v>8.392</v>
      </c>
      <c r="T10" s="443">
        <v>8.566</v>
      </c>
      <c r="U10" s="443">
        <v>8.908</v>
      </c>
      <c r="V10" s="539">
        <v>9.006</v>
      </c>
      <c r="W10" s="539">
        <v>8.746</v>
      </c>
      <c r="X10" s="443">
        <v>7.087</v>
      </c>
      <c r="Y10" s="443">
        <v>9.07</v>
      </c>
      <c r="Z10" s="443">
        <v>9.251</v>
      </c>
      <c r="AA10" s="443">
        <v>10.42</v>
      </c>
      <c r="AB10" s="443">
        <v>10.365</v>
      </c>
      <c r="AC10" s="443">
        <v>10.451</v>
      </c>
      <c r="AD10" s="443">
        <v>10.426</v>
      </c>
      <c r="AE10" s="444">
        <f>AD10/AC10*100-100</f>
        <v>-0.23921155870252164</v>
      </c>
      <c r="AF10" s="365" t="s">
        <v>60</v>
      </c>
    </row>
    <row r="11" spans="1:32" ht="12.75" customHeight="1">
      <c r="A11" s="316"/>
      <c r="B11" s="346" t="s">
        <v>101</v>
      </c>
      <c r="C11" s="445">
        <v>1.83</v>
      </c>
      <c r="D11" s="445">
        <v>2.61</v>
      </c>
      <c r="E11" s="446">
        <v>1.61</v>
      </c>
      <c r="F11" s="446">
        <v>1.024</v>
      </c>
      <c r="G11" s="446">
        <v>0.837</v>
      </c>
      <c r="H11" s="446">
        <v>0.46</v>
      </c>
      <c r="I11" s="446">
        <v>0.36</v>
      </c>
      <c r="J11" s="446">
        <v>0.526</v>
      </c>
      <c r="K11" s="446">
        <v>0.505</v>
      </c>
      <c r="L11" s="446">
        <v>0.6</v>
      </c>
      <c r="M11" s="446">
        <v>0.563</v>
      </c>
      <c r="N11" s="446">
        <v>0.187</v>
      </c>
      <c r="O11" s="446">
        <v>0.313</v>
      </c>
      <c r="P11" s="446">
        <v>0.418</v>
      </c>
      <c r="Q11" s="446">
        <v>0.561</v>
      </c>
      <c r="R11" s="446">
        <v>0.613</v>
      </c>
      <c r="S11" s="446">
        <v>0.697</v>
      </c>
      <c r="T11" s="446">
        <v>0.757</v>
      </c>
      <c r="U11" s="446">
        <v>0.785</v>
      </c>
      <c r="V11" s="446">
        <v>1.011</v>
      </c>
      <c r="W11" s="446">
        <v>2.89</v>
      </c>
      <c r="X11" s="446">
        <v>5.436</v>
      </c>
      <c r="Y11" s="446">
        <v>6.048</v>
      </c>
      <c r="Z11" s="446">
        <v>4.31</v>
      </c>
      <c r="AA11" s="446">
        <v>5.349</v>
      </c>
      <c r="AB11" s="446">
        <v>5.374</v>
      </c>
      <c r="AC11" s="446">
        <v>5.074</v>
      </c>
      <c r="AD11" s="446">
        <v>5.595</v>
      </c>
      <c r="AE11" s="448">
        <f>AD11/AC11*100-100</f>
        <v>10.268033109972393</v>
      </c>
      <c r="AF11" s="346" t="s">
        <v>101</v>
      </c>
    </row>
    <row r="12" spans="1:32" ht="12.75" customHeight="1">
      <c r="A12" s="316"/>
      <c r="B12" s="365" t="s">
        <v>71</v>
      </c>
      <c r="C12" s="452" t="s">
        <v>146</v>
      </c>
      <c r="D12" s="452" t="s">
        <v>146</v>
      </c>
      <c r="E12" s="450" t="s">
        <v>146</v>
      </c>
      <c r="F12" s="450" t="s">
        <v>146</v>
      </c>
      <c r="G12" s="450" t="s">
        <v>146</v>
      </c>
      <c r="H12" s="450" t="s">
        <v>146</v>
      </c>
      <c r="I12" s="450" t="s">
        <v>146</v>
      </c>
      <c r="J12" s="450" t="s">
        <v>146</v>
      </c>
      <c r="K12" s="450" t="s">
        <v>146</v>
      </c>
      <c r="L12" s="450" t="s">
        <v>146</v>
      </c>
      <c r="M12" s="450" t="s">
        <v>146</v>
      </c>
      <c r="N12" s="450" t="s">
        <v>146</v>
      </c>
      <c r="O12" s="450" t="s">
        <v>146</v>
      </c>
      <c r="P12" s="450" t="s">
        <v>146</v>
      </c>
      <c r="Q12" s="450" t="s">
        <v>146</v>
      </c>
      <c r="R12" s="450" t="s">
        <v>146</v>
      </c>
      <c r="S12" s="450" t="s">
        <v>146</v>
      </c>
      <c r="T12" s="450" t="s">
        <v>146</v>
      </c>
      <c r="U12" s="450" t="s">
        <v>146</v>
      </c>
      <c r="V12" s="450" t="s">
        <v>146</v>
      </c>
      <c r="W12" s="450" t="s">
        <v>146</v>
      </c>
      <c r="X12" s="450" t="s">
        <v>146</v>
      </c>
      <c r="Y12" s="450" t="s">
        <v>146</v>
      </c>
      <c r="Z12" s="450" t="s">
        <v>146</v>
      </c>
      <c r="AA12" s="450" t="s">
        <v>146</v>
      </c>
      <c r="AB12" s="450" t="s">
        <v>146</v>
      </c>
      <c r="AC12" s="450" t="s">
        <v>146</v>
      </c>
      <c r="AD12" s="450" t="s">
        <v>146</v>
      </c>
      <c r="AE12" s="452" t="s">
        <v>146</v>
      </c>
      <c r="AF12" s="365" t="s">
        <v>71</v>
      </c>
    </row>
    <row r="13" spans="1:32" ht="12.75" customHeight="1">
      <c r="A13" s="316"/>
      <c r="B13" s="365" t="s">
        <v>61</v>
      </c>
      <c r="C13" s="449"/>
      <c r="D13" s="449"/>
      <c r="E13" s="450"/>
      <c r="F13" s="450"/>
      <c r="G13" s="450"/>
      <c r="H13" s="451"/>
      <c r="I13" s="450">
        <v>0.2526</v>
      </c>
      <c r="J13" s="450">
        <v>0.2757</v>
      </c>
      <c r="K13" s="450">
        <v>0.2565</v>
      </c>
      <c r="L13" s="450">
        <v>0.0984</v>
      </c>
      <c r="M13" s="450">
        <v>0.100313551</v>
      </c>
      <c r="N13" s="450">
        <v>0.087</v>
      </c>
      <c r="O13" s="450">
        <v>0.089</v>
      </c>
      <c r="P13" s="450">
        <v>0.078</v>
      </c>
      <c r="Q13" s="450">
        <v>0.08</v>
      </c>
      <c r="R13" s="450">
        <v>0.058</v>
      </c>
      <c r="S13" s="450">
        <v>0.048</v>
      </c>
      <c r="T13" s="450">
        <v>0.063</v>
      </c>
      <c r="U13" s="450">
        <v>0.043</v>
      </c>
      <c r="V13" s="450">
        <v>0.036</v>
      </c>
      <c r="W13" s="450">
        <v>0.028</v>
      </c>
      <c r="X13" s="450">
        <v>0.033</v>
      </c>
      <c r="Y13" s="450">
        <v>0.043</v>
      </c>
      <c r="Z13" s="450">
        <v>0.042</v>
      </c>
      <c r="AA13" s="450">
        <v>0.038</v>
      </c>
      <c r="AB13" s="450">
        <v>0.025</v>
      </c>
      <c r="AC13" s="450">
        <v>0.027</v>
      </c>
      <c r="AD13" s="450">
        <v>0.033</v>
      </c>
      <c r="AE13" s="452">
        <f>AD13/AC13*100-100</f>
        <v>22.22222222222223</v>
      </c>
      <c r="AF13" s="365" t="s">
        <v>61</v>
      </c>
    </row>
    <row r="14" spans="1:32" ht="12.75" customHeight="1">
      <c r="A14" s="316"/>
      <c r="B14" s="365" t="s">
        <v>63</v>
      </c>
      <c r="C14" s="449">
        <v>48.8</v>
      </c>
      <c r="D14" s="449">
        <v>51.4</v>
      </c>
      <c r="E14" s="450">
        <v>54.803</v>
      </c>
      <c r="F14" s="450">
        <v>55.973424605</v>
      </c>
      <c r="G14" s="450">
        <v>57.239443126</v>
      </c>
      <c r="H14" s="450">
        <v>57.559339868</v>
      </c>
      <c r="I14" s="450">
        <v>61.77196685</v>
      </c>
      <c r="J14" s="450">
        <v>63.982</v>
      </c>
      <c r="K14" s="450">
        <v>61.291</v>
      </c>
      <c r="L14" s="450">
        <v>62.153</v>
      </c>
      <c r="M14" s="450">
        <v>64.267</v>
      </c>
      <c r="N14" s="450">
        <v>62.692</v>
      </c>
      <c r="O14" s="450">
        <v>66.465</v>
      </c>
      <c r="P14" s="450">
        <v>64.818</v>
      </c>
      <c r="Q14" s="450">
        <v>64.166</v>
      </c>
      <c r="R14" s="450">
        <v>58.154</v>
      </c>
      <c r="S14" s="450">
        <v>63.667</v>
      </c>
      <c r="T14" s="450">
        <v>64.096</v>
      </c>
      <c r="U14" s="450">
        <v>63.975</v>
      </c>
      <c r="V14" s="450">
        <v>64.711</v>
      </c>
      <c r="W14" s="450">
        <v>64.056</v>
      </c>
      <c r="X14" s="450">
        <v>55.652</v>
      </c>
      <c r="Y14" s="450">
        <v>62.278</v>
      </c>
      <c r="Z14" s="450">
        <v>55.027</v>
      </c>
      <c r="AA14" s="450">
        <v>58.488</v>
      </c>
      <c r="AB14" s="450">
        <v>60.07</v>
      </c>
      <c r="AC14" s="450">
        <v>59.093</v>
      </c>
      <c r="AD14" s="450">
        <v>55.315</v>
      </c>
      <c r="AE14" s="452">
        <f>AD14/AC14*100-100</f>
        <v>-6.3933122366439505</v>
      </c>
      <c r="AF14" s="365" t="s">
        <v>63</v>
      </c>
    </row>
    <row r="15" spans="1:32" ht="12.75" customHeight="1">
      <c r="A15" s="316"/>
      <c r="B15" s="346" t="s">
        <v>14</v>
      </c>
      <c r="C15" s="445" t="s">
        <v>146</v>
      </c>
      <c r="D15" s="445" t="s">
        <v>146</v>
      </c>
      <c r="E15" s="446" t="s">
        <v>146</v>
      </c>
      <c r="F15" s="446" t="s">
        <v>146</v>
      </c>
      <c r="G15" s="446" t="s">
        <v>146</v>
      </c>
      <c r="H15" s="446" t="s">
        <v>146</v>
      </c>
      <c r="I15" s="446" t="s">
        <v>146</v>
      </c>
      <c r="J15" s="446" t="s">
        <v>146</v>
      </c>
      <c r="K15" s="446" t="s">
        <v>146</v>
      </c>
      <c r="L15" s="446" t="s">
        <v>146</v>
      </c>
      <c r="M15" s="446" t="s">
        <v>146</v>
      </c>
      <c r="N15" s="446" t="s">
        <v>146</v>
      </c>
      <c r="O15" s="446" t="s">
        <v>146</v>
      </c>
      <c r="P15" s="446" t="s">
        <v>146</v>
      </c>
      <c r="Q15" s="446" t="s">
        <v>146</v>
      </c>
      <c r="R15" s="446" t="s">
        <v>146</v>
      </c>
      <c r="S15" s="446" t="s">
        <v>146</v>
      </c>
      <c r="T15" s="446" t="s">
        <v>146</v>
      </c>
      <c r="U15" s="446" t="s">
        <v>146</v>
      </c>
      <c r="V15" s="446" t="s">
        <v>146</v>
      </c>
      <c r="W15" s="446" t="s">
        <v>146</v>
      </c>
      <c r="X15" s="446" t="s">
        <v>146</v>
      </c>
      <c r="Y15" s="446" t="s">
        <v>146</v>
      </c>
      <c r="Z15" s="446" t="s">
        <v>146</v>
      </c>
      <c r="AA15" s="446" t="s">
        <v>146</v>
      </c>
      <c r="AB15" s="446" t="s">
        <v>146</v>
      </c>
      <c r="AC15" s="446" t="s">
        <v>146</v>
      </c>
      <c r="AD15" s="446" t="s">
        <v>146</v>
      </c>
      <c r="AE15" s="448" t="s">
        <v>146</v>
      </c>
      <c r="AF15" s="346" t="s">
        <v>14</v>
      </c>
    </row>
    <row r="16" spans="1:32" ht="12.75" customHeight="1">
      <c r="A16" s="316"/>
      <c r="B16" s="346" t="s">
        <v>64</v>
      </c>
      <c r="C16" s="445">
        <v>0.01</v>
      </c>
      <c r="D16" s="445">
        <v>0.01</v>
      </c>
      <c r="E16" s="446">
        <v>0</v>
      </c>
      <c r="F16" s="446">
        <v>0.001</v>
      </c>
      <c r="G16" s="446">
        <v>0.001</v>
      </c>
      <c r="H16" s="446">
        <v>0</v>
      </c>
      <c r="I16" s="446">
        <v>0.001</v>
      </c>
      <c r="J16" s="446">
        <v>0</v>
      </c>
      <c r="K16" s="446">
        <v>0</v>
      </c>
      <c r="L16" s="446">
        <v>0</v>
      </c>
      <c r="M16" s="446">
        <v>0</v>
      </c>
      <c r="N16" s="446">
        <v>0.002</v>
      </c>
      <c r="O16" s="446" t="s">
        <v>146</v>
      </c>
      <c r="P16" s="446" t="s">
        <v>146</v>
      </c>
      <c r="Q16" s="446" t="s">
        <v>146</v>
      </c>
      <c r="R16" s="446" t="s">
        <v>146</v>
      </c>
      <c r="S16" s="446" t="s">
        <v>146</v>
      </c>
      <c r="T16" s="446" t="s">
        <v>146</v>
      </c>
      <c r="U16" s="446" t="s">
        <v>146</v>
      </c>
      <c r="V16" s="446" t="s">
        <v>146</v>
      </c>
      <c r="W16" s="446" t="s">
        <v>146</v>
      </c>
      <c r="X16" s="446" t="s">
        <v>146</v>
      </c>
      <c r="Y16" s="446" t="s">
        <v>146</v>
      </c>
      <c r="Z16" s="446" t="s">
        <v>146</v>
      </c>
      <c r="AA16" s="446" t="s">
        <v>146</v>
      </c>
      <c r="AB16" s="446" t="s">
        <v>146</v>
      </c>
      <c r="AC16" s="446" t="s">
        <v>146</v>
      </c>
      <c r="AD16" s="446" t="s">
        <v>146</v>
      </c>
      <c r="AE16" s="448" t="s">
        <v>146</v>
      </c>
      <c r="AF16" s="346" t="s">
        <v>64</v>
      </c>
    </row>
    <row r="17" spans="1:32" ht="12.75" customHeight="1">
      <c r="A17" s="316"/>
      <c r="B17" s="346" t="s">
        <v>15</v>
      </c>
      <c r="C17" s="445" t="s">
        <v>146</v>
      </c>
      <c r="D17" s="445" t="s">
        <v>146</v>
      </c>
      <c r="E17" s="446" t="s">
        <v>146</v>
      </c>
      <c r="F17" s="446" t="s">
        <v>146</v>
      </c>
      <c r="G17" s="446" t="s">
        <v>146</v>
      </c>
      <c r="H17" s="446" t="s">
        <v>146</v>
      </c>
      <c r="I17" s="446" t="s">
        <v>146</v>
      </c>
      <c r="J17" s="446" t="s">
        <v>146</v>
      </c>
      <c r="K17" s="446" t="s">
        <v>146</v>
      </c>
      <c r="L17" s="446" t="s">
        <v>146</v>
      </c>
      <c r="M17" s="446" t="s">
        <v>146</v>
      </c>
      <c r="N17" s="446" t="s">
        <v>146</v>
      </c>
      <c r="O17" s="446" t="s">
        <v>146</v>
      </c>
      <c r="P17" s="446" t="s">
        <v>146</v>
      </c>
      <c r="Q17" s="446" t="s">
        <v>146</v>
      </c>
      <c r="R17" s="446" t="s">
        <v>146</v>
      </c>
      <c r="S17" s="446" t="s">
        <v>146</v>
      </c>
      <c r="T17" s="446" t="s">
        <v>146</v>
      </c>
      <c r="U17" s="446" t="s">
        <v>146</v>
      </c>
      <c r="V17" s="446" t="s">
        <v>146</v>
      </c>
      <c r="W17" s="446" t="s">
        <v>146</v>
      </c>
      <c r="X17" s="446" t="s">
        <v>146</v>
      </c>
      <c r="Y17" s="446" t="s">
        <v>146</v>
      </c>
      <c r="Z17" s="446" t="s">
        <v>146</v>
      </c>
      <c r="AA17" s="446" t="s">
        <v>146</v>
      </c>
      <c r="AB17" s="446" t="s">
        <v>146</v>
      </c>
      <c r="AC17" s="446" t="s">
        <v>146</v>
      </c>
      <c r="AD17" s="446" t="s">
        <v>146</v>
      </c>
      <c r="AE17" s="448" t="s">
        <v>146</v>
      </c>
      <c r="AF17" s="346" t="s">
        <v>15</v>
      </c>
    </row>
    <row r="18" spans="1:32" ht="12.75" customHeight="1">
      <c r="A18" s="316"/>
      <c r="B18" s="365" t="s">
        <v>66</v>
      </c>
      <c r="C18" s="442" t="s">
        <v>146</v>
      </c>
      <c r="D18" s="535" t="s">
        <v>146</v>
      </c>
      <c r="E18" s="443" t="s">
        <v>146</v>
      </c>
      <c r="F18" s="443" t="s">
        <v>146</v>
      </c>
      <c r="G18" s="443" t="s">
        <v>146</v>
      </c>
      <c r="H18" s="443" t="s">
        <v>146</v>
      </c>
      <c r="I18" s="443" t="s">
        <v>146</v>
      </c>
      <c r="J18" s="443" t="s">
        <v>146</v>
      </c>
      <c r="K18" s="443" t="s">
        <v>146</v>
      </c>
      <c r="L18" s="443" t="s">
        <v>146</v>
      </c>
      <c r="M18" s="443" t="s">
        <v>146</v>
      </c>
      <c r="N18" s="443" t="s">
        <v>146</v>
      </c>
      <c r="O18" s="443" t="s">
        <v>146</v>
      </c>
      <c r="P18" s="443" t="s">
        <v>146</v>
      </c>
      <c r="Q18" s="443" t="s">
        <v>146</v>
      </c>
      <c r="R18" s="443" t="s">
        <v>146</v>
      </c>
      <c r="S18" s="443" t="s">
        <v>146</v>
      </c>
      <c r="T18" s="443" t="s">
        <v>146</v>
      </c>
      <c r="U18" s="443" t="s">
        <v>146</v>
      </c>
      <c r="V18" s="443" t="s">
        <v>146</v>
      </c>
      <c r="W18" s="443" t="s">
        <v>146</v>
      </c>
      <c r="X18" s="443" t="s">
        <v>146</v>
      </c>
      <c r="Y18" s="443" t="s">
        <v>146</v>
      </c>
      <c r="Z18" s="443" t="s">
        <v>146</v>
      </c>
      <c r="AA18" s="443" t="s">
        <v>146</v>
      </c>
      <c r="AB18" s="443" t="s">
        <v>146</v>
      </c>
      <c r="AC18" s="443" t="s">
        <v>146</v>
      </c>
      <c r="AD18" s="443" t="s">
        <v>146</v>
      </c>
      <c r="AE18" s="444" t="s">
        <v>146</v>
      </c>
      <c r="AF18" s="365" t="s">
        <v>66</v>
      </c>
    </row>
    <row r="19" spans="1:32" ht="12.75" customHeight="1">
      <c r="A19" s="316"/>
      <c r="B19" s="346" t="s">
        <v>87</v>
      </c>
      <c r="C19" s="448">
        <v>2</v>
      </c>
      <c r="D19" s="448">
        <v>1.8</v>
      </c>
      <c r="E19" s="446">
        <v>1.1</v>
      </c>
      <c r="F19" s="446">
        <v>0.8</v>
      </c>
      <c r="G19" s="446">
        <v>0.5</v>
      </c>
      <c r="H19" s="446">
        <v>0.4</v>
      </c>
      <c r="I19" s="446">
        <v>0.3</v>
      </c>
      <c r="J19" s="446">
        <v>0.077</v>
      </c>
      <c r="K19" s="446">
        <v>0.1</v>
      </c>
      <c r="L19" s="446">
        <v>0.1</v>
      </c>
      <c r="M19" s="446">
        <v>0.118</v>
      </c>
      <c r="N19" s="446">
        <v>0.118</v>
      </c>
      <c r="O19" s="446">
        <v>0.118</v>
      </c>
      <c r="P19" s="446">
        <v>0.101</v>
      </c>
      <c r="Q19" s="446">
        <v>0.112</v>
      </c>
      <c r="R19" s="446">
        <v>0.109</v>
      </c>
      <c r="S19" s="446">
        <v>0.118</v>
      </c>
      <c r="T19" s="446">
        <v>0.075</v>
      </c>
      <c r="U19" s="446">
        <v>0.066</v>
      </c>
      <c r="V19" s="447">
        <v>0.102</v>
      </c>
      <c r="W19" s="446">
        <v>0.08</v>
      </c>
      <c r="X19" s="446">
        <v>0.061</v>
      </c>
      <c r="Y19" s="446">
        <v>0.076</v>
      </c>
      <c r="Z19" s="446">
        <v>0.09</v>
      </c>
      <c r="AA19" s="446">
        <v>0.124</v>
      </c>
      <c r="AB19" s="446">
        <v>0.121</v>
      </c>
      <c r="AC19" s="446">
        <v>0.136</v>
      </c>
      <c r="AD19" s="446">
        <v>0.13</v>
      </c>
      <c r="AE19" s="448">
        <f>AD19/AC19*100-100</f>
        <v>-4.411764705882362</v>
      </c>
      <c r="AF19" s="346" t="s">
        <v>87</v>
      </c>
    </row>
    <row r="20" spans="1:32" ht="12.75" customHeight="1">
      <c r="A20" s="316"/>
      <c r="B20" s="346" t="s">
        <v>67</v>
      </c>
      <c r="C20" s="445">
        <v>12.229</v>
      </c>
      <c r="D20" s="445">
        <v>10.869</v>
      </c>
      <c r="E20" s="446">
        <v>7.581033087</v>
      </c>
      <c r="F20" s="446">
        <v>8.346546523</v>
      </c>
      <c r="G20" s="446">
        <v>8.631432177</v>
      </c>
      <c r="H20" s="446">
        <v>7.684228969</v>
      </c>
      <c r="I20" s="446">
        <v>7.235301561</v>
      </c>
      <c r="J20" s="446">
        <v>6.63</v>
      </c>
      <c r="K20" s="446">
        <v>6.027</v>
      </c>
      <c r="L20" s="446">
        <v>7.058</v>
      </c>
      <c r="M20" s="446">
        <v>7.936</v>
      </c>
      <c r="N20" s="446">
        <v>8.478</v>
      </c>
      <c r="O20" s="446">
        <v>9.11</v>
      </c>
      <c r="P20" s="446">
        <v>8.294</v>
      </c>
      <c r="Q20" s="446">
        <v>8.269</v>
      </c>
      <c r="R20" s="446">
        <v>8.024</v>
      </c>
      <c r="S20" s="446">
        <v>8.416</v>
      </c>
      <c r="T20" s="446">
        <v>8.905</v>
      </c>
      <c r="U20" s="446">
        <v>9.005</v>
      </c>
      <c r="V20" s="446">
        <v>9.208</v>
      </c>
      <c r="W20" s="446">
        <v>8.91</v>
      </c>
      <c r="X20" s="446">
        <v>8.711</v>
      </c>
      <c r="Y20" s="446">
        <v>9.474</v>
      </c>
      <c r="Z20" s="446">
        <v>9.035</v>
      </c>
      <c r="AA20" s="446">
        <v>8.916</v>
      </c>
      <c r="AB20" s="446">
        <v>9.213</v>
      </c>
      <c r="AC20" s="446">
        <v>8.803</v>
      </c>
      <c r="AD20" s="457">
        <v>8.516</v>
      </c>
      <c r="AE20" s="448">
        <f>AD20/AC20*100-100</f>
        <v>-3.2602521867545136</v>
      </c>
      <c r="AF20" s="346" t="s">
        <v>67</v>
      </c>
    </row>
    <row r="21" spans="1:32" ht="12.75" customHeight="1">
      <c r="A21" s="316"/>
      <c r="B21" s="453" t="s">
        <v>148</v>
      </c>
      <c r="C21" s="533">
        <v>0.3</v>
      </c>
      <c r="D21" s="533">
        <v>0.6</v>
      </c>
      <c r="E21" s="536">
        <v>0.5</v>
      </c>
      <c r="F21" s="455" t="s">
        <v>99</v>
      </c>
      <c r="G21" s="455" t="s">
        <v>99</v>
      </c>
      <c r="H21" s="455" t="s">
        <v>99</v>
      </c>
      <c r="I21" s="455" t="s">
        <v>99</v>
      </c>
      <c r="J21" s="455">
        <v>0.033</v>
      </c>
      <c r="K21" s="455">
        <v>0.022</v>
      </c>
      <c r="L21" s="455">
        <v>0.022</v>
      </c>
      <c r="M21" s="455">
        <v>0.053</v>
      </c>
      <c r="N21" s="455">
        <v>0.052</v>
      </c>
      <c r="O21" s="455">
        <v>0.063536</v>
      </c>
      <c r="P21" s="455">
        <v>0.077484</v>
      </c>
      <c r="Q21" s="455">
        <v>0.089745</v>
      </c>
      <c r="R21" s="455">
        <v>0.1001</v>
      </c>
      <c r="S21" s="455">
        <v>0.1787</v>
      </c>
      <c r="T21" s="455">
        <v>0.1186</v>
      </c>
      <c r="U21" s="455">
        <v>0.1164</v>
      </c>
      <c r="V21" s="455">
        <v>0.109</v>
      </c>
      <c r="W21" s="455">
        <v>0.842</v>
      </c>
      <c r="X21" s="455">
        <v>0.727</v>
      </c>
      <c r="Y21" s="455">
        <v>0.94</v>
      </c>
      <c r="Z21" s="455">
        <v>0.692</v>
      </c>
      <c r="AA21" s="455">
        <v>0.772</v>
      </c>
      <c r="AB21" s="455">
        <v>0.771</v>
      </c>
      <c r="AC21" s="455">
        <v>0.716</v>
      </c>
      <c r="AD21" s="465">
        <v>0.879</v>
      </c>
      <c r="AE21" s="456">
        <f>AD21/AC21*100-100</f>
        <v>22.76536312849163</v>
      </c>
      <c r="AF21" s="453" t="s">
        <v>148</v>
      </c>
    </row>
    <row r="22" spans="1:32" ht="12.75" customHeight="1">
      <c r="A22" s="316"/>
      <c r="B22" s="365" t="s">
        <v>77</v>
      </c>
      <c r="C22" s="458">
        <v>1.76</v>
      </c>
      <c r="D22" s="458">
        <v>2.15</v>
      </c>
      <c r="E22" s="458">
        <v>2.04</v>
      </c>
      <c r="F22" s="450">
        <v>1.72</v>
      </c>
      <c r="G22" s="450">
        <v>1.6</v>
      </c>
      <c r="H22" s="450">
        <v>1.62</v>
      </c>
      <c r="I22" s="450">
        <v>1.35</v>
      </c>
      <c r="J22" s="450">
        <v>1.211</v>
      </c>
      <c r="K22" s="450">
        <v>1.397</v>
      </c>
      <c r="L22" s="450">
        <v>1.441</v>
      </c>
      <c r="M22" s="450">
        <v>1.56</v>
      </c>
      <c r="N22" s="450">
        <v>0.958</v>
      </c>
      <c r="O22" s="450">
        <v>0.891</v>
      </c>
      <c r="P22" s="450">
        <v>1.087</v>
      </c>
      <c r="Q22" s="450">
        <v>1.407</v>
      </c>
      <c r="R22" s="450">
        <v>1.517</v>
      </c>
      <c r="S22" s="450">
        <v>1.904</v>
      </c>
      <c r="T22" s="450">
        <v>2.11</v>
      </c>
      <c r="U22" s="450">
        <v>1.913</v>
      </c>
      <c r="V22" s="450">
        <v>2.212</v>
      </c>
      <c r="W22" s="450">
        <v>2.25</v>
      </c>
      <c r="X22" s="450">
        <v>1.831</v>
      </c>
      <c r="Y22" s="450">
        <v>2.393</v>
      </c>
      <c r="Z22" s="450">
        <v>1.84</v>
      </c>
      <c r="AA22" s="450">
        <v>1.982</v>
      </c>
      <c r="AB22" s="450">
        <v>1.924</v>
      </c>
      <c r="AC22" s="450">
        <v>1.811</v>
      </c>
      <c r="AD22" s="459">
        <v>1.824</v>
      </c>
      <c r="AE22" s="452">
        <f>AD22/AC22*100-100</f>
        <v>0.7178354500276214</v>
      </c>
      <c r="AF22" s="365" t="s">
        <v>77</v>
      </c>
    </row>
    <row r="23" spans="1:32" ht="12.75" customHeight="1">
      <c r="A23" s="316"/>
      <c r="B23" s="365" t="s">
        <v>68</v>
      </c>
      <c r="C23" s="534" t="s">
        <v>146</v>
      </c>
      <c r="D23" s="534" t="s">
        <v>146</v>
      </c>
      <c r="E23" s="537" t="s">
        <v>146</v>
      </c>
      <c r="F23" s="443" t="s">
        <v>146</v>
      </c>
      <c r="G23" s="443" t="s">
        <v>146</v>
      </c>
      <c r="H23" s="443" t="s">
        <v>146</v>
      </c>
      <c r="I23" s="443" t="s">
        <v>146</v>
      </c>
      <c r="J23" s="443" t="s">
        <v>146</v>
      </c>
      <c r="K23" s="443" t="s">
        <v>146</v>
      </c>
      <c r="L23" s="443" t="s">
        <v>146</v>
      </c>
      <c r="M23" s="443" t="s">
        <v>146</v>
      </c>
      <c r="N23" s="443" t="s">
        <v>146</v>
      </c>
      <c r="O23" s="443" t="s">
        <v>146</v>
      </c>
      <c r="P23" s="443" t="s">
        <v>146</v>
      </c>
      <c r="Q23" s="443" t="s">
        <v>146</v>
      </c>
      <c r="R23" s="443" t="s">
        <v>146</v>
      </c>
      <c r="S23" s="443" t="s">
        <v>146</v>
      </c>
      <c r="T23" s="443" t="s">
        <v>146</v>
      </c>
      <c r="U23" s="443" t="s">
        <v>146</v>
      </c>
      <c r="V23" s="443" t="s">
        <v>146</v>
      </c>
      <c r="W23" s="443" t="s">
        <v>146</v>
      </c>
      <c r="X23" s="443" t="s">
        <v>146</v>
      </c>
      <c r="Y23" s="443" t="s">
        <v>146</v>
      </c>
      <c r="Z23" s="443" t="s">
        <v>146</v>
      </c>
      <c r="AA23" s="443" t="s">
        <v>146</v>
      </c>
      <c r="AB23" s="443" t="s">
        <v>146</v>
      </c>
      <c r="AC23" s="443" t="s">
        <v>146</v>
      </c>
      <c r="AD23" s="540" t="s">
        <v>146</v>
      </c>
      <c r="AE23" s="444" t="s">
        <v>146</v>
      </c>
      <c r="AF23" s="365" t="s">
        <v>68</v>
      </c>
    </row>
    <row r="24" spans="1:32" ht="12.75" customHeight="1">
      <c r="A24" s="316"/>
      <c r="B24" s="346" t="s">
        <v>69</v>
      </c>
      <c r="C24" s="532">
        <v>0.35</v>
      </c>
      <c r="D24" s="532">
        <v>0.203</v>
      </c>
      <c r="E24" s="460">
        <v>0.118</v>
      </c>
      <c r="F24" s="446">
        <v>0.09</v>
      </c>
      <c r="G24" s="446">
        <v>0.07</v>
      </c>
      <c r="H24" s="446">
        <v>0.097</v>
      </c>
      <c r="I24" s="446">
        <v>0.108</v>
      </c>
      <c r="J24" s="446">
        <v>0.135308</v>
      </c>
      <c r="K24" s="446">
        <v>0.125092</v>
      </c>
      <c r="L24" s="446">
        <v>0.201427</v>
      </c>
      <c r="M24" s="446">
        <v>0.126141</v>
      </c>
      <c r="N24" s="446">
        <v>0.177299</v>
      </c>
      <c r="O24" s="446">
        <v>0.169566</v>
      </c>
      <c r="P24" s="446">
        <v>0.161024</v>
      </c>
      <c r="Q24" s="446">
        <v>0.090063</v>
      </c>
      <c r="R24" s="446">
        <v>0.09082</v>
      </c>
      <c r="S24" s="446">
        <v>0.10983</v>
      </c>
      <c r="T24" s="446">
        <v>0.08875</v>
      </c>
      <c r="U24" s="446">
        <v>0.075974</v>
      </c>
      <c r="V24" s="446">
        <v>0.093</v>
      </c>
      <c r="W24" s="446">
        <v>0.064</v>
      </c>
      <c r="X24" s="446">
        <v>0.054</v>
      </c>
      <c r="Y24" s="446">
        <v>0.108</v>
      </c>
      <c r="Z24" s="446">
        <v>0.144</v>
      </c>
      <c r="AA24" s="446">
        <v>0.081</v>
      </c>
      <c r="AB24" s="446">
        <v>0.089</v>
      </c>
      <c r="AC24" s="446">
        <v>0.064</v>
      </c>
      <c r="AD24" s="457">
        <v>0.062</v>
      </c>
      <c r="AE24" s="448">
        <f>AD24/AC24*100-100</f>
        <v>-3.125</v>
      </c>
      <c r="AF24" s="346" t="s">
        <v>69</v>
      </c>
    </row>
    <row r="25" spans="1:32" ht="12.75" customHeight="1">
      <c r="A25" s="316"/>
      <c r="B25" s="365" t="s">
        <v>73</v>
      </c>
      <c r="C25" s="458">
        <v>0.12</v>
      </c>
      <c r="D25" s="458">
        <v>0.15</v>
      </c>
      <c r="E25" s="458">
        <v>0.164</v>
      </c>
      <c r="F25" s="450">
        <v>0.141</v>
      </c>
      <c r="G25" s="450">
        <v>0.045</v>
      </c>
      <c r="H25" s="450">
        <v>0.05</v>
      </c>
      <c r="I25" s="450">
        <v>0.03</v>
      </c>
      <c r="J25" s="450">
        <v>0.018</v>
      </c>
      <c r="K25" s="450">
        <v>0.007</v>
      </c>
      <c r="L25" s="450">
        <v>0.009</v>
      </c>
      <c r="M25" s="450">
        <v>0.014</v>
      </c>
      <c r="N25" s="450">
        <v>0.003</v>
      </c>
      <c r="O25" s="450">
        <v>0.0014835999999999998</v>
      </c>
      <c r="P25" s="450">
        <v>0.0005356000000000001</v>
      </c>
      <c r="Q25" s="450">
        <v>0.000515</v>
      </c>
      <c r="R25" s="450">
        <v>0.0006651999999999999</v>
      </c>
      <c r="S25" s="450">
        <v>0.000621</v>
      </c>
      <c r="T25" s="450">
        <v>0.0013244</v>
      </c>
      <c r="U25" s="450">
        <v>0.0017951</v>
      </c>
      <c r="V25" s="450">
        <v>0.01</v>
      </c>
      <c r="W25" s="450">
        <v>0.012</v>
      </c>
      <c r="X25" s="450">
        <v>0.003</v>
      </c>
      <c r="Y25" s="450">
        <v>0.003</v>
      </c>
      <c r="Z25" s="450">
        <v>0.003</v>
      </c>
      <c r="AA25" s="450">
        <v>0.001</v>
      </c>
      <c r="AB25" s="450">
        <v>0</v>
      </c>
      <c r="AC25" s="450">
        <v>0</v>
      </c>
      <c r="AD25" s="459">
        <v>0</v>
      </c>
      <c r="AE25" s="452" t="s">
        <v>146</v>
      </c>
      <c r="AF25" s="365" t="s">
        <v>73</v>
      </c>
    </row>
    <row r="26" spans="1:32" ht="12.75" customHeight="1">
      <c r="A26" s="316"/>
      <c r="B26" s="346" t="s">
        <v>76</v>
      </c>
      <c r="C26" s="460">
        <v>0.302</v>
      </c>
      <c r="D26" s="460">
        <v>0.331</v>
      </c>
      <c r="E26" s="460">
        <v>0.362297836</v>
      </c>
      <c r="F26" s="446">
        <v>0.340424046</v>
      </c>
      <c r="G26" s="446">
        <v>0.338</v>
      </c>
      <c r="H26" s="446">
        <v>0.323</v>
      </c>
      <c r="I26" s="446">
        <v>0.317</v>
      </c>
      <c r="J26" s="446">
        <v>0.338</v>
      </c>
      <c r="K26" s="446">
        <v>0.321</v>
      </c>
      <c r="L26" s="446">
        <v>0.356</v>
      </c>
      <c r="M26" s="446">
        <v>0.369</v>
      </c>
      <c r="N26" s="446">
        <v>0.351</v>
      </c>
      <c r="O26" s="446">
        <v>0.378</v>
      </c>
      <c r="P26" s="446">
        <v>0.371</v>
      </c>
      <c r="Q26" s="446">
        <v>0.37</v>
      </c>
      <c r="R26" s="446">
        <v>0.316</v>
      </c>
      <c r="S26" s="446">
        <v>0.37</v>
      </c>
      <c r="T26" s="446">
        <v>0.342</v>
      </c>
      <c r="U26" s="446">
        <v>0.381</v>
      </c>
      <c r="V26" s="446">
        <v>0.345</v>
      </c>
      <c r="W26" s="446">
        <v>0.367</v>
      </c>
      <c r="X26" s="446">
        <v>0.279</v>
      </c>
      <c r="Y26" s="446">
        <v>0.359</v>
      </c>
      <c r="Z26" s="446">
        <v>0.305</v>
      </c>
      <c r="AA26" s="446">
        <v>0.29</v>
      </c>
      <c r="AB26" s="446">
        <v>0.313</v>
      </c>
      <c r="AC26" s="446">
        <v>0.285</v>
      </c>
      <c r="AD26" s="457">
        <v>0.235</v>
      </c>
      <c r="AE26" s="448">
        <f>AD26/AC26*100-100</f>
        <v>-17.54385964912281</v>
      </c>
      <c r="AF26" s="346" t="s">
        <v>76</v>
      </c>
    </row>
    <row r="27" spans="1:32" ht="12.75" customHeight="1">
      <c r="A27" s="316"/>
      <c r="B27" s="346" t="s">
        <v>72</v>
      </c>
      <c r="C27" s="460">
        <v>0.05</v>
      </c>
      <c r="D27" s="460">
        <v>0.09</v>
      </c>
      <c r="E27" s="460" t="s">
        <v>146</v>
      </c>
      <c r="F27" s="446" t="s">
        <v>146</v>
      </c>
      <c r="G27" s="446" t="s">
        <v>146</v>
      </c>
      <c r="H27" s="446" t="s">
        <v>146</v>
      </c>
      <c r="I27" s="446" t="s">
        <v>146</v>
      </c>
      <c r="J27" s="446" t="s">
        <v>146</v>
      </c>
      <c r="K27" s="446" t="s">
        <v>146</v>
      </c>
      <c r="L27" s="446" t="s">
        <v>146</v>
      </c>
      <c r="M27" s="446" t="s">
        <v>146</v>
      </c>
      <c r="N27" s="446" t="s">
        <v>146</v>
      </c>
      <c r="O27" s="446" t="s">
        <v>146</v>
      </c>
      <c r="P27" s="446" t="s">
        <v>146</v>
      </c>
      <c r="Q27" s="446" t="s">
        <v>146</v>
      </c>
      <c r="R27" s="446" t="s">
        <v>146</v>
      </c>
      <c r="S27" s="446" t="s">
        <v>146</v>
      </c>
      <c r="T27" s="446" t="s">
        <v>146</v>
      </c>
      <c r="U27" s="446" t="s">
        <v>146</v>
      </c>
      <c r="V27" s="446" t="s">
        <v>146</v>
      </c>
      <c r="W27" s="446" t="s">
        <v>146</v>
      </c>
      <c r="X27" s="446" t="s">
        <v>146</v>
      </c>
      <c r="Y27" s="446" t="s">
        <v>146</v>
      </c>
      <c r="Z27" s="446" t="s">
        <v>146</v>
      </c>
      <c r="AA27" s="446" t="s">
        <v>146</v>
      </c>
      <c r="AB27" s="446" t="s">
        <v>146</v>
      </c>
      <c r="AC27" s="446" t="s">
        <v>146</v>
      </c>
      <c r="AD27" s="457" t="s">
        <v>146</v>
      </c>
      <c r="AE27" s="448" t="s">
        <v>146</v>
      </c>
      <c r="AF27" s="346" t="s">
        <v>72</v>
      </c>
    </row>
    <row r="28" spans="1:32" ht="12.75" customHeight="1">
      <c r="A28" s="316"/>
      <c r="B28" s="346" t="s">
        <v>78</v>
      </c>
      <c r="C28" s="461" t="s">
        <v>146</v>
      </c>
      <c r="D28" s="461" t="s">
        <v>146</v>
      </c>
      <c r="E28" s="461" t="s">
        <v>146</v>
      </c>
      <c r="F28" s="462" t="s">
        <v>146</v>
      </c>
      <c r="G28" s="462" t="s">
        <v>146</v>
      </c>
      <c r="H28" s="462" t="s">
        <v>146</v>
      </c>
      <c r="I28" s="462" t="s">
        <v>146</v>
      </c>
      <c r="J28" s="462" t="s">
        <v>146</v>
      </c>
      <c r="K28" s="462" t="s">
        <v>146</v>
      </c>
      <c r="L28" s="462" t="s">
        <v>146</v>
      </c>
      <c r="M28" s="462" t="s">
        <v>146</v>
      </c>
      <c r="N28" s="462" t="s">
        <v>146</v>
      </c>
      <c r="O28" s="462" t="s">
        <v>146</v>
      </c>
      <c r="P28" s="462" t="s">
        <v>146</v>
      </c>
      <c r="Q28" s="462" t="s">
        <v>146</v>
      </c>
      <c r="R28" s="462" t="s">
        <v>146</v>
      </c>
      <c r="S28" s="462" t="s">
        <v>146</v>
      </c>
      <c r="T28" s="462" t="s">
        <v>146</v>
      </c>
      <c r="U28" s="462" t="s">
        <v>146</v>
      </c>
      <c r="V28" s="462" t="s">
        <v>146</v>
      </c>
      <c r="W28" s="462" t="s">
        <v>146</v>
      </c>
      <c r="X28" s="462" t="s">
        <v>146</v>
      </c>
      <c r="Y28" s="462" t="s">
        <v>146</v>
      </c>
      <c r="Z28" s="462" t="s">
        <v>146</v>
      </c>
      <c r="AA28" s="462" t="s">
        <v>146</v>
      </c>
      <c r="AB28" s="462" t="s">
        <v>146</v>
      </c>
      <c r="AC28" s="462" t="s">
        <v>146</v>
      </c>
      <c r="AD28" s="463" t="s">
        <v>146</v>
      </c>
      <c r="AE28" s="464" t="s">
        <v>146</v>
      </c>
      <c r="AF28" s="346" t="s">
        <v>78</v>
      </c>
    </row>
    <row r="29" spans="1:32" ht="12.75" customHeight="1">
      <c r="A29" s="316"/>
      <c r="B29" s="365" t="s">
        <v>16</v>
      </c>
      <c r="C29" s="452">
        <v>30.618</v>
      </c>
      <c r="D29" s="452">
        <v>33.479</v>
      </c>
      <c r="E29" s="450">
        <v>35.661</v>
      </c>
      <c r="F29" s="450">
        <v>34.755</v>
      </c>
      <c r="G29" s="450">
        <v>33.53</v>
      </c>
      <c r="H29" s="450">
        <v>32.058</v>
      </c>
      <c r="I29" s="450">
        <v>36.011</v>
      </c>
      <c r="J29" s="450">
        <v>35.457</v>
      </c>
      <c r="K29" s="450">
        <v>35.513</v>
      </c>
      <c r="L29" s="450">
        <v>40.986</v>
      </c>
      <c r="M29" s="450">
        <v>40.683</v>
      </c>
      <c r="N29" s="450">
        <v>41.428</v>
      </c>
      <c r="O29" s="450">
        <v>41.271</v>
      </c>
      <c r="P29" s="450">
        <v>41.793</v>
      </c>
      <c r="Q29" s="450">
        <v>40.983</v>
      </c>
      <c r="R29" s="505">
        <v>39.031</v>
      </c>
      <c r="S29" s="450">
        <v>43.049</v>
      </c>
      <c r="T29" s="450">
        <v>42.233</v>
      </c>
      <c r="U29" s="450">
        <v>42.215</v>
      </c>
      <c r="V29" s="450">
        <v>46.486</v>
      </c>
      <c r="W29" s="450">
        <v>46.234</v>
      </c>
      <c r="X29" s="450">
        <v>37.863</v>
      </c>
      <c r="Y29" s="450">
        <v>46.562</v>
      </c>
      <c r="Z29" s="450">
        <v>46.462</v>
      </c>
      <c r="AA29" s="450">
        <v>47.533</v>
      </c>
      <c r="AB29" s="450">
        <v>48.627</v>
      </c>
      <c r="AC29" s="450">
        <v>49.295</v>
      </c>
      <c r="AD29" s="459">
        <v>48.535</v>
      </c>
      <c r="AE29" s="452">
        <f>AD29/AC29*100-100</f>
        <v>-1.541738513033792</v>
      </c>
      <c r="AF29" s="365" t="s">
        <v>16</v>
      </c>
    </row>
    <row r="30" spans="1:32" ht="12.75" customHeight="1">
      <c r="A30" s="316"/>
      <c r="B30" s="453" t="s">
        <v>80</v>
      </c>
      <c r="C30" s="533">
        <v>2.3</v>
      </c>
      <c r="D30" s="533">
        <v>2.33</v>
      </c>
      <c r="E30" s="536">
        <v>1.034</v>
      </c>
      <c r="F30" s="455">
        <v>0.74</v>
      </c>
      <c r="G30" s="455">
        <v>0.75</v>
      </c>
      <c r="H30" s="455">
        <v>0.66</v>
      </c>
      <c r="I30" s="455">
        <v>0.79</v>
      </c>
      <c r="J30" s="455">
        <v>0.88</v>
      </c>
      <c r="K30" s="455">
        <v>0.85</v>
      </c>
      <c r="L30" s="455">
        <v>0.93</v>
      </c>
      <c r="M30" s="455">
        <v>1.1</v>
      </c>
      <c r="N30" s="455">
        <v>1.028</v>
      </c>
      <c r="O30" s="455">
        <v>1.173</v>
      </c>
      <c r="P30" s="455">
        <v>1.264</v>
      </c>
      <c r="Q30" s="455">
        <v>1.126</v>
      </c>
      <c r="R30" s="455">
        <v>0.872</v>
      </c>
      <c r="S30" s="455">
        <v>0.37</v>
      </c>
      <c r="T30" s="455">
        <v>0.327</v>
      </c>
      <c r="U30" s="455">
        <v>0.289</v>
      </c>
      <c r="V30" s="455">
        <v>0.277</v>
      </c>
      <c r="W30" s="455">
        <v>0.277</v>
      </c>
      <c r="X30" s="455">
        <v>0.202</v>
      </c>
      <c r="Y30" s="455">
        <v>0.13</v>
      </c>
      <c r="Z30" s="455">
        <v>0.161</v>
      </c>
      <c r="AA30" s="455">
        <v>0.131</v>
      </c>
      <c r="AB30" s="455">
        <v>0.091</v>
      </c>
      <c r="AC30" s="455">
        <v>0.11</v>
      </c>
      <c r="AD30" s="465">
        <v>0.088</v>
      </c>
      <c r="AE30" s="456">
        <f>AD30/AC30*100-100</f>
        <v>-20</v>
      </c>
      <c r="AF30" s="453" t="s">
        <v>80</v>
      </c>
    </row>
    <row r="31" spans="1:32" ht="12.75" customHeight="1">
      <c r="A31" s="316"/>
      <c r="B31" s="346" t="s">
        <v>92</v>
      </c>
      <c r="C31" s="464" t="s">
        <v>146</v>
      </c>
      <c r="D31" s="464" t="s">
        <v>146</v>
      </c>
      <c r="E31" s="462" t="s">
        <v>146</v>
      </c>
      <c r="F31" s="462" t="s">
        <v>146</v>
      </c>
      <c r="G31" s="462" t="s">
        <v>146</v>
      </c>
      <c r="H31" s="462" t="s">
        <v>146</v>
      </c>
      <c r="I31" s="462" t="s">
        <v>146</v>
      </c>
      <c r="J31" s="462" t="s">
        <v>146</v>
      </c>
      <c r="K31" s="462" t="s">
        <v>146</v>
      </c>
      <c r="L31" s="462" t="s">
        <v>146</v>
      </c>
      <c r="M31" s="462" t="s">
        <v>146</v>
      </c>
      <c r="N31" s="462" t="s">
        <v>146</v>
      </c>
      <c r="O31" s="538" t="s">
        <v>146</v>
      </c>
      <c r="P31" s="462" t="s">
        <v>146</v>
      </c>
      <c r="Q31" s="462" t="s">
        <v>146</v>
      </c>
      <c r="R31" s="538" t="s">
        <v>146</v>
      </c>
      <c r="S31" s="462" t="s">
        <v>146</v>
      </c>
      <c r="T31" s="462" t="s">
        <v>146</v>
      </c>
      <c r="U31" s="462" t="s">
        <v>146</v>
      </c>
      <c r="V31" s="462" t="s">
        <v>146</v>
      </c>
      <c r="W31" s="538" t="s">
        <v>146</v>
      </c>
      <c r="X31" s="462" t="s">
        <v>146</v>
      </c>
      <c r="Y31" s="462" t="s">
        <v>146</v>
      </c>
      <c r="Z31" s="462" t="s">
        <v>146</v>
      </c>
      <c r="AA31" s="462" t="s">
        <v>146</v>
      </c>
      <c r="AB31" s="462" t="s">
        <v>146</v>
      </c>
      <c r="AC31" s="462" t="s">
        <v>146</v>
      </c>
      <c r="AD31" s="463" t="s">
        <v>146</v>
      </c>
      <c r="AE31" s="464" t="s">
        <v>146</v>
      </c>
      <c r="AF31" s="346" t="s">
        <v>92</v>
      </c>
    </row>
    <row r="32" spans="1:32" ht="12.75" customHeight="1">
      <c r="A32" s="316"/>
      <c r="B32" s="453" t="s">
        <v>102</v>
      </c>
      <c r="C32" s="533">
        <v>1.35</v>
      </c>
      <c r="D32" s="533">
        <v>2.35</v>
      </c>
      <c r="E32" s="536">
        <v>2.09</v>
      </c>
      <c r="F32" s="455">
        <v>2.03</v>
      </c>
      <c r="G32" s="455">
        <v>1.89</v>
      </c>
      <c r="H32" s="455">
        <v>1.59</v>
      </c>
      <c r="I32" s="455">
        <v>1.9</v>
      </c>
      <c r="J32" s="455">
        <v>3.11</v>
      </c>
      <c r="K32" s="455">
        <v>3.77</v>
      </c>
      <c r="L32" s="455">
        <v>4.33</v>
      </c>
      <c r="M32" s="455">
        <v>4.203</v>
      </c>
      <c r="N32" s="455">
        <v>2.802</v>
      </c>
      <c r="O32" s="455">
        <v>2.634</v>
      </c>
      <c r="P32" s="455">
        <v>2.746</v>
      </c>
      <c r="Q32" s="455">
        <v>3.641</v>
      </c>
      <c r="R32" s="455">
        <v>3.521</v>
      </c>
      <c r="S32" s="455">
        <v>6.955</v>
      </c>
      <c r="T32" s="455">
        <v>8.435</v>
      </c>
      <c r="U32" s="455">
        <v>8.157</v>
      </c>
      <c r="V32" s="455">
        <v>8.195</v>
      </c>
      <c r="W32" s="455">
        <v>8.687</v>
      </c>
      <c r="X32" s="455">
        <v>11.765</v>
      </c>
      <c r="Y32" s="455">
        <v>14.317</v>
      </c>
      <c r="Z32" s="455">
        <v>11.409</v>
      </c>
      <c r="AA32" s="455">
        <v>12.52</v>
      </c>
      <c r="AB32" s="455">
        <v>12.242</v>
      </c>
      <c r="AC32" s="455">
        <v>11.76</v>
      </c>
      <c r="AD32" s="465">
        <v>13.168</v>
      </c>
      <c r="AE32" s="456">
        <f>AD32/AC32*100-100</f>
        <v>11.97278911564625</v>
      </c>
      <c r="AF32" s="453" t="s">
        <v>102</v>
      </c>
    </row>
    <row r="33" spans="1:32" ht="12.75" customHeight="1">
      <c r="A33" s="316"/>
      <c r="B33" s="453" t="s">
        <v>88</v>
      </c>
      <c r="C33" s="454" t="s">
        <v>146</v>
      </c>
      <c r="D33" s="454" t="s">
        <v>146</v>
      </c>
      <c r="E33" s="455" t="s">
        <v>146</v>
      </c>
      <c r="F33" s="455" t="s">
        <v>146</v>
      </c>
      <c r="G33" s="455" t="s">
        <v>146</v>
      </c>
      <c r="H33" s="455" t="s">
        <v>146</v>
      </c>
      <c r="I33" s="455" t="s">
        <v>146</v>
      </c>
      <c r="J33" s="455" t="s">
        <v>146</v>
      </c>
      <c r="K33" s="455" t="s">
        <v>146</v>
      </c>
      <c r="L33" s="455" t="s">
        <v>146</v>
      </c>
      <c r="M33" s="455" t="s">
        <v>146</v>
      </c>
      <c r="N33" s="455" t="s">
        <v>146</v>
      </c>
      <c r="O33" s="455" t="s">
        <v>146</v>
      </c>
      <c r="P33" s="455" t="s">
        <v>146</v>
      </c>
      <c r="Q33" s="455" t="s">
        <v>146</v>
      </c>
      <c r="R33" s="455" t="s">
        <v>146</v>
      </c>
      <c r="S33" s="455" t="s">
        <v>146</v>
      </c>
      <c r="T33" s="455" t="s">
        <v>146</v>
      </c>
      <c r="U33" s="455" t="s">
        <v>146</v>
      </c>
      <c r="V33" s="455" t="s">
        <v>146</v>
      </c>
      <c r="W33" s="455" t="s">
        <v>146</v>
      </c>
      <c r="X33" s="455" t="s">
        <v>146</v>
      </c>
      <c r="Y33" s="455" t="s">
        <v>146</v>
      </c>
      <c r="Z33" s="455" t="s">
        <v>146</v>
      </c>
      <c r="AA33" s="455" t="s">
        <v>146</v>
      </c>
      <c r="AB33" s="455" t="s">
        <v>146</v>
      </c>
      <c r="AC33" s="455" t="s">
        <v>146</v>
      </c>
      <c r="AD33" s="465" t="s">
        <v>146</v>
      </c>
      <c r="AE33" s="456" t="s">
        <v>146</v>
      </c>
      <c r="AF33" s="453" t="s">
        <v>88</v>
      </c>
    </row>
    <row r="34" spans="1:32" ht="12.75" customHeight="1">
      <c r="A34" s="316"/>
      <c r="B34" s="346" t="s">
        <v>83</v>
      </c>
      <c r="C34" s="461" t="s">
        <v>146</v>
      </c>
      <c r="D34" s="461" t="s">
        <v>146</v>
      </c>
      <c r="E34" s="461" t="s">
        <v>146</v>
      </c>
      <c r="F34" s="462" t="s">
        <v>146</v>
      </c>
      <c r="G34" s="462" t="s">
        <v>146</v>
      </c>
      <c r="H34" s="462" t="s">
        <v>146</v>
      </c>
      <c r="I34" s="538" t="s">
        <v>146</v>
      </c>
      <c r="J34" s="462" t="s">
        <v>146</v>
      </c>
      <c r="K34" s="462" t="s">
        <v>146</v>
      </c>
      <c r="L34" s="462" t="s">
        <v>146</v>
      </c>
      <c r="M34" s="462" t="s">
        <v>146</v>
      </c>
      <c r="N34" s="462" t="s">
        <v>146</v>
      </c>
      <c r="O34" s="462" t="s">
        <v>146</v>
      </c>
      <c r="P34" s="462" t="s">
        <v>146</v>
      </c>
      <c r="Q34" s="462" t="s">
        <v>146</v>
      </c>
      <c r="R34" s="462" t="s">
        <v>146</v>
      </c>
      <c r="S34" s="462" t="s">
        <v>146</v>
      </c>
      <c r="T34" s="462" t="s">
        <v>146</v>
      </c>
      <c r="U34" s="462" t="s">
        <v>146</v>
      </c>
      <c r="V34" s="462" t="s">
        <v>146</v>
      </c>
      <c r="W34" s="462" t="s">
        <v>146</v>
      </c>
      <c r="X34" s="462" t="s">
        <v>146</v>
      </c>
      <c r="Y34" s="462" t="s">
        <v>146</v>
      </c>
      <c r="Z34" s="462" t="s">
        <v>146</v>
      </c>
      <c r="AA34" s="462" t="s">
        <v>146</v>
      </c>
      <c r="AB34" s="462" t="s">
        <v>146</v>
      </c>
      <c r="AC34" s="462" t="s">
        <v>146</v>
      </c>
      <c r="AD34" s="463" t="s">
        <v>146</v>
      </c>
      <c r="AE34" s="464" t="s">
        <v>146</v>
      </c>
      <c r="AF34" s="346" t="s">
        <v>83</v>
      </c>
    </row>
    <row r="35" spans="1:32" ht="12.75" customHeight="1">
      <c r="A35" s="316"/>
      <c r="B35" s="453" t="s">
        <v>85</v>
      </c>
      <c r="C35" s="454"/>
      <c r="D35" s="454"/>
      <c r="E35" s="455"/>
      <c r="F35" s="455"/>
      <c r="G35" s="455"/>
      <c r="H35" s="455"/>
      <c r="I35" s="455">
        <v>0.8461</v>
      </c>
      <c r="J35" s="455">
        <v>1.4682</v>
      </c>
      <c r="K35" s="455">
        <v>1.5979</v>
      </c>
      <c r="L35" s="455">
        <v>1.5193</v>
      </c>
      <c r="M35" s="455">
        <v>1.5269</v>
      </c>
      <c r="N35" s="455">
        <v>1.6626</v>
      </c>
      <c r="O35" s="455">
        <v>1.3793</v>
      </c>
      <c r="P35" s="455">
        <v>0.9952</v>
      </c>
      <c r="Q35" s="455">
        <v>0.5997</v>
      </c>
      <c r="R35" s="455">
        <v>0.5225</v>
      </c>
      <c r="S35" s="455">
        <v>0.741</v>
      </c>
      <c r="T35" s="455">
        <v>0.7403</v>
      </c>
      <c r="U35" s="455">
        <v>0.6488</v>
      </c>
      <c r="V35" s="455">
        <v>1.004</v>
      </c>
      <c r="W35" s="455">
        <v>1.101</v>
      </c>
      <c r="X35" s="455">
        <v>0.899</v>
      </c>
      <c r="Y35" s="455">
        <v>1.189</v>
      </c>
      <c r="Z35" s="455">
        <v>0.931</v>
      </c>
      <c r="AA35" s="455">
        <v>0.986</v>
      </c>
      <c r="AB35" s="455">
        <v>1.006</v>
      </c>
      <c r="AC35" s="455">
        <v>0.905</v>
      </c>
      <c r="AD35" s="465">
        <v>0.741</v>
      </c>
      <c r="AE35" s="456">
        <f>AD35/AC35*100-100</f>
        <v>-18.121546961325976</v>
      </c>
      <c r="AF35" s="453" t="s">
        <v>85</v>
      </c>
    </row>
    <row r="36" spans="1:32" ht="12.75" customHeight="1">
      <c r="A36" s="316"/>
      <c r="B36" s="466" t="s">
        <v>13</v>
      </c>
      <c r="C36" s="467">
        <v>0.3</v>
      </c>
      <c r="D36" s="467">
        <v>0.4</v>
      </c>
      <c r="E36" s="468">
        <v>0.3</v>
      </c>
      <c r="F36" s="468">
        <v>0.2</v>
      </c>
      <c r="G36" s="468">
        <v>0.19</v>
      </c>
      <c r="H36" s="468">
        <v>0.2</v>
      </c>
      <c r="I36" s="468">
        <v>0.2</v>
      </c>
      <c r="J36" s="468">
        <v>0.2</v>
      </c>
      <c r="K36" s="468">
        <v>0.18</v>
      </c>
      <c r="L36" s="468">
        <v>0.15</v>
      </c>
      <c r="M36" s="468">
        <v>0.15</v>
      </c>
      <c r="N36" s="468">
        <v>0.16</v>
      </c>
      <c r="O36" s="468">
        <v>0.21</v>
      </c>
      <c r="P36" s="468">
        <v>0.19</v>
      </c>
      <c r="Q36" s="468">
        <v>0.18</v>
      </c>
      <c r="R36" s="468">
        <v>0.18</v>
      </c>
      <c r="S36" s="468">
        <v>0.15</v>
      </c>
      <c r="T36" s="468">
        <v>0.17</v>
      </c>
      <c r="U36" s="469">
        <v>0.16</v>
      </c>
      <c r="V36" s="468">
        <v>0.162</v>
      </c>
      <c r="W36" s="468">
        <v>0.164</v>
      </c>
      <c r="X36" s="468">
        <v>0.133</v>
      </c>
      <c r="Y36" s="468">
        <v>0.156</v>
      </c>
      <c r="Z36" s="468">
        <v>0.144</v>
      </c>
      <c r="AA36" s="468">
        <v>0.165</v>
      </c>
      <c r="AB36" s="468">
        <v>0.211</v>
      </c>
      <c r="AC36" s="470">
        <v>0.169</v>
      </c>
      <c r="AD36" s="471">
        <v>0.166</v>
      </c>
      <c r="AE36" s="472">
        <f>AD36/AC36*100-100</f>
        <v>-1.7751479289940875</v>
      </c>
      <c r="AF36" s="466" t="s">
        <v>13</v>
      </c>
    </row>
    <row r="37" spans="1:32" ht="12.75" customHeight="1">
      <c r="A37" s="316"/>
      <c r="B37" s="473" t="s">
        <v>289</v>
      </c>
      <c r="C37" s="474" t="s">
        <v>146</v>
      </c>
      <c r="D37" s="474" t="s">
        <v>146</v>
      </c>
      <c r="E37" s="475" t="s">
        <v>146</v>
      </c>
      <c r="F37" s="475" t="s">
        <v>146</v>
      </c>
      <c r="G37" s="475" t="s">
        <v>146</v>
      </c>
      <c r="H37" s="475" t="s">
        <v>146</v>
      </c>
      <c r="I37" s="475" t="s">
        <v>146</v>
      </c>
      <c r="J37" s="475" t="s">
        <v>146</v>
      </c>
      <c r="K37" s="475" t="s">
        <v>146</v>
      </c>
      <c r="L37" s="475" t="s">
        <v>146</v>
      </c>
      <c r="M37" s="475" t="s">
        <v>146</v>
      </c>
      <c r="N37" s="475" t="s">
        <v>146</v>
      </c>
      <c r="O37" s="475" t="s">
        <v>146</v>
      </c>
      <c r="P37" s="475" t="s">
        <v>146</v>
      </c>
      <c r="Q37" s="475" t="s">
        <v>146</v>
      </c>
      <c r="R37" s="475" t="s">
        <v>146</v>
      </c>
      <c r="S37" s="475" t="s">
        <v>146</v>
      </c>
      <c r="T37" s="475" t="s">
        <v>146</v>
      </c>
      <c r="U37" s="475" t="s">
        <v>146</v>
      </c>
      <c r="V37" s="475" t="s">
        <v>146</v>
      </c>
      <c r="W37" s="475" t="s">
        <v>146</v>
      </c>
      <c r="X37" s="475" t="s">
        <v>146</v>
      </c>
      <c r="Y37" s="475" t="s">
        <v>146</v>
      </c>
      <c r="Z37" s="475" t="s">
        <v>146</v>
      </c>
      <c r="AA37" s="475" t="s">
        <v>146</v>
      </c>
      <c r="AB37" s="475" t="s">
        <v>146</v>
      </c>
      <c r="AC37" s="475" t="s">
        <v>146</v>
      </c>
      <c r="AD37" s="475" t="s">
        <v>146</v>
      </c>
      <c r="AE37" s="476" t="s">
        <v>146</v>
      </c>
      <c r="AF37" s="473" t="s">
        <v>289</v>
      </c>
    </row>
    <row r="38" spans="1:32" ht="12.75" customHeight="1">
      <c r="A38" s="316"/>
      <c r="B38" s="365" t="s">
        <v>235</v>
      </c>
      <c r="C38" s="449" t="s">
        <v>146</v>
      </c>
      <c r="D38" s="449" t="s">
        <v>146</v>
      </c>
      <c r="E38" s="450" t="s">
        <v>146</v>
      </c>
      <c r="F38" s="450" t="s">
        <v>146</v>
      </c>
      <c r="G38" s="450" t="s">
        <v>146</v>
      </c>
      <c r="H38" s="450" t="s">
        <v>146</v>
      </c>
      <c r="I38" s="450" t="s">
        <v>146</v>
      </c>
      <c r="J38" s="450" t="s">
        <v>146</v>
      </c>
      <c r="K38" s="450"/>
      <c r="L38" s="450"/>
      <c r="M38" s="450"/>
      <c r="N38" s="450"/>
      <c r="O38" s="450" t="s">
        <v>146</v>
      </c>
      <c r="P38" s="450" t="s">
        <v>146</v>
      </c>
      <c r="Q38" s="450" t="s">
        <v>146</v>
      </c>
      <c r="R38" s="450" t="s">
        <v>146</v>
      </c>
      <c r="S38" s="450" t="s">
        <v>146</v>
      </c>
      <c r="T38" s="450" t="s">
        <v>146</v>
      </c>
      <c r="U38" s="450" t="s">
        <v>146</v>
      </c>
      <c r="V38" s="450" t="s">
        <v>146</v>
      </c>
      <c r="W38" s="450" t="s">
        <v>146</v>
      </c>
      <c r="X38" s="450" t="s">
        <v>146</v>
      </c>
      <c r="Y38" s="450" t="s">
        <v>146</v>
      </c>
      <c r="Z38" s="450" t="s">
        <v>146</v>
      </c>
      <c r="AA38" s="450" t="s">
        <v>146</v>
      </c>
      <c r="AB38" s="450" t="s">
        <v>146</v>
      </c>
      <c r="AC38" s="450" t="s">
        <v>146</v>
      </c>
      <c r="AD38" s="450" t="s">
        <v>146</v>
      </c>
      <c r="AE38" s="444" t="s">
        <v>146</v>
      </c>
      <c r="AF38" s="365" t="s">
        <v>235</v>
      </c>
    </row>
    <row r="39" spans="1:32" ht="12.75" customHeight="1">
      <c r="A39" s="316"/>
      <c r="B39" s="346" t="s">
        <v>149</v>
      </c>
      <c r="C39" s="445" t="s">
        <v>146</v>
      </c>
      <c r="D39" s="445" t="s">
        <v>146</v>
      </c>
      <c r="E39" s="446" t="s">
        <v>146</v>
      </c>
      <c r="F39" s="446" t="s">
        <v>146</v>
      </c>
      <c r="G39" s="446" t="s">
        <v>146</v>
      </c>
      <c r="H39" s="446" t="s">
        <v>146</v>
      </c>
      <c r="I39" s="446" t="s">
        <v>146</v>
      </c>
      <c r="J39" s="446" t="s">
        <v>146</v>
      </c>
      <c r="K39" s="446" t="s">
        <v>146</v>
      </c>
      <c r="L39" s="446" t="s">
        <v>146</v>
      </c>
      <c r="M39" s="446" t="s">
        <v>146</v>
      </c>
      <c r="N39" s="446" t="s">
        <v>146</v>
      </c>
      <c r="O39" s="446" t="s">
        <v>146</v>
      </c>
      <c r="P39" s="446" t="s">
        <v>146</v>
      </c>
      <c r="Q39" s="446" t="s">
        <v>146</v>
      </c>
      <c r="R39" s="446" t="s">
        <v>146</v>
      </c>
      <c r="S39" s="446" t="s">
        <v>146</v>
      </c>
      <c r="T39" s="446" t="s">
        <v>146</v>
      </c>
      <c r="U39" s="446" t="s">
        <v>146</v>
      </c>
      <c r="V39" s="446" t="s">
        <v>146</v>
      </c>
      <c r="W39" s="446" t="s">
        <v>146</v>
      </c>
      <c r="X39" s="446" t="s">
        <v>146</v>
      </c>
      <c r="Y39" s="446" t="s">
        <v>146</v>
      </c>
      <c r="Z39" s="446" t="s">
        <v>146</v>
      </c>
      <c r="AA39" s="446" t="s">
        <v>146</v>
      </c>
      <c r="AB39" s="446" t="s">
        <v>146</v>
      </c>
      <c r="AC39" s="446" t="s">
        <v>146</v>
      </c>
      <c r="AD39" s="446" t="s">
        <v>146</v>
      </c>
      <c r="AE39" s="448" t="s">
        <v>146</v>
      </c>
      <c r="AF39" s="346" t="s">
        <v>149</v>
      </c>
    </row>
    <row r="40" spans="1:32" ht="12.75" customHeight="1">
      <c r="A40" s="316"/>
      <c r="B40" s="365" t="s">
        <v>236</v>
      </c>
      <c r="C40" s="449">
        <v>3.504</v>
      </c>
      <c r="D40" s="449">
        <v>4.22</v>
      </c>
      <c r="E40" s="450">
        <v>3.232</v>
      </c>
      <c r="F40" s="450">
        <v>2.916</v>
      </c>
      <c r="G40" s="450">
        <v>2.57</v>
      </c>
      <c r="H40" s="450">
        <v>0.284</v>
      </c>
      <c r="I40" s="450">
        <v>0.267</v>
      </c>
      <c r="J40" s="450">
        <v>0.336</v>
      </c>
      <c r="K40" s="450">
        <v>1.322</v>
      </c>
      <c r="L40" s="450">
        <v>1.825</v>
      </c>
      <c r="M40" s="450">
        <v>1.594</v>
      </c>
      <c r="N40" s="450">
        <v>0.778</v>
      </c>
      <c r="O40" s="450">
        <v>0.98</v>
      </c>
      <c r="P40" s="450">
        <v>0.983</v>
      </c>
      <c r="Q40" s="450">
        <v>1.082</v>
      </c>
      <c r="R40" s="450">
        <v>0.834</v>
      </c>
      <c r="S40" s="450">
        <v>1.115</v>
      </c>
      <c r="T40" s="450">
        <v>1.622</v>
      </c>
      <c r="U40" s="450">
        <v>1.64</v>
      </c>
      <c r="V40" s="450">
        <v>1.584</v>
      </c>
      <c r="W40" s="450">
        <v>1.369</v>
      </c>
      <c r="X40" s="450">
        <v>1.114</v>
      </c>
      <c r="Y40" s="450">
        <v>0.875</v>
      </c>
      <c r="Z40" s="450">
        <v>0.963</v>
      </c>
      <c r="AA40" s="450">
        <v>0.605</v>
      </c>
      <c r="AB40" s="450">
        <v>0.701</v>
      </c>
      <c r="AC40" s="450">
        <v>0.759</v>
      </c>
      <c r="AD40" s="450">
        <v>0.859</v>
      </c>
      <c r="AE40" s="477">
        <f>AD40/AC40*100-100</f>
        <v>13.175230566534907</v>
      </c>
      <c r="AF40" s="365" t="s">
        <v>236</v>
      </c>
    </row>
    <row r="41" spans="1:32" ht="12.75" customHeight="1">
      <c r="A41" s="316"/>
      <c r="B41" s="355" t="s">
        <v>150</v>
      </c>
      <c r="C41" s="478" t="s">
        <v>146</v>
      </c>
      <c r="D41" s="478" t="s">
        <v>146</v>
      </c>
      <c r="E41" s="470" t="s">
        <v>146</v>
      </c>
      <c r="F41" s="470" t="s">
        <v>146</v>
      </c>
      <c r="G41" s="470" t="s">
        <v>146</v>
      </c>
      <c r="H41" s="470" t="s">
        <v>146</v>
      </c>
      <c r="I41" s="470" t="s">
        <v>146</v>
      </c>
      <c r="J41" s="470" t="s">
        <v>146</v>
      </c>
      <c r="K41" s="470" t="s">
        <v>146</v>
      </c>
      <c r="L41" s="470" t="s">
        <v>146</v>
      </c>
      <c r="M41" s="470" t="s">
        <v>146</v>
      </c>
      <c r="N41" s="470" t="s">
        <v>146</v>
      </c>
      <c r="O41" s="470" t="s">
        <v>146</v>
      </c>
      <c r="P41" s="470" t="s">
        <v>146</v>
      </c>
      <c r="Q41" s="470" t="s">
        <v>146</v>
      </c>
      <c r="R41" s="470" t="s">
        <v>146</v>
      </c>
      <c r="S41" s="470" t="s">
        <v>146</v>
      </c>
      <c r="T41" s="470" t="s">
        <v>146</v>
      </c>
      <c r="U41" s="470" t="s">
        <v>146</v>
      </c>
      <c r="V41" s="470" t="s">
        <v>146</v>
      </c>
      <c r="W41" s="470" t="s">
        <v>146</v>
      </c>
      <c r="X41" s="470" t="s">
        <v>146</v>
      </c>
      <c r="Y41" s="470" t="s">
        <v>146</v>
      </c>
      <c r="Z41" s="470" t="s">
        <v>146</v>
      </c>
      <c r="AA41" s="470" t="s">
        <v>146</v>
      </c>
      <c r="AB41" s="470" t="s">
        <v>146</v>
      </c>
      <c r="AC41" s="470" t="s">
        <v>146</v>
      </c>
      <c r="AD41" s="470" t="s">
        <v>146</v>
      </c>
      <c r="AE41" s="479" t="s">
        <v>146</v>
      </c>
      <c r="AF41" s="355" t="s">
        <v>150</v>
      </c>
    </row>
    <row r="42" spans="1:32" ht="12.75" customHeight="1">
      <c r="A42" s="316"/>
      <c r="B42" s="365" t="s">
        <v>151</v>
      </c>
      <c r="C42" s="480" t="s">
        <v>146</v>
      </c>
      <c r="D42" s="480" t="s">
        <v>146</v>
      </c>
      <c r="E42" s="481" t="s">
        <v>146</v>
      </c>
      <c r="F42" s="481" t="s">
        <v>146</v>
      </c>
      <c r="G42" s="481" t="s">
        <v>146</v>
      </c>
      <c r="H42" s="481" t="s">
        <v>146</v>
      </c>
      <c r="I42" s="481" t="s">
        <v>146</v>
      </c>
      <c r="J42" s="481" t="s">
        <v>146</v>
      </c>
      <c r="K42" s="481" t="s">
        <v>146</v>
      </c>
      <c r="L42" s="481" t="s">
        <v>146</v>
      </c>
      <c r="M42" s="481" t="s">
        <v>146</v>
      </c>
      <c r="N42" s="481" t="s">
        <v>146</v>
      </c>
      <c r="O42" s="481" t="s">
        <v>146</v>
      </c>
      <c r="P42" s="481" t="s">
        <v>146</v>
      </c>
      <c r="Q42" s="481" t="s">
        <v>146</v>
      </c>
      <c r="R42" s="481" t="s">
        <v>146</v>
      </c>
      <c r="S42" s="481" t="s">
        <v>146</v>
      </c>
      <c r="T42" s="481" t="s">
        <v>146</v>
      </c>
      <c r="U42" s="481" t="s">
        <v>146</v>
      </c>
      <c r="V42" s="481" t="s">
        <v>146</v>
      </c>
      <c r="W42" s="481" t="s">
        <v>146</v>
      </c>
      <c r="X42" s="481" t="s">
        <v>146</v>
      </c>
      <c r="Y42" s="481" t="s">
        <v>146</v>
      </c>
      <c r="Z42" s="481" t="s">
        <v>146</v>
      </c>
      <c r="AA42" s="481" t="s">
        <v>146</v>
      </c>
      <c r="AB42" s="450" t="s">
        <v>146</v>
      </c>
      <c r="AC42" s="450" t="s">
        <v>146</v>
      </c>
      <c r="AD42" s="450" t="s">
        <v>146</v>
      </c>
      <c r="AE42" s="444" t="s">
        <v>146</v>
      </c>
      <c r="AF42" s="365" t="s">
        <v>151</v>
      </c>
    </row>
    <row r="43" spans="1:32" ht="12.75" customHeight="1">
      <c r="A43" s="316"/>
      <c r="B43" s="346" t="s">
        <v>152</v>
      </c>
      <c r="C43" s="445" t="s">
        <v>146</v>
      </c>
      <c r="D43" s="445" t="s">
        <v>146</v>
      </c>
      <c r="E43" s="446" t="s">
        <v>146</v>
      </c>
      <c r="F43" s="446" t="s">
        <v>146</v>
      </c>
      <c r="G43" s="446" t="s">
        <v>146</v>
      </c>
      <c r="H43" s="446" t="s">
        <v>146</v>
      </c>
      <c r="I43" s="446" t="s">
        <v>146</v>
      </c>
      <c r="J43" s="446" t="s">
        <v>146</v>
      </c>
      <c r="K43" s="446" t="s">
        <v>146</v>
      </c>
      <c r="L43" s="446" t="s">
        <v>146</v>
      </c>
      <c r="M43" s="446" t="s">
        <v>146</v>
      </c>
      <c r="N43" s="446" t="s">
        <v>146</v>
      </c>
      <c r="O43" s="446" t="s">
        <v>146</v>
      </c>
      <c r="P43" s="446" t="s">
        <v>146</v>
      </c>
      <c r="Q43" s="446" t="s">
        <v>146</v>
      </c>
      <c r="R43" s="446" t="s">
        <v>146</v>
      </c>
      <c r="S43" s="446" t="s">
        <v>146</v>
      </c>
      <c r="T43" s="446" t="s">
        <v>146</v>
      </c>
      <c r="U43" s="446" t="s">
        <v>146</v>
      </c>
      <c r="V43" s="446" t="s">
        <v>146</v>
      </c>
      <c r="W43" s="446" t="s">
        <v>146</v>
      </c>
      <c r="X43" s="446" t="s">
        <v>146</v>
      </c>
      <c r="Y43" s="446" t="s">
        <v>146</v>
      </c>
      <c r="Z43" s="446" t="s">
        <v>146</v>
      </c>
      <c r="AA43" s="446" t="s">
        <v>146</v>
      </c>
      <c r="AB43" s="446" t="s">
        <v>146</v>
      </c>
      <c r="AC43" s="446" t="s">
        <v>146</v>
      </c>
      <c r="AD43" s="446" t="s">
        <v>146</v>
      </c>
      <c r="AE43" s="448" t="s">
        <v>146</v>
      </c>
      <c r="AF43" s="346" t="s">
        <v>152</v>
      </c>
    </row>
    <row r="44" spans="1:32" ht="12.75" customHeight="1">
      <c r="A44" s="316"/>
      <c r="B44" s="482" t="s">
        <v>153</v>
      </c>
      <c r="C44" s="483">
        <v>0.139</v>
      </c>
      <c r="D44" s="483">
        <v>0.125</v>
      </c>
      <c r="E44" s="484">
        <v>0.196</v>
      </c>
      <c r="F44" s="485">
        <v>0.19</v>
      </c>
      <c r="G44" s="485">
        <v>0.18</v>
      </c>
      <c r="H44" s="485">
        <v>0.17</v>
      </c>
      <c r="I44" s="486">
        <v>0.16</v>
      </c>
      <c r="J44" s="485">
        <v>0.0472</v>
      </c>
      <c r="K44" s="485">
        <v>0.0436</v>
      </c>
      <c r="L44" s="485">
        <v>0.0487</v>
      </c>
      <c r="M44" s="485">
        <v>0.049</v>
      </c>
      <c r="N44" s="485">
        <v>0.0417</v>
      </c>
      <c r="O44" s="485">
        <v>0.0521</v>
      </c>
      <c r="P44" s="485">
        <v>0.0555</v>
      </c>
      <c r="Q44" s="485">
        <v>0.0521</v>
      </c>
      <c r="R44" s="485">
        <v>0.0444</v>
      </c>
      <c r="S44" s="485">
        <v>0.0451</v>
      </c>
      <c r="T44" s="485">
        <v>0.0466</v>
      </c>
      <c r="U44" s="485">
        <v>0.042</v>
      </c>
      <c r="V44" s="485">
        <v>0.0453</v>
      </c>
      <c r="W44" s="485">
        <v>0.04265</v>
      </c>
      <c r="X44" s="485">
        <v>0.041</v>
      </c>
      <c r="Y44" s="485">
        <v>0.04009</v>
      </c>
      <c r="Z44" s="485">
        <v>0.0364</v>
      </c>
      <c r="AA44" s="485">
        <v>0.049</v>
      </c>
      <c r="AB44" s="450">
        <v>0.048</v>
      </c>
      <c r="AC44" s="450">
        <v>0.042</v>
      </c>
      <c r="AD44" s="450">
        <v>0.044</v>
      </c>
      <c r="AE44" s="477">
        <f>AD44/AC44*100-100</f>
        <v>4.761904761904745</v>
      </c>
      <c r="AF44" s="482" t="s">
        <v>153</v>
      </c>
    </row>
    <row r="45" spans="2:32" ht="27.75" customHeight="1">
      <c r="B45" s="1262" t="s">
        <v>291</v>
      </c>
      <c r="C45" s="1262"/>
      <c r="D45" s="1262"/>
      <c r="E45" s="1262"/>
      <c r="F45" s="1262"/>
      <c r="G45" s="1262"/>
      <c r="H45" s="1262"/>
      <c r="I45" s="1262"/>
      <c r="J45" s="1262"/>
      <c r="K45" s="1262"/>
      <c r="L45" s="1262"/>
      <c r="M45" s="1262"/>
      <c r="N45" s="1262"/>
      <c r="O45" s="1262"/>
      <c r="P45" s="1262"/>
      <c r="Q45" s="1262"/>
      <c r="R45" s="1262"/>
      <c r="S45" s="1262"/>
      <c r="T45" s="1262"/>
      <c r="U45" s="1262"/>
      <c r="V45" s="1262"/>
      <c r="W45" s="1262"/>
      <c r="X45" s="1262"/>
      <c r="Y45" s="1262"/>
      <c r="Z45" s="1262"/>
      <c r="AA45" s="1262"/>
      <c r="AB45" s="1262"/>
      <c r="AC45" s="1262"/>
      <c r="AD45" s="1262"/>
      <c r="AE45" s="1262"/>
      <c r="AF45" s="1262"/>
    </row>
    <row r="46" spans="2:19" ht="12.75" customHeight="1">
      <c r="B46" s="1263" t="s">
        <v>173</v>
      </c>
      <c r="C46" s="1263"/>
      <c r="D46" s="1263"/>
      <c r="E46" s="1263"/>
      <c r="F46" s="1263"/>
      <c r="G46" s="1263"/>
      <c r="H46" s="1263"/>
      <c r="I46" s="1263"/>
      <c r="J46" s="1263"/>
      <c r="K46" s="1263"/>
      <c r="L46" s="1263"/>
      <c r="M46" s="1263"/>
      <c r="N46" s="1263"/>
      <c r="O46" s="1263"/>
      <c r="P46" s="1263"/>
      <c r="Q46" s="1263"/>
      <c r="R46" s="1263"/>
      <c r="S46" s="1263"/>
    </row>
    <row r="47" spans="1:32" s="418" customFormat="1" ht="12.75" customHeight="1">
      <c r="A47" s="320"/>
      <c r="B47" s="487" t="s">
        <v>243</v>
      </c>
      <c r="C47" s="488"/>
      <c r="D47" s="488"/>
      <c r="E47" s="488"/>
      <c r="F47" s="488"/>
      <c r="G47" s="488"/>
      <c r="H47" s="488"/>
      <c r="I47" s="488"/>
      <c r="J47" s="488"/>
      <c r="K47" s="488"/>
      <c r="L47" s="488"/>
      <c r="M47" s="488"/>
      <c r="N47" s="488"/>
      <c r="O47" s="488"/>
      <c r="P47" s="488"/>
      <c r="Q47" s="488"/>
      <c r="R47" s="488"/>
      <c r="S47" s="488"/>
      <c r="T47" s="489"/>
      <c r="U47" s="489"/>
      <c r="V47" s="489"/>
      <c r="W47" s="489"/>
      <c r="X47" s="489"/>
      <c r="Y47" s="489"/>
      <c r="Z47" s="489"/>
      <c r="AA47" s="489"/>
      <c r="AB47" s="489"/>
      <c r="AC47" s="489"/>
      <c r="AD47" s="489"/>
      <c r="AE47" s="489"/>
      <c r="AF47" s="489"/>
    </row>
    <row r="48" spans="2:16" ht="12.75">
      <c r="B48" s="418" t="s">
        <v>292</v>
      </c>
      <c r="C48" s="317"/>
      <c r="D48" s="317"/>
      <c r="E48" s="317"/>
      <c r="F48" s="317"/>
      <c r="G48" s="317"/>
      <c r="H48" s="317"/>
      <c r="I48" s="317"/>
      <c r="J48" s="317"/>
      <c r="K48" s="317"/>
      <c r="L48" s="317"/>
      <c r="M48" s="317"/>
      <c r="N48" s="317"/>
      <c r="O48" s="317"/>
      <c r="P48" s="317"/>
    </row>
    <row r="49" spans="2:15" ht="12.75">
      <c r="B49" s="490" t="s">
        <v>244</v>
      </c>
      <c r="C49" s="317"/>
      <c r="D49" s="317"/>
      <c r="E49" s="317"/>
      <c r="F49" s="317"/>
      <c r="G49" s="317"/>
      <c r="H49" s="317"/>
      <c r="I49" s="317"/>
      <c r="J49" s="317"/>
      <c r="K49" s="317"/>
      <c r="L49" s="317"/>
      <c r="M49" s="317"/>
      <c r="N49" s="491">
        <v>2000</v>
      </c>
      <c r="O49" s="317"/>
    </row>
    <row r="50" ht="12.75">
      <c r="B50" s="490" t="s">
        <v>245</v>
      </c>
    </row>
    <row r="51" ht="12.75">
      <c r="B51" s="490" t="s">
        <v>246</v>
      </c>
    </row>
  </sheetData>
  <sheetProtection/>
  <mergeCells count="4">
    <mergeCell ref="B2:AF2"/>
    <mergeCell ref="W3:X3"/>
    <mergeCell ref="B45:AF45"/>
    <mergeCell ref="B46:S46"/>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C00000"/>
    <pageSetUpPr fitToPage="1"/>
  </sheetPr>
  <dimension ref="A1:AL53"/>
  <sheetViews>
    <sheetView zoomScalePageLayoutView="0" workbookViewId="0" topLeftCell="A1">
      <selection activeCell="AD9" sqref="AD9:AD36"/>
    </sheetView>
  </sheetViews>
  <sheetFormatPr defaultColWidth="9.140625" defaultRowHeight="12.75"/>
  <cols>
    <col min="1" max="1" width="3.7109375" style="492" customWidth="1"/>
    <col min="2" max="2" width="5.421875" style="416" customWidth="1"/>
    <col min="3" max="20" width="6.7109375" style="416" hidden="1" customWidth="1"/>
    <col min="21" max="30" width="7.28125" style="416" customWidth="1"/>
    <col min="31" max="31" width="6.28125" style="416" customWidth="1"/>
    <col min="32" max="32" width="5.140625" style="416" customWidth="1"/>
    <col min="33" max="33" width="2.8515625" style="416" customWidth="1"/>
    <col min="34" max="16384" width="9.140625" style="416" customWidth="1"/>
  </cols>
  <sheetData>
    <row r="1" spans="2:32" ht="14.25" customHeight="1">
      <c r="B1" s="413"/>
      <c r="C1" s="414"/>
      <c r="D1" s="414"/>
      <c r="E1" s="415"/>
      <c r="F1" s="415"/>
      <c r="G1" s="415"/>
      <c r="H1" s="415"/>
      <c r="I1" s="415"/>
      <c r="J1" s="415"/>
      <c r="K1" s="415"/>
      <c r="L1" s="415"/>
      <c r="M1" s="415"/>
      <c r="N1" s="415"/>
      <c r="O1" s="415"/>
      <c r="P1" s="415"/>
      <c r="R1" s="317"/>
      <c r="U1" s="417"/>
      <c r="V1" s="417"/>
      <c r="W1" s="417"/>
      <c r="X1" s="417"/>
      <c r="Y1" s="417"/>
      <c r="Z1" s="417"/>
      <c r="AA1" s="417"/>
      <c r="AB1" s="417"/>
      <c r="AC1" s="417"/>
      <c r="AD1" s="417"/>
      <c r="AF1" s="417" t="s">
        <v>225</v>
      </c>
    </row>
    <row r="2" spans="1:34" s="418" customFormat="1" ht="30" customHeight="1">
      <c r="A2" s="493"/>
      <c r="B2" s="1264" t="s">
        <v>336</v>
      </c>
      <c r="C2" s="1264"/>
      <c r="D2" s="1264"/>
      <c r="E2" s="1264"/>
      <c r="F2" s="1264"/>
      <c r="G2" s="1264"/>
      <c r="H2" s="1264"/>
      <c r="I2" s="1264"/>
      <c r="J2" s="1264"/>
      <c r="K2" s="1264"/>
      <c r="L2" s="1264"/>
      <c r="M2" s="1264"/>
      <c r="N2" s="1264"/>
      <c r="O2" s="1264"/>
      <c r="P2" s="1264"/>
      <c r="Q2" s="1264"/>
      <c r="R2" s="1264"/>
      <c r="S2" s="1264"/>
      <c r="T2" s="1264"/>
      <c r="U2" s="1264"/>
      <c r="V2" s="1264"/>
      <c r="W2" s="1264"/>
      <c r="X2" s="1264"/>
      <c r="Y2" s="1264"/>
      <c r="Z2" s="1264"/>
      <c r="AA2" s="1264"/>
      <c r="AB2" s="1264"/>
      <c r="AC2" s="1264"/>
      <c r="AD2" s="1264"/>
      <c r="AE2" s="1264"/>
      <c r="AF2" s="1264"/>
      <c r="AG2" s="494"/>
      <c r="AH2" s="317"/>
    </row>
    <row r="3" spans="2:34" ht="12.75">
      <c r="B3" s="321"/>
      <c r="C3" s="321"/>
      <c r="E3" s="419"/>
      <c r="F3" s="419"/>
      <c r="G3" s="419"/>
      <c r="H3" s="419"/>
      <c r="I3" s="419"/>
      <c r="J3" s="420"/>
      <c r="K3" s="420"/>
      <c r="L3" s="420"/>
      <c r="M3" s="420"/>
      <c r="N3" s="420"/>
      <c r="O3" s="420"/>
      <c r="R3" s="495"/>
      <c r="W3" s="1261" t="s">
        <v>239</v>
      </c>
      <c r="X3" s="1261"/>
      <c r="Y3" s="423"/>
      <c r="Z3" s="423"/>
      <c r="AA3" s="423"/>
      <c r="AB3" s="423"/>
      <c r="AC3" s="423"/>
      <c r="AD3" s="423"/>
      <c r="AE3" s="424"/>
      <c r="AF3" s="425"/>
      <c r="AG3" s="425"/>
      <c r="AH3" s="317"/>
    </row>
    <row r="4" spans="2:34" ht="19.5" customHeight="1">
      <c r="B4" s="426"/>
      <c r="C4" s="427">
        <v>1970</v>
      </c>
      <c r="D4" s="427">
        <v>1980</v>
      </c>
      <c r="E4" s="428">
        <v>1990</v>
      </c>
      <c r="F4" s="428">
        <v>1991</v>
      </c>
      <c r="G4" s="428">
        <v>1992</v>
      </c>
      <c r="H4" s="428">
        <v>1993</v>
      </c>
      <c r="I4" s="428">
        <v>1994</v>
      </c>
      <c r="J4" s="428">
        <v>1995</v>
      </c>
      <c r="K4" s="428">
        <v>1996</v>
      </c>
      <c r="L4" s="428">
        <v>1997</v>
      </c>
      <c r="M4" s="428">
        <v>1998</v>
      </c>
      <c r="N4" s="428">
        <v>1999</v>
      </c>
      <c r="O4" s="428">
        <v>2000</v>
      </c>
      <c r="P4" s="428">
        <v>2001</v>
      </c>
      <c r="Q4" s="428">
        <v>2002</v>
      </c>
      <c r="R4" s="428">
        <v>2003</v>
      </c>
      <c r="S4" s="428">
        <v>2004</v>
      </c>
      <c r="T4" s="428">
        <v>2005</v>
      </c>
      <c r="U4" s="428">
        <v>2006</v>
      </c>
      <c r="V4" s="428">
        <v>2007</v>
      </c>
      <c r="W4" s="428">
        <v>2008</v>
      </c>
      <c r="X4" s="428">
        <v>2009</v>
      </c>
      <c r="Y4" s="428">
        <v>2010</v>
      </c>
      <c r="Z4" s="428">
        <v>2011</v>
      </c>
      <c r="AA4" s="428">
        <v>2012</v>
      </c>
      <c r="AB4" s="428">
        <v>2013</v>
      </c>
      <c r="AC4" s="428">
        <v>2014</v>
      </c>
      <c r="AD4" s="428">
        <v>2015</v>
      </c>
      <c r="AE4" s="429" t="s">
        <v>331</v>
      </c>
      <c r="AF4" s="430"/>
      <c r="AG4" s="431"/>
      <c r="AH4" s="317"/>
    </row>
    <row r="5" spans="2:34" ht="9.75" customHeight="1">
      <c r="B5" s="426"/>
      <c r="C5" s="432"/>
      <c r="D5" s="433"/>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5" t="s">
        <v>147</v>
      </c>
      <c r="AF5" s="430"/>
      <c r="AG5" s="431"/>
      <c r="AH5" s="317"/>
    </row>
    <row r="6" spans="2:34" ht="12.75" customHeight="1">
      <c r="B6" s="336" t="s">
        <v>250</v>
      </c>
      <c r="C6" s="436"/>
      <c r="D6" s="436"/>
      <c r="E6" s="437"/>
      <c r="F6" s="437"/>
      <c r="G6" s="437"/>
      <c r="H6" s="437"/>
      <c r="I6" s="437">
        <v>115.475</v>
      </c>
      <c r="J6" s="437">
        <v>114.91029999999998</v>
      </c>
      <c r="K6" s="437">
        <v>119.3301</v>
      </c>
      <c r="L6" s="437">
        <v>118.90400000000001</v>
      </c>
      <c r="M6" s="437">
        <v>126.33999999999999</v>
      </c>
      <c r="N6" s="437">
        <v>124.85099999999998</v>
      </c>
      <c r="O6" s="437">
        <v>127.10669999999999</v>
      </c>
      <c r="P6" s="437">
        <v>133.9373</v>
      </c>
      <c r="Q6" s="437">
        <v>129.7316</v>
      </c>
      <c r="R6" s="437">
        <v>131.6878</v>
      </c>
      <c r="S6" s="437">
        <v>133.2593606</v>
      </c>
      <c r="T6" s="437">
        <v>137.58850379999998</v>
      </c>
      <c r="U6" s="437">
        <v>136.56624979999998</v>
      </c>
      <c r="V6" s="437">
        <v>128.45148842182226</v>
      </c>
      <c r="W6" s="437">
        <v>124.94496585313127</v>
      </c>
      <c r="X6" s="496">
        <v>121.81921473696151</v>
      </c>
      <c r="Y6" s="496">
        <v>121.13344560300447</v>
      </c>
      <c r="Z6" s="496">
        <v>118.37031897026802</v>
      </c>
      <c r="AA6" s="496">
        <v>114.89650906969668</v>
      </c>
      <c r="AB6" s="496">
        <v>112.21704097523953</v>
      </c>
      <c r="AC6" s="496">
        <v>111.33271480506806</v>
      </c>
      <c r="AD6" s="496">
        <v>115.19060588333474</v>
      </c>
      <c r="AE6" s="497">
        <v>3.4651908785494356</v>
      </c>
      <c r="AF6" s="336" t="s">
        <v>250</v>
      </c>
      <c r="AG6" s="431"/>
      <c r="AH6" s="317"/>
    </row>
    <row r="7" spans="1:34" ht="12.75" customHeight="1">
      <c r="A7" s="316"/>
      <c r="B7" s="346" t="s">
        <v>89</v>
      </c>
      <c r="C7" s="438">
        <v>63.736999999999995</v>
      </c>
      <c r="D7" s="438">
        <v>84.95700000000001</v>
      </c>
      <c r="E7" s="439">
        <v>71.707</v>
      </c>
      <c r="F7" s="439">
        <v>78.92600000000002</v>
      </c>
      <c r="G7" s="439">
        <v>80.743</v>
      </c>
      <c r="H7" s="439">
        <v>82.193</v>
      </c>
      <c r="I7" s="439">
        <v>83.134</v>
      </c>
      <c r="J7" s="439">
        <v>80.192</v>
      </c>
      <c r="K7" s="439">
        <v>82.18900000000001</v>
      </c>
      <c r="L7" s="439">
        <v>82.215</v>
      </c>
      <c r="M7" s="439">
        <v>85.291</v>
      </c>
      <c r="N7" s="439">
        <v>84.852</v>
      </c>
      <c r="O7" s="439">
        <v>86.155</v>
      </c>
      <c r="P7" s="439">
        <v>88.553</v>
      </c>
      <c r="Q7" s="439">
        <v>86.70100000000001</v>
      </c>
      <c r="R7" s="439">
        <v>87.139</v>
      </c>
      <c r="S7" s="439">
        <v>87.57896059999999</v>
      </c>
      <c r="T7" s="439">
        <v>90.1025038</v>
      </c>
      <c r="U7" s="439">
        <v>90.10954980000001</v>
      </c>
      <c r="V7" s="498">
        <v>87.15488842182226</v>
      </c>
      <c r="W7" s="498">
        <v>87.03616585313128</v>
      </c>
      <c r="X7" s="498">
        <v>83.28701473696152</v>
      </c>
      <c r="Y7" s="498">
        <v>80.8951456030045</v>
      </c>
      <c r="Z7" s="498">
        <v>79.48141897026802</v>
      </c>
      <c r="AA7" s="498">
        <v>78.23669906969667</v>
      </c>
      <c r="AB7" s="498">
        <v>77.14458097523953</v>
      </c>
      <c r="AC7" s="498">
        <v>75.83321480506808</v>
      </c>
      <c r="AD7" s="498">
        <v>78.34772588333475</v>
      </c>
      <c r="AE7" s="499">
        <v>3.3158439672250637</v>
      </c>
      <c r="AF7" s="346" t="s">
        <v>89</v>
      </c>
      <c r="AH7" s="317"/>
    </row>
    <row r="8" spans="1:38" ht="12.75" customHeight="1">
      <c r="A8" s="316"/>
      <c r="B8" s="355" t="s">
        <v>251</v>
      </c>
      <c r="C8" s="440"/>
      <c r="D8" s="440"/>
      <c r="E8" s="441"/>
      <c r="F8" s="441"/>
      <c r="G8" s="441"/>
      <c r="H8" s="441"/>
      <c r="I8" s="441">
        <v>32.340999999999994</v>
      </c>
      <c r="J8" s="441">
        <v>34.718299999999985</v>
      </c>
      <c r="K8" s="441">
        <v>37.141099999999994</v>
      </c>
      <c r="L8" s="441">
        <v>36.68900000000001</v>
      </c>
      <c r="M8" s="441">
        <v>41.04899999999999</v>
      </c>
      <c r="N8" s="441">
        <v>39.99899999999998</v>
      </c>
      <c r="O8" s="441">
        <v>40.95169999999999</v>
      </c>
      <c r="P8" s="441">
        <v>45.384299999999996</v>
      </c>
      <c r="Q8" s="441">
        <v>43.03059999999998</v>
      </c>
      <c r="R8" s="441">
        <v>44.548800000000014</v>
      </c>
      <c r="S8" s="441">
        <v>45.68040000000002</v>
      </c>
      <c r="T8" s="441">
        <v>47.48599999999999</v>
      </c>
      <c r="U8" s="441">
        <v>46.45669999999997</v>
      </c>
      <c r="V8" s="441">
        <v>41.2966</v>
      </c>
      <c r="W8" s="441">
        <v>37.908799999999985</v>
      </c>
      <c r="X8" s="500">
        <v>38.53219999999999</v>
      </c>
      <c r="Y8" s="500">
        <v>40.23829999999998</v>
      </c>
      <c r="Z8" s="500">
        <v>38.88889999999999</v>
      </c>
      <c r="AA8" s="500">
        <v>36.65981000000001</v>
      </c>
      <c r="AB8" s="500">
        <v>35.07245999999999</v>
      </c>
      <c r="AC8" s="500">
        <v>35.49949999999998</v>
      </c>
      <c r="AD8" s="500">
        <v>36.842879999999994</v>
      </c>
      <c r="AE8" s="501">
        <v>3.784222312990366</v>
      </c>
      <c r="AF8" s="355" t="s">
        <v>251</v>
      </c>
      <c r="AH8" s="317"/>
      <c r="AI8" s="317"/>
      <c r="AJ8" s="317"/>
      <c r="AK8" s="317"/>
      <c r="AL8" s="317"/>
    </row>
    <row r="9" spans="1:38" ht="12.75" customHeight="1">
      <c r="A9" s="316"/>
      <c r="B9" s="346" t="s">
        <v>81</v>
      </c>
      <c r="C9" s="448">
        <v>3.62</v>
      </c>
      <c r="D9" s="448">
        <v>7.054</v>
      </c>
      <c r="E9" s="446">
        <v>6.37</v>
      </c>
      <c r="F9" s="446">
        <v>6.654</v>
      </c>
      <c r="G9" s="446">
        <v>6.701</v>
      </c>
      <c r="H9" s="446">
        <v>6.721</v>
      </c>
      <c r="I9" s="446">
        <v>6.99</v>
      </c>
      <c r="J9" s="446">
        <v>6.766</v>
      </c>
      <c r="K9" s="446">
        <v>7.073</v>
      </c>
      <c r="L9" s="446">
        <v>8.02</v>
      </c>
      <c r="M9" s="446">
        <v>8.164</v>
      </c>
      <c r="N9" s="446">
        <v>7.631</v>
      </c>
      <c r="O9" s="462">
        <v>7.563</v>
      </c>
      <c r="P9" s="462">
        <v>8.071</v>
      </c>
      <c r="Q9" s="462">
        <v>7.961</v>
      </c>
      <c r="R9" s="462">
        <v>7.763</v>
      </c>
      <c r="S9" s="446">
        <v>7.571</v>
      </c>
      <c r="T9" s="446">
        <v>7.78</v>
      </c>
      <c r="U9" s="446">
        <v>7.639</v>
      </c>
      <c r="V9" s="446">
        <v>7.226</v>
      </c>
      <c r="W9" s="446">
        <v>7.521</v>
      </c>
      <c r="X9" s="446">
        <v>7.304</v>
      </c>
      <c r="Y9" s="446">
        <v>7</v>
      </c>
      <c r="Z9" s="446">
        <v>7.228</v>
      </c>
      <c r="AA9" s="446">
        <v>7.146</v>
      </c>
      <c r="AB9" s="446">
        <v>8.392</v>
      </c>
      <c r="AC9" s="446">
        <v>8.259</v>
      </c>
      <c r="AD9" s="446">
        <v>8.475</v>
      </c>
      <c r="AE9" s="448">
        <f>AD9/AC9*100-100</f>
        <v>2.615328732292042</v>
      </c>
      <c r="AF9" s="346" t="s">
        <v>81</v>
      </c>
      <c r="AH9" s="317"/>
      <c r="AI9" s="317"/>
      <c r="AJ9" s="317"/>
      <c r="AK9" s="317"/>
      <c r="AL9" s="317"/>
    </row>
    <row r="10" spans="1:38" ht="12.75" customHeight="1">
      <c r="A10" s="316"/>
      <c r="B10" s="365" t="s">
        <v>60</v>
      </c>
      <c r="C10" s="442">
        <v>0.27</v>
      </c>
      <c r="D10" s="442">
        <v>1.802</v>
      </c>
      <c r="E10" s="443">
        <v>1.024</v>
      </c>
      <c r="F10" s="443">
        <v>1.13</v>
      </c>
      <c r="G10" s="443">
        <v>1.168</v>
      </c>
      <c r="H10" s="443">
        <v>1.263</v>
      </c>
      <c r="I10" s="443">
        <v>1.37</v>
      </c>
      <c r="J10" s="443">
        <v>1.37</v>
      </c>
      <c r="K10" s="443">
        <v>1.45</v>
      </c>
      <c r="L10" s="443">
        <v>1.526</v>
      </c>
      <c r="M10" s="443">
        <v>1.57</v>
      </c>
      <c r="N10" s="443">
        <v>1.577</v>
      </c>
      <c r="O10" s="443">
        <v>1.624</v>
      </c>
      <c r="P10" s="443">
        <v>1.544</v>
      </c>
      <c r="Q10" s="443">
        <v>1.511</v>
      </c>
      <c r="R10" s="443">
        <v>1.518</v>
      </c>
      <c r="S10" s="443">
        <v>1.533</v>
      </c>
      <c r="T10" s="443">
        <v>1.517</v>
      </c>
      <c r="U10" s="443">
        <v>1.572</v>
      </c>
      <c r="V10" s="502">
        <v>1.4693124218222637</v>
      </c>
      <c r="W10" s="502">
        <v>1.460448453131281</v>
      </c>
      <c r="X10" s="502">
        <v>1.525011332225989</v>
      </c>
      <c r="Y10" s="502">
        <v>1.5165343017285184</v>
      </c>
      <c r="Z10" s="502">
        <v>1.396535770097158</v>
      </c>
      <c r="AA10" s="502">
        <v>1.631505498342776</v>
      </c>
      <c r="AB10" s="502">
        <v>1.6930081637049001</v>
      </c>
      <c r="AC10" s="502">
        <f>AVERAGE(Z10:AB10)</f>
        <v>1.5736831440482781</v>
      </c>
      <c r="AD10" s="502">
        <f>AVERAGE(AA10:AC10)</f>
        <v>1.6327322686986514</v>
      </c>
      <c r="AE10" s="503">
        <f>AD10/AC10*100-100</f>
        <v>3.7522880558070995</v>
      </c>
      <c r="AF10" s="365" t="s">
        <v>60</v>
      </c>
      <c r="AH10" s="317"/>
      <c r="AI10" s="317"/>
      <c r="AJ10" s="317"/>
      <c r="AK10" s="317"/>
      <c r="AL10" s="317"/>
    </row>
    <row r="11" spans="1:38" ht="12.75" customHeight="1">
      <c r="A11" s="316"/>
      <c r="B11" s="346" t="s">
        <v>101</v>
      </c>
      <c r="C11" s="445">
        <v>0</v>
      </c>
      <c r="D11" s="445">
        <v>0.75</v>
      </c>
      <c r="E11" s="446">
        <v>0.64</v>
      </c>
      <c r="F11" s="446">
        <v>0.454</v>
      </c>
      <c r="G11" s="446">
        <v>0.259</v>
      </c>
      <c r="H11" s="446">
        <v>0.3</v>
      </c>
      <c r="I11" s="446">
        <v>0.36</v>
      </c>
      <c r="J11" s="446">
        <v>0.41</v>
      </c>
      <c r="K11" s="446">
        <v>0.36</v>
      </c>
      <c r="L11" s="446">
        <v>0.26</v>
      </c>
      <c r="M11" s="446">
        <v>0.244</v>
      </c>
      <c r="N11" s="446">
        <v>0.33</v>
      </c>
      <c r="O11" s="446">
        <v>0.379</v>
      </c>
      <c r="P11" s="446">
        <v>0.339</v>
      </c>
      <c r="Q11" s="446">
        <v>0.286</v>
      </c>
      <c r="R11" s="446">
        <v>0.282</v>
      </c>
      <c r="S11" s="446">
        <v>0.274</v>
      </c>
      <c r="T11" s="446">
        <v>0.352</v>
      </c>
      <c r="U11" s="446">
        <v>0.3566</v>
      </c>
      <c r="V11" s="446">
        <v>0.4196</v>
      </c>
      <c r="W11" s="446">
        <v>0.4198</v>
      </c>
      <c r="X11" s="446">
        <v>0.4365</v>
      </c>
      <c r="Y11" s="446">
        <v>0.4145</v>
      </c>
      <c r="Z11" s="446">
        <v>0.4808</v>
      </c>
      <c r="AA11" s="446">
        <v>0.5729</v>
      </c>
      <c r="AB11" s="446">
        <v>0.633</v>
      </c>
      <c r="AC11" s="446">
        <v>0.583</v>
      </c>
      <c r="AD11" s="446">
        <v>0.661</v>
      </c>
      <c r="AE11" s="448">
        <f>AD11/AC11*100-100</f>
        <v>13.379073756432263</v>
      </c>
      <c r="AF11" s="346" t="s">
        <v>101</v>
      </c>
      <c r="AH11" s="317"/>
      <c r="AI11" s="317"/>
      <c r="AJ11" s="317"/>
      <c r="AK11" s="317"/>
      <c r="AL11" s="317"/>
    </row>
    <row r="12" spans="1:38" ht="12.75" customHeight="1">
      <c r="A12" s="316"/>
      <c r="B12" s="365" t="s">
        <v>71</v>
      </c>
      <c r="C12" s="452" t="s">
        <v>146</v>
      </c>
      <c r="D12" s="452" t="s">
        <v>146</v>
      </c>
      <c r="E12" s="450" t="s">
        <v>146</v>
      </c>
      <c r="F12" s="450" t="s">
        <v>146</v>
      </c>
      <c r="G12" s="450" t="s">
        <v>146</v>
      </c>
      <c r="H12" s="450" t="s">
        <v>146</v>
      </c>
      <c r="I12" s="450" t="s">
        <v>146</v>
      </c>
      <c r="J12" s="450" t="s">
        <v>146</v>
      </c>
      <c r="K12" s="450" t="s">
        <v>146</v>
      </c>
      <c r="L12" s="450" t="s">
        <v>146</v>
      </c>
      <c r="M12" s="450" t="s">
        <v>146</v>
      </c>
      <c r="N12" s="450" t="s">
        <v>146</v>
      </c>
      <c r="O12" s="450" t="s">
        <v>146</v>
      </c>
      <c r="P12" s="450" t="s">
        <v>146</v>
      </c>
      <c r="Q12" s="450" t="s">
        <v>146</v>
      </c>
      <c r="R12" s="450" t="s">
        <v>146</v>
      </c>
      <c r="S12" s="450" t="s">
        <v>146</v>
      </c>
      <c r="T12" s="450" t="s">
        <v>146</v>
      </c>
      <c r="U12" s="450" t="s">
        <v>146</v>
      </c>
      <c r="V12" s="450" t="s">
        <v>146</v>
      </c>
      <c r="W12" s="450" t="s">
        <v>146</v>
      </c>
      <c r="X12" s="450" t="s">
        <v>146</v>
      </c>
      <c r="Y12" s="450" t="s">
        <v>146</v>
      </c>
      <c r="Z12" s="450" t="s">
        <v>146</v>
      </c>
      <c r="AA12" s="450" t="s">
        <v>146</v>
      </c>
      <c r="AB12" s="450" t="s">
        <v>146</v>
      </c>
      <c r="AC12" s="450" t="s">
        <v>146</v>
      </c>
      <c r="AD12" s="450" t="s">
        <v>146</v>
      </c>
      <c r="AE12" s="509" t="s">
        <v>146</v>
      </c>
      <c r="AF12" s="365" t="s">
        <v>71</v>
      </c>
      <c r="AH12" s="317"/>
      <c r="AI12" s="317"/>
      <c r="AJ12" s="317"/>
      <c r="AK12" s="317"/>
      <c r="AL12" s="317"/>
    </row>
    <row r="13" spans="1:38" ht="12.75" customHeight="1">
      <c r="A13" s="316"/>
      <c r="B13" s="365" t="s">
        <v>61</v>
      </c>
      <c r="C13" s="449"/>
      <c r="D13" s="449"/>
      <c r="E13" s="450"/>
      <c r="F13" s="504"/>
      <c r="G13" s="450"/>
      <c r="H13" s="451">
        <v>1.98</v>
      </c>
      <c r="I13" s="505">
        <v>2.18</v>
      </c>
      <c r="J13" s="450">
        <v>2.276</v>
      </c>
      <c r="K13" s="450">
        <v>2.27</v>
      </c>
      <c r="L13" s="450">
        <v>2.11</v>
      </c>
      <c r="M13" s="450">
        <v>2.078</v>
      </c>
      <c r="N13" s="450">
        <v>1.795</v>
      </c>
      <c r="O13" s="450">
        <v>1.612</v>
      </c>
      <c r="P13" s="450">
        <v>1.661</v>
      </c>
      <c r="Q13" s="450">
        <v>1.717</v>
      </c>
      <c r="R13" s="450">
        <v>1.82</v>
      </c>
      <c r="S13" s="450">
        <v>1.902</v>
      </c>
      <c r="T13" s="450">
        <v>2.259</v>
      </c>
      <c r="U13" s="450">
        <v>2.291</v>
      </c>
      <c r="V13" s="450">
        <v>2.079</v>
      </c>
      <c r="W13" s="450">
        <v>2.315</v>
      </c>
      <c r="X13" s="450">
        <v>2.156</v>
      </c>
      <c r="Y13" s="450">
        <v>2.191</v>
      </c>
      <c r="Z13" s="450">
        <v>1.9537</v>
      </c>
      <c r="AA13" s="450">
        <v>1.907</v>
      </c>
      <c r="AB13" s="450">
        <v>1.933</v>
      </c>
      <c r="AC13" s="450">
        <v>2.063</v>
      </c>
      <c r="AD13" s="450">
        <v>2.023</v>
      </c>
      <c r="AE13" s="452">
        <f>AD13/AC13*100-100</f>
        <v>-1.9389238972370322</v>
      </c>
      <c r="AF13" s="365" t="s">
        <v>61</v>
      </c>
      <c r="AH13" s="317"/>
      <c r="AI13" s="317"/>
      <c r="AJ13" s="317"/>
      <c r="AK13" s="317"/>
      <c r="AL13" s="317"/>
    </row>
    <row r="14" spans="1:38" ht="12.75" customHeight="1">
      <c r="A14" s="316"/>
      <c r="B14" s="365" t="s">
        <v>63</v>
      </c>
      <c r="C14" s="449">
        <v>16.9</v>
      </c>
      <c r="D14" s="449">
        <v>14.3</v>
      </c>
      <c r="E14" s="450">
        <v>13.3</v>
      </c>
      <c r="F14" s="450">
        <v>15.7</v>
      </c>
      <c r="G14" s="450">
        <v>15.7</v>
      </c>
      <c r="H14" s="450">
        <v>16.1</v>
      </c>
      <c r="I14" s="450">
        <v>16.8</v>
      </c>
      <c r="J14" s="450">
        <v>14.757</v>
      </c>
      <c r="K14" s="450">
        <v>14.5</v>
      </c>
      <c r="L14" s="450">
        <v>13.151</v>
      </c>
      <c r="M14" s="450">
        <v>14.849</v>
      </c>
      <c r="N14" s="450">
        <v>14.966</v>
      </c>
      <c r="O14" s="450">
        <v>15.033</v>
      </c>
      <c r="P14" s="450">
        <v>15.761</v>
      </c>
      <c r="Q14" s="450">
        <v>15.205</v>
      </c>
      <c r="R14" s="450">
        <v>15.407</v>
      </c>
      <c r="S14" s="450">
        <v>16.236</v>
      </c>
      <c r="T14" s="450">
        <v>16.741</v>
      </c>
      <c r="U14" s="450">
        <v>15.844</v>
      </c>
      <c r="V14" s="450">
        <v>15.824</v>
      </c>
      <c r="W14" s="450">
        <v>15.67</v>
      </c>
      <c r="X14" s="450">
        <v>15.95</v>
      </c>
      <c r="Y14" s="450">
        <v>16.259</v>
      </c>
      <c r="Z14" s="450">
        <v>15.623</v>
      </c>
      <c r="AA14" s="450">
        <v>16.207</v>
      </c>
      <c r="AB14" s="450">
        <v>18.18</v>
      </c>
      <c r="AC14" s="450">
        <v>17.541</v>
      </c>
      <c r="AD14" s="450">
        <v>17.713</v>
      </c>
      <c r="AE14" s="452">
        <f>AD14/AC14*100-100</f>
        <v>0.9805598312524921</v>
      </c>
      <c r="AF14" s="365" t="s">
        <v>63</v>
      </c>
      <c r="AH14" s="317"/>
      <c r="AI14" s="317"/>
      <c r="AJ14" s="317"/>
      <c r="AK14" s="317"/>
      <c r="AL14" s="317"/>
    </row>
    <row r="15" spans="1:38" ht="12.75" customHeight="1">
      <c r="A15" s="316"/>
      <c r="B15" s="346" t="s">
        <v>14</v>
      </c>
      <c r="C15" s="445"/>
      <c r="D15" s="445"/>
      <c r="E15" s="446">
        <v>2.016</v>
      </c>
      <c r="F15" s="446">
        <v>2.361</v>
      </c>
      <c r="G15" s="446">
        <v>2.624</v>
      </c>
      <c r="H15" s="446">
        <v>2.797</v>
      </c>
      <c r="I15" s="446">
        <v>3.087</v>
      </c>
      <c r="J15" s="446">
        <v>3.109</v>
      </c>
      <c r="K15" s="446">
        <v>3.461</v>
      </c>
      <c r="L15" s="446">
        <v>3.823</v>
      </c>
      <c r="M15" s="446">
        <v>3.921</v>
      </c>
      <c r="N15" s="446">
        <v>4.271</v>
      </c>
      <c r="O15" s="446">
        <v>4.69</v>
      </c>
      <c r="P15" s="446">
        <v>4.695</v>
      </c>
      <c r="Q15" s="446">
        <v>5.103</v>
      </c>
      <c r="R15" s="446">
        <v>5.154</v>
      </c>
      <c r="S15" s="446">
        <v>5.254</v>
      </c>
      <c r="T15" s="446">
        <v>5.125</v>
      </c>
      <c r="U15" s="446">
        <v>4.872</v>
      </c>
      <c r="V15" s="446">
        <v>4.627</v>
      </c>
      <c r="W15" s="446">
        <v>4.209</v>
      </c>
      <c r="X15" s="446">
        <v>3.895</v>
      </c>
      <c r="Y15" s="446">
        <v>3.547</v>
      </c>
      <c r="Z15" s="446">
        <v>3.265</v>
      </c>
      <c r="AA15" s="446">
        <v>3.078</v>
      </c>
      <c r="AB15" s="446">
        <v>2.739</v>
      </c>
      <c r="AC15" s="446">
        <v>2.409</v>
      </c>
      <c r="AD15" s="446">
        <v>2.65</v>
      </c>
      <c r="AE15" s="448">
        <f>AD15/AC15*100-100</f>
        <v>10.004151100041511</v>
      </c>
      <c r="AF15" s="346" t="s">
        <v>14</v>
      </c>
      <c r="AH15" s="317"/>
      <c r="AI15" s="317"/>
      <c r="AJ15" s="317"/>
      <c r="AK15" s="317"/>
      <c r="AL15" s="317"/>
    </row>
    <row r="16" spans="1:38" ht="12.75" customHeight="1">
      <c r="A16" s="316"/>
      <c r="B16" s="346" t="s">
        <v>64</v>
      </c>
      <c r="C16" s="445" t="s">
        <v>146</v>
      </c>
      <c r="D16" s="445" t="s">
        <v>146</v>
      </c>
      <c r="E16" s="446" t="s">
        <v>146</v>
      </c>
      <c r="F16" s="446" t="s">
        <v>146</v>
      </c>
      <c r="G16" s="446" t="s">
        <v>146</v>
      </c>
      <c r="H16" s="446" t="s">
        <v>146</v>
      </c>
      <c r="I16" s="446" t="s">
        <v>146</v>
      </c>
      <c r="J16" s="446" t="s">
        <v>146</v>
      </c>
      <c r="K16" s="446" t="s">
        <v>146</v>
      </c>
      <c r="L16" s="446" t="s">
        <v>146</v>
      </c>
      <c r="M16" s="446" t="s">
        <v>146</v>
      </c>
      <c r="N16" s="446" t="s">
        <v>146</v>
      </c>
      <c r="O16" s="446" t="s">
        <v>146</v>
      </c>
      <c r="P16" s="446" t="s">
        <v>146</v>
      </c>
      <c r="Q16" s="446" t="s">
        <v>146</v>
      </c>
      <c r="R16" s="446" t="s">
        <v>146</v>
      </c>
      <c r="S16" s="508" t="s">
        <v>146</v>
      </c>
      <c r="T16" s="446" t="s">
        <v>146</v>
      </c>
      <c r="U16" s="446" t="s">
        <v>146</v>
      </c>
      <c r="V16" s="446" t="s">
        <v>146</v>
      </c>
      <c r="W16" s="446" t="s">
        <v>146</v>
      </c>
      <c r="X16" s="446" t="s">
        <v>146</v>
      </c>
      <c r="Y16" s="446" t="s">
        <v>146</v>
      </c>
      <c r="Z16" s="446" t="s">
        <v>146</v>
      </c>
      <c r="AA16" s="446" t="s">
        <v>146</v>
      </c>
      <c r="AB16" s="446" t="s">
        <v>146</v>
      </c>
      <c r="AC16" s="446" t="s">
        <v>146</v>
      </c>
      <c r="AD16" s="446" t="s">
        <v>146</v>
      </c>
      <c r="AE16" s="506" t="s">
        <v>146</v>
      </c>
      <c r="AF16" s="346" t="s">
        <v>64</v>
      </c>
      <c r="AH16" s="317"/>
      <c r="AI16" s="317"/>
      <c r="AJ16" s="317"/>
      <c r="AK16" s="317"/>
      <c r="AL16" s="317"/>
    </row>
    <row r="17" spans="1:38" ht="12.75" customHeight="1">
      <c r="A17" s="316"/>
      <c r="B17" s="346" t="s">
        <v>15</v>
      </c>
      <c r="C17" s="445" t="s">
        <v>146</v>
      </c>
      <c r="D17" s="445" t="s">
        <v>146</v>
      </c>
      <c r="E17" s="446" t="s">
        <v>146</v>
      </c>
      <c r="F17" s="446" t="s">
        <v>146</v>
      </c>
      <c r="G17" s="446" t="s">
        <v>146</v>
      </c>
      <c r="H17" s="446" t="s">
        <v>146</v>
      </c>
      <c r="I17" s="446" t="s">
        <v>146</v>
      </c>
      <c r="J17" s="446" t="s">
        <v>146</v>
      </c>
      <c r="K17" s="446" t="s">
        <v>146</v>
      </c>
      <c r="L17" s="446" t="s">
        <v>146</v>
      </c>
      <c r="M17" s="446" t="s">
        <v>146</v>
      </c>
      <c r="N17" s="446" t="s">
        <v>146</v>
      </c>
      <c r="O17" s="446" t="s">
        <v>146</v>
      </c>
      <c r="P17" s="446" t="s">
        <v>146</v>
      </c>
      <c r="Q17" s="446">
        <v>0.02</v>
      </c>
      <c r="R17" s="446">
        <v>0.06</v>
      </c>
      <c r="S17" s="446">
        <v>0.197</v>
      </c>
      <c r="T17" s="446">
        <v>0.229</v>
      </c>
      <c r="U17" s="446">
        <v>0.253</v>
      </c>
      <c r="V17" s="446">
        <v>0.254</v>
      </c>
      <c r="W17" s="446">
        <v>0.254</v>
      </c>
      <c r="X17" s="462">
        <v>0.18513600473552563</v>
      </c>
      <c r="Y17" s="462">
        <v>0.1889609012759675</v>
      </c>
      <c r="Z17" s="462">
        <v>0.24139480017087667</v>
      </c>
      <c r="AA17" s="462">
        <v>0.2116849713538852</v>
      </c>
      <c r="AB17" s="462">
        <v>0.1880871216478612</v>
      </c>
      <c r="AC17" s="462">
        <f>AVERAGE(Z17:AB17)</f>
        <v>0.2137222977242077</v>
      </c>
      <c r="AD17" s="462">
        <f>AVERAGE(AA17:AC17)</f>
        <v>0.2044981302419847</v>
      </c>
      <c r="AE17" s="448">
        <f>AD17/AC17*100-100</f>
        <v>-4.315959345583153</v>
      </c>
      <c r="AF17" s="346" t="s">
        <v>15</v>
      </c>
      <c r="AH17" s="317"/>
      <c r="AI17" s="317"/>
      <c r="AJ17" s="317"/>
      <c r="AK17" s="317"/>
      <c r="AL17" s="317"/>
    </row>
    <row r="18" spans="1:38" ht="12.75" customHeight="1">
      <c r="A18" s="316"/>
      <c r="B18" s="365" t="s">
        <v>66</v>
      </c>
      <c r="C18" s="442">
        <v>1.023</v>
      </c>
      <c r="D18" s="442">
        <v>3.005</v>
      </c>
      <c r="E18" s="443">
        <v>4.215</v>
      </c>
      <c r="F18" s="443">
        <v>4.78</v>
      </c>
      <c r="G18" s="443">
        <v>5.266</v>
      </c>
      <c r="H18" s="443">
        <v>5.409</v>
      </c>
      <c r="I18" s="443">
        <v>5.479</v>
      </c>
      <c r="J18" s="443">
        <v>5.887</v>
      </c>
      <c r="K18" s="443">
        <v>6.113</v>
      </c>
      <c r="L18" s="443">
        <v>6.534</v>
      </c>
      <c r="M18" s="443">
        <v>6.872</v>
      </c>
      <c r="N18" s="443">
        <v>7.031</v>
      </c>
      <c r="O18" s="443">
        <v>7.466</v>
      </c>
      <c r="P18" s="443">
        <v>7.763</v>
      </c>
      <c r="Q18" s="443">
        <v>7.803</v>
      </c>
      <c r="R18" s="443">
        <v>7.319</v>
      </c>
      <c r="S18" s="443">
        <v>8.279</v>
      </c>
      <c r="T18" s="443">
        <v>9.228</v>
      </c>
      <c r="U18" s="443">
        <v>9.224</v>
      </c>
      <c r="V18" s="443">
        <v>8.936</v>
      </c>
      <c r="W18" s="443">
        <v>9.141</v>
      </c>
      <c r="X18" s="443">
        <v>8.23</v>
      </c>
      <c r="Y18" s="443">
        <v>8.182</v>
      </c>
      <c r="Z18" s="443">
        <v>8.601</v>
      </c>
      <c r="AA18" s="443">
        <v>8.9</v>
      </c>
      <c r="AB18" s="443">
        <v>8.691</v>
      </c>
      <c r="AC18" s="443">
        <v>8.967</v>
      </c>
      <c r="AD18" s="443">
        <v>10.115</v>
      </c>
      <c r="AE18" s="444">
        <f>AD18/AC18*100-100</f>
        <v>12.802498048399684</v>
      </c>
      <c r="AF18" s="365" t="s">
        <v>66</v>
      </c>
      <c r="AH18" s="317"/>
      <c r="AI18" s="317"/>
      <c r="AJ18" s="317"/>
      <c r="AK18" s="317"/>
      <c r="AL18" s="317"/>
    </row>
    <row r="19" spans="1:38" ht="12.75" customHeight="1">
      <c r="A19" s="316"/>
      <c r="B19" s="346" t="s">
        <v>87</v>
      </c>
      <c r="C19" s="448" t="s">
        <v>146</v>
      </c>
      <c r="D19" s="448" t="s">
        <v>146</v>
      </c>
      <c r="E19" s="446" t="s">
        <v>146</v>
      </c>
      <c r="F19" s="446" t="s">
        <v>146</v>
      </c>
      <c r="G19" s="446" t="s">
        <v>146</v>
      </c>
      <c r="H19" s="446" t="s">
        <v>146</v>
      </c>
      <c r="I19" s="446" t="s">
        <v>146</v>
      </c>
      <c r="J19" s="446" t="s">
        <v>146</v>
      </c>
      <c r="K19" s="446" t="s">
        <v>146</v>
      </c>
      <c r="L19" s="446" t="s">
        <v>146</v>
      </c>
      <c r="M19" s="446" t="s">
        <v>146</v>
      </c>
      <c r="N19" s="446" t="s">
        <v>146</v>
      </c>
      <c r="O19" s="446" t="s">
        <v>146</v>
      </c>
      <c r="P19" s="446" t="s">
        <v>146</v>
      </c>
      <c r="Q19" s="446" t="s">
        <v>146</v>
      </c>
      <c r="R19" s="446" t="s">
        <v>146</v>
      </c>
      <c r="S19" s="446" t="s">
        <v>146</v>
      </c>
      <c r="T19" s="446" t="s">
        <v>146</v>
      </c>
      <c r="U19" s="446" t="s">
        <v>146</v>
      </c>
      <c r="V19" s="446" t="s">
        <v>146</v>
      </c>
      <c r="W19" s="446" t="s">
        <v>146</v>
      </c>
      <c r="X19" s="446" t="s">
        <v>146</v>
      </c>
      <c r="Y19" s="446" t="s">
        <v>146</v>
      </c>
      <c r="Z19" s="446" t="s">
        <v>146</v>
      </c>
      <c r="AA19" s="446" t="s">
        <v>146</v>
      </c>
      <c r="AB19" s="446" t="s">
        <v>146</v>
      </c>
      <c r="AC19" s="446" t="s">
        <v>146</v>
      </c>
      <c r="AD19" s="446" t="s">
        <v>146</v>
      </c>
      <c r="AE19" s="506" t="s">
        <v>146</v>
      </c>
      <c r="AF19" s="346" t="s">
        <v>87</v>
      </c>
      <c r="AH19" s="317"/>
      <c r="AI19" s="317"/>
      <c r="AJ19" s="317"/>
      <c r="AK19" s="317"/>
      <c r="AL19" s="317"/>
    </row>
    <row r="20" spans="1:38" ht="12.75" customHeight="1">
      <c r="A20" s="316"/>
      <c r="B20" s="346" t="s">
        <v>67</v>
      </c>
      <c r="C20" s="445">
        <v>28.184</v>
      </c>
      <c r="D20" s="445">
        <v>34.674</v>
      </c>
      <c r="E20" s="446">
        <v>19.609</v>
      </c>
      <c r="F20" s="446">
        <v>22.501</v>
      </c>
      <c r="G20" s="446">
        <v>23.381</v>
      </c>
      <c r="H20" s="446">
        <v>23.312</v>
      </c>
      <c r="I20" s="446">
        <v>22.187</v>
      </c>
      <c r="J20" s="446">
        <v>22.275</v>
      </c>
      <c r="K20" s="446">
        <v>21.909</v>
      </c>
      <c r="L20" s="446">
        <v>22.089</v>
      </c>
      <c r="M20" s="446">
        <v>21.582</v>
      </c>
      <c r="N20" s="446">
        <v>21.322</v>
      </c>
      <c r="O20" s="446">
        <v>21.669</v>
      </c>
      <c r="P20" s="446">
        <v>22.14</v>
      </c>
      <c r="Q20" s="446">
        <v>20.954</v>
      </c>
      <c r="R20" s="446">
        <v>22.147</v>
      </c>
      <c r="S20" s="446">
        <v>20.559</v>
      </c>
      <c r="T20" s="446">
        <v>20.856</v>
      </c>
      <c r="U20" s="446">
        <v>22.2</v>
      </c>
      <c r="V20" s="446">
        <v>21.141</v>
      </c>
      <c r="W20" s="446">
        <v>20.918</v>
      </c>
      <c r="X20" s="446">
        <v>19.481</v>
      </c>
      <c r="Y20" s="446">
        <v>17.607</v>
      </c>
      <c r="Z20" s="446">
        <v>17.207</v>
      </c>
      <c r="AA20" s="446">
        <v>15.151</v>
      </c>
      <c r="AB20" s="446">
        <v>11.521</v>
      </c>
      <c r="AC20" s="446">
        <v>11.115</v>
      </c>
      <c r="AD20" s="446">
        <v>11.5</v>
      </c>
      <c r="AE20" s="448">
        <f>AD20/AC20*100-100</f>
        <v>3.4637876743139913</v>
      </c>
      <c r="AF20" s="346" t="s">
        <v>67</v>
      </c>
      <c r="AH20" s="317"/>
      <c r="AI20" s="317"/>
      <c r="AJ20" s="317"/>
      <c r="AK20" s="317"/>
      <c r="AL20" s="317"/>
    </row>
    <row r="21" spans="1:38" ht="12.75" customHeight="1">
      <c r="A21" s="316"/>
      <c r="B21" s="453" t="s">
        <v>148</v>
      </c>
      <c r="C21" s="533" t="s">
        <v>99</v>
      </c>
      <c r="D21" s="533" t="s">
        <v>99</v>
      </c>
      <c r="E21" s="536">
        <v>3.6</v>
      </c>
      <c r="F21" s="455" t="s">
        <v>99</v>
      </c>
      <c r="G21" s="455"/>
      <c r="H21" s="455"/>
      <c r="I21" s="455"/>
      <c r="J21" s="455" t="s">
        <v>99</v>
      </c>
      <c r="K21" s="455"/>
      <c r="L21" s="455">
        <v>0.725</v>
      </c>
      <c r="M21" s="455">
        <v>0.951</v>
      </c>
      <c r="N21" s="455">
        <v>0.623</v>
      </c>
      <c r="O21" s="455">
        <v>0.428</v>
      </c>
      <c r="P21" s="455">
        <v>0.897</v>
      </c>
      <c r="Q21" s="455">
        <v>1.286</v>
      </c>
      <c r="R21" s="455">
        <v>1.335</v>
      </c>
      <c r="S21" s="455">
        <v>1.515</v>
      </c>
      <c r="T21" s="455">
        <v>1.507</v>
      </c>
      <c r="U21" s="455">
        <v>1.255</v>
      </c>
      <c r="V21" s="455">
        <v>1.406</v>
      </c>
      <c r="W21" s="455">
        <v>1.308</v>
      </c>
      <c r="X21" s="455">
        <v>1.445</v>
      </c>
      <c r="Y21" s="455">
        <v>1.3</v>
      </c>
      <c r="Z21" s="455">
        <v>1.028</v>
      </c>
      <c r="AA21" s="455">
        <v>0.838</v>
      </c>
      <c r="AB21" s="455">
        <v>1.127</v>
      </c>
      <c r="AC21" s="455">
        <v>1.114</v>
      </c>
      <c r="AD21" s="465">
        <v>1.395</v>
      </c>
      <c r="AE21" s="456">
        <f>AD21/AC21*100-100</f>
        <v>25.224416517055644</v>
      </c>
      <c r="AF21" s="453" t="s">
        <v>148</v>
      </c>
      <c r="AH21" s="317"/>
      <c r="AI21" s="317"/>
      <c r="AJ21" s="317"/>
      <c r="AK21" s="317"/>
      <c r="AL21" s="317"/>
    </row>
    <row r="22" spans="1:38" ht="12.75" customHeight="1">
      <c r="A22" s="316"/>
      <c r="B22" s="365" t="s">
        <v>77</v>
      </c>
      <c r="C22" s="458" t="s">
        <v>99</v>
      </c>
      <c r="D22" s="458" t="s">
        <v>99</v>
      </c>
      <c r="E22" s="458">
        <v>5.287</v>
      </c>
      <c r="F22" s="450" t="s">
        <v>99</v>
      </c>
      <c r="G22" s="450" t="s">
        <v>99</v>
      </c>
      <c r="H22" s="450" t="s">
        <v>99</v>
      </c>
      <c r="I22" s="450" t="s">
        <v>99</v>
      </c>
      <c r="J22" s="450">
        <v>2.1813</v>
      </c>
      <c r="K22" s="450">
        <v>2.3511</v>
      </c>
      <c r="L22" s="450">
        <v>1.81</v>
      </c>
      <c r="M22" s="450">
        <v>1.937</v>
      </c>
      <c r="N22" s="450">
        <v>2.316</v>
      </c>
      <c r="O22" s="450">
        <v>2.263</v>
      </c>
      <c r="P22" s="450">
        <v>2.521</v>
      </c>
      <c r="Q22" s="450">
        <v>2.445</v>
      </c>
      <c r="R22" s="450">
        <v>2.416</v>
      </c>
      <c r="S22" s="450">
        <v>2.546</v>
      </c>
      <c r="T22" s="450">
        <v>2.683</v>
      </c>
      <c r="U22" s="450">
        <v>3.041</v>
      </c>
      <c r="V22" s="450">
        <v>2.987</v>
      </c>
      <c r="W22" s="450">
        <v>2.9747</v>
      </c>
      <c r="X22" s="450">
        <v>3.0104</v>
      </c>
      <c r="Y22" s="450">
        <v>3.2137</v>
      </c>
      <c r="Z22" s="450">
        <v>3.119</v>
      </c>
      <c r="AA22" s="450">
        <v>2.75971</v>
      </c>
      <c r="AB22" s="450">
        <v>2.70246</v>
      </c>
      <c r="AC22" s="450">
        <v>2.797</v>
      </c>
      <c r="AD22" s="459">
        <v>2.46488</v>
      </c>
      <c r="AE22" s="452">
        <f>AD22/AC22*100-100</f>
        <v>-11.874150875938511</v>
      </c>
      <c r="AF22" s="365" t="s">
        <v>77</v>
      </c>
      <c r="AH22" s="317"/>
      <c r="AI22" s="317"/>
      <c r="AJ22" s="317"/>
      <c r="AK22" s="317"/>
      <c r="AL22" s="317"/>
    </row>
    <row r="23" spans="1:38" ht="12.75" customHeight="1">
      <c r="A23" s="316"/>
      <c r="B23" s="365" t="s">
        <v>68</v>
      </c>
      <c r="C23" s="534" t="s">
        <v>146</v>
      </c>
      <c r="D23" s="534" t="s">
        <v>146</v>
      </c>
      <c r="E23" s="537" t="s">
        <v>146</v>
      </c>
      <c r="F23" s="443" t="s">
        <v>146</v>
      </c>
      <c r="G23" s="443" t="s">
        <v>146</v>
      </c>
      <c r="H23" s="443" t="s">
        <v>146</v>
      </c>
      <c r="I23" s="443" t="s">
        <v>146</v>
      </c>
      <c r="J23" s="443" t="s">
        <v>146</v>
      </c>
      <c r="K23" s="443" t="s">
        <v>146</v>
      </c>
      <c r="L23" s="443" t="s">
        <v>146</v>
      </c>
      <c r="M23" s="443" t="s">
        <v>146</v>
      </c>
      <c r="N23" s="443" t="s">
        <v>146</v>
      </c>
      <c r="O23" s="443" t="s">
        <v>146</v>
      </c>
      <c r="P23" s="443" t="s">
        <v>146</v>
      </c>
      <c r="Q23" s="443" t="s">
        <v>146</v>
      </c>
      <c r="R23" s="443" t="s">
        <v>146</v>
      </c>
      <c r="S23" s="443" t="s">
        <v>146</v>
      </c>
      <c r="T23" s="443" t="s">
        <v>146</v>
      </c>
      <c r="U23" s="443" t="s">
        <v>146</v>
      </c>
      <c r="V23" s="443" t="s">
        <v>146</v>
      </c>
      <c r="W23" s="443" t="s">
        <v>146</v>
      </c>
      <c r="X23" s="443" t="s">
        <v>146</v>
      </c>
      <c r="Y23" s="443" t="s">
        <v>146</v>
      </c>
      <c r="Z23" s="443" t="s">
        <v>146</v>
      </c>
      <c r="AA23" s="443" t="s">
        <v>146</v>
      </c>
      <c r="AB23" s="443" t="s">
        <v>146</v>
      </c>
      <c r="AC23" s="443" t="s">
        <v>146</v>
      </c>
      <c r="AD23" s="540" t="s">
        <v>146</v>
      </c>
      <c r="AE23" s="507" t="s">
        <v>146</v>
      </c>
      <c r="AF23" s="365" t="s">
        <v>68</v>
      </c>
      <c r="AH23" s="317"/>
      <c r="AI23" s="317"/>
      <c r="AJ23" s="317"/>
      <c r="AK23" s="317"/>
      <c r="AL23" s="317"/>
    </row>
    <row r="24" spans="1:38" ht="12.75" customHeight="1">
      <c r="A24" s="316"/>
      <c r="B24" s="346" t="s">
        <v>69</v>
      </c>
      <c r="C24" s="532">
        <v>7</v>
      </c>
      <c r="D24" s="532">
        <v>9</v>
      </c>
      <c r="E24" s="460">
        <v>9.2</v>
      </c>
      <c r="F24" s="446">
        <v>9.3</v>
      </c>
      <c r="G24" s="446">
        <v>9.4</v>
      </c>
      <c r="H24" s="446">
        <v>9.5</v>
      </c>
      <c r="I24" s="446">
        <v>9.6</v>
      </c>
      <c r="J24" s="446">
        <v>9.65</v>
      </c>
      <c r="K24" s="446">
        <v>10.1</v>
      </c>
      <c r="L24" s="446">
        <v>9.797</v>
      </c>
      <c r="M24" s="446">
        <v>10.624</v>
      </c>
      <c r="N24" s="446">
        <v>10.409</v>
      </c>
      <c r="O24" s="446">
        <v>10.317</v>
      </c>
      <c r="P24" s="446">
        <v>10.69</v>
      </c>
      <c r="Q24" s="446">
        <v>10.692</v>
      </c>
      <c r="R24" s="446">
        <v>10.656</v>
      </c>
      <c r="S24" s="446">
        <v>10.699</v>
      </c>
      <c r="T24" s="446">
        <v>11.423</v>
      </c>
      <c r="U24" s="446">
        <v>11.447</v>
      </c>
      <c r="V24" s="446">
        <v>11.388</v>
      </c>
      <c r="W24" s="446">
        <v>11.266</v>
      </c>
      <c r="X24" s="446">
        <v>10.497</v>
      </c>
      <c r="Y24" s="446">
        <v>10.4</v>
      </c>
      <c r="Z24" s="446">
        <v>9.954</v>
      </c>
      <c r="AA24" s="446">
        <v>10.066</v>
      </c>
      <c r="AB24" s="446">
        <v>10.024</v>
      </c>
      <c r="AC24" s="446">
        <v>9.555</v>
      </c>
      <c r="AD24" s="457">
        <v>9.667</v>
      </c>
      <c r="AE24" s="448">
        <f>AD24/AC24*100-100</f>
        <v>1.172161172161168</v>
      </c>
      <c r="AF24" s="346" t="s">
        <v>69</v>
      </c>
      <c r="AH24" s="317"/>
      <c r="AI24" s="317"/>
      <c r="AJ24" s="317"/>
      <c r="AK24" s="317"/>
      <c r="AL24" s="317"/>
    </row>
    <row r="25" spans="1:38" ht="12.75" customHeight="1">
      <c r="A25" s="316"/>
      <c r="B25" s="365" t="s">
        <v>73</v>
      </c>
      <c r="C25" s="458" t="s">
        <v>226</v>
      </c>
      <c r="D25" s="458" t="s">
        <v>226</v>
      </c>
      <c r="E25" s="458" t="s">
        <v>226</v>
      </c>
      <c r="F25" s="450" t="s">
        <v>226</v>
      </c>
      <c r="G25" s="450" t="s">
        <v>226</v>
      </c>
      <c r="H25" s="450">
        <v>2</v>
      </c>
      <c r="I25" s="450">
        <v>1.9</v>
      </c>
      <c r="J25" s="450">
        <v>2.006</v>
      </c>
      <c r="K25" s="450">
        <v>2.308</v>
      </c>
      <c r="L25" s="450">
        <v>2.656</v>
      </c>
      <c r="M25" s="450">
        <v>2.964</v>
      </c>
      <c r="N25" s="450">
        <v>2.627</v>
      </c>
      <c r="O25" s="450">
        <v>3.4566999999999997</v>
      </c>
      <c r="P25" s="450">
        <v>4.7796</v>
      </c>
      <c r="Q25" s="450">
        <v>4.8916</v>
      </c>
      <c r="R25" s="450">
        <v>5.0848</v>
      </c>
      <c r="S25" s="450">
        <v>4.2874</v>
      </c>
      <c r="T25" s="450">
        <v>4.406</v>
      </c>
      <c r="U25" s="450">
        <v>2.67</v>
      </c>
      <c r="V25" s="450">
        <v>1.032</v>
      </c>
      <c r="W25" s="450">
        <v>0.527</v>
      </c>
      <c r="X25" s="450">
        <v>0.4103</v>
      </c>
      <c r="Y25" s="450">
        <v>0.5786</v>
      </c>
      <c r="Z25" s="450">
        <v>0.5913999999999999</v>
      </c>
      <c r="AA25" s="450">
        <v>0.6322</v>
      </c>
      <c r="AB25" s="450">
        <v>0.563</v>
      </c>
      <c r="AC25" s="450">
        <v>0.567</v>
      </c>
      <c r="AD25" s="459">
        <v>0.496</v>
      </c>
      <c r="AE25" s="452">
        <f>AD25/AC25*100-100</f>
        <v>-12.522045855379176</v>
      </c>
      <c r="AF25" s="365" t="s">
        <v>73</v>
      </c>
      <c r="AH25" s="317"/>
      <c r="AI25" s="317"/>
      <c r="AJ25" s="317"/>
      <c r="AK25" s="317"/>
      <c r="AL25" s="317"/>
    </row>
    <row r="26" spans="1:38" ht="12.75" customHeight="1">
      <c r="A26" s="316"/>
      <c r="B26" s="346" t="s">
        <v>76</v>
      </c>
      <c r="C26" s="460" t="s">
        <v>146</v>
      </c>
      <c r="D26" s="460" t="s">
        <v>146</v>
      </c>
      <c r="E26" s="460" t="s">
        <v>146</v>
      </c>
      <c r="F26" s="446" t="s">
        <v>146</v>
      </c>
      <c r="G26" s="446" t="s">
        <v>146</v>
      </c>
      <c r="H26" s="446" t="s">
        <v>146</v>
      </c>
      <c r="I26" s="446" t="s">
        <v>146</v>
      </c>
      <c r="J26" s="446" t="s">
        <v>146</v>
      </c>
      <c r="K26" s="446" t="s">
        <v>146</v>
      </c>
      <c r="L26" s="446" t="s">
        <v>146</v>
      </c>
      <c r="M26" s="446" t="s">
        <v>146</v>
      </c>
      <c r="N26" s="446" t="s">
        <v>146</v>
      </c>
      <c r="O26" s="446" t="s">
        <v>146</v>
      </c>
      <c r="P26" s="446" t="s">
        <v>146</v>
      </c>
      <c r="Q26" s="446" t="s">
        <v>146</v>
      </c>
      <c r="R26" s="446" t="s">
        <v>146</v>
      </c>
      <c r="S26" s="446" t="s">
        <v>146</v>
      </c>
      <c r="T26" s="446" t="s">
        <v>146</v>
      </c>
      <c r="U26" s="446" t="s">
        <v>146</v>
      </c>
      <c r="V26" s="446" t="s">
        <v>146</v>
      </c>
      <c r="W26" s="446" t="s">
        <v>146</v>
      </c>
      <c r="X26" s="446" t="s">
        <v>146</v>
      </c>
      <c r="Y26" s="446" t="s">
        <v>146</v>
      </c>
      <c r="Z26" s="446" t="s">
        <v>146</v>
      </c>
      <c r="AA26" s="446" t="s">
        <v>146</v>
      </c>
      <c r="AB26" s="446" t="s">
        <v>146</v>
      </c>
      <c r="AC26" s="446" t="s">
        <v>146</v>
      </c>
      <c r="AD26" s="457" t="s">
        <v>146</v>
      </c>
      <c r="AE26" s="506" t="s">
        <v>146</v>
      </c>
      <c r="AF26" s="346" t="s">
        <v>76</v>
      </c>
      <c r="AH26" s="317"/>
      <c r="AI26" s="317"/>
      <c r="AJ26" s="317"/>
      <c r="AK26" s="317"/>
      <c r="AL26" s="317"/>
    </row>
    <row r="27" spans="1:38" ht="12.75" customHeight="1">
      <c r="A27" s="316"/>
      <c r="B27" s="346" t="s">
        <v>72</v>
      </c>
      <c r="C27" s="460" t="s">
        <v>226</v>
      </c>
      <c r="D27" s="460" t="s">
        <v>226</v>
      </c>
      <c r="E27" s="460" t="s">
        <v>226</v>
      </c>
      <c r="F27" s="446" t="s">
        <v>226</v>
      </c>
      <c r="G27" s="446" t="s">
        <v>226</v>
      </c>
      <c r="H27" s="446" t="s">
        <v>227</v>
      </c>
      <c r="I27" s="446">
        <v>4.6</v>
      </c>
      <c r="J27" s="446">
        <v>5.316</v>
      </c>
      <c r="K27" s="446">
        <v>6.06</v>
      </c>
      <c r="L27" s="446">
        <v>6.362</v>
      </c>
      <c r="M27" s="446">
        <v>6.569</v>
      </c>
      <c r="N27" s="446">
        <v>6.055</v>
      </c>
      <c r="O27" s="446">
        <v>6.467</v>
      </c>
      <c r="P27" s="446">
        <v>7.524</v>
      </c>
      <c r="Q27" s="446">
        <v>5.071</v>
      </c>
      <c r="R27" s="446">
        <v>3.15</v>
      </c>
      <c r="S27" s="446">
        <v>3.252</v>
      </c>
      <c r="T27" s="446">
        <v>3.381</v>
      </c>
      <c r="U27" s="446">
        <v>3.628</v>
      </c>
      <c r="V27" s="446">
        <v>2.711</v>
      </c>
      <c r="W27" s="446">
        <v>2.097</v>
      </c>
      <c r="X27" s="446">
        <v>1.573</v>
      </c>
      <c r="Y27" s="446">
        <v>2.35</v>
      </c>
      <c r="Z27" s="446">
        <v>2.416</v>
      </c>
      <c r="AA27" s="446">
        <v>2.631</v>
      </c>
      <c r="AB27" s="446">
        <v>2.279</v>
      </c>
      <c r="AC27" s="446">
        <v>2.376</v>
      </c>
      <c r="AD27" s="457">
        <v>1.965</v>
      </c>
      <c r="AE27" s="448">
        <f>AD27/AC27*100-100</f>
        <v>-17.297979797979792</v>
      </c>
      <c r="AF27" s="346" t="s">
        <v>72</v>
      </c>
      <c r="AH27" s="317"/>
      <c r="AI27" s="317"/>
      <c r="AJ27" s="317"/>
      <c r="AK27" s="317"/>
      <c r="AL27" s="317"/>
    </row>
    <row r="28" spans="1:38" ht="12.75" customHeight="1">
      <c r="A28" s="316"/>
      <c r="B28" s="346" t="s">
        <v>78</v>
      </c>
      <c r="C28" s="461" t="s">
        <v>146</v>
      </c>
      <c r="D28" s="461" t="s">
        <v>146</v>
      </c>
      <c r="E28" s="461" t="s">
        <v>146</v>
      </c>
      <c r="F28" s="462" t="s">
        <v>146</v>
      </c>
      <c r="G28" s="462" t="s">
        <v>146</v>
      </c>
      <c r="H28" s="462" t="s">
        <v>146</v>
      </c>
      <c r="I28" s="462" t="s">
        <v>146</v>
      </c>
      <c r="J28" s="462" t="s">
        <v>146</v>
      </c>
      <c r="K28" s="462" t="s">
        <v>146</v>
      </c>
      <c r="L28" s="462" t="s">
        <v>146</v>
      </c>
      <c r="M28" s="462" t="s">
        <v>146</v>
      </c>
      <c r="N28" s="462" t="s">
        <v>146</v>
      </c>
      <c r="O28" s="462" t="s">
        <v>146</v>
      </c>
      <c r="P28" s="462" t="s">
        <v>146</v>
      </c>
      <c r="Q28" s="462" t="s">
        <v>146</v>
      </c>
      <c r="R28" s="462" t="s">
        <v>146</v>
      </c>
      <c r="S28" s="462" t="s">
        <v>146</v>
      </c>
      <c r="T28" s="462" t="s">
        <v>146</v>
      </c>
      <c r="U28" s="462" t="s">
        <v>146</v>
      </c>
      <c r="V28" s="462" t="s">
        <v>146</v>
      </c>
      <c r="W28" s="462" t="s">
        <v>146</v>
      </c>
      <c r="X28" s="462" t="s">
        <v>146</v>
      </c>
      <c r="Y28" s="462" t="s">
        <v>146</v>
      </c>
      <c r="Z28" s="462" t="s">
        <v>146</v>
      </c>
      <c r="AA28" s="462" t="s">
        <v>146</v>
      </c>
      <c r="AB28" s="462" t="s">
        <v>146</v>
      </c>
      <c r="AC28" s="462" t="s">
        <v>146</v>
      </c>
      <c r="AD28" s="463" t="s">
        <v>146</v>
      </c>
      <c r="AE28" s="510" t="s">
        <v>146</v>
      </c>
      <c r="AF28" s="346" t="s">
        <v>78</v>
      </c>
      <c r="AH28" s="317"/>
      <c r="AI28" s="317"/>
      <c r="AJ28" s="317"/>
      <c r="AK28" s="317"/>
      <c r="AL28" s="317"/>
    </row>
    <row r="29" spans="1:38" ht="12.75" customHeight="1">
      <c r="A29" s="316"/>
      <c r="B29" s="365" t="s">
        <v>16</v>
      </c>
      <c r="C29" s="452">
        <v>4.075</v>
      </c>
      <c r="D29" s="452">
        <v>5.044</v>
      </c>
      <c r="E29" s="450">
        <v>4.873</v>
      </c>
      <c r="F29" s="450">
        <v>5.43</v>
      </c>
      <c r="G29" s="450">
        <v>5.503</v>
      </c>
      <c r="H29" s="450">
        <v>5.491</v>
      </c>
      <c r="I29" s="450">
        <v>5.621</v>
      </c>
      <c r="J29" s="450">
        <v>5.278</v>
      </c>
      <c r="K29" s="450">
        <v>5.96</v>
      </c>
      <c r="L29" s="450">
        <v>6.04</v>
      </c>
      <c r="M29" s="450">
        <v>6.043</v>
      </c>
      <c r="N29" s="450">
        <v>6.008</v>
      </c>
      <c r="O29" s="450">
        <v>5.869</v>
      </c>
      <c r="P29" s="450">
        <v>5.827</v>
      </c>
      <c r="Q29" s="450">
        <v>6.017</v>
      </c>
      <c r="R29" s="450">
        <v>6.131</v>
      </c>
      <c r="S29" s="450">
        <v>6.09</v>
      </c>
      <c r="T29" s="450">
        <v>5.939</v>
      </c>
      <c r="U29" s="450">
        <v>5.828</v>
      </c>
      <c r="V29" s="450">
        <v>5.583</v>
      </c>
      <c r="W29" s="450">
        <v>5.967</v>
      </c>
      <c r="X29" s="450">
        <v>5.622</v>
      </c>
      <c r="Y29" s="450">
        <v>5.647</v>
      </c>
      <c r="Z29" s="450">
        <v>5.502</v>
      </c>
      <c r="AA29" s="450">
        <v>5.572</v>
      </c>
      <c r="AB29" s="450">
        <v>5.405</v>
      </c>
      <c r="AC29" s="450">
        <v>5.837</v>
      </c>
      <c r="AD29" s="459">
        <v>6.044</v>
      </c>
      <c r="AE29" s="452">
        <f>AD29/AC29*100-100</f>
        <v>3.546342299126266</v>
      </c>
      <c r="AF29" s="365" t="s">
        <v>16</v>
      </c>
      <c r="AH29" s="317"/>
      <c r="AI29" s="317"/>
      <c r="AJ29" s="317"/>
      <c r="AK29" s="317"/>
      <c r="AL29" s="317"/>
    </row>
    <row r="30" spans="1:38" ht="12.75" customHeight="1">
      <c r="A30" s="316"/>
      <c r="B30" s="453" t="s">
        <v>80</v>
      </c>
      <c r="C30" s="533">
        <v>6.98</v>
      </c>
      <c r="D30" s="533">
        <v>17.12</v>
      </c>
      <c r="E30" s="536">
        <v>13.887</v>
      </c>
      <c r="F30" s="455">
        <v>10.39</v>
      </c>
      <c r="G30" s="455">
        <v>11.93</v>
      </c>
      <c r="H30" s="455">
        <v>12.2</v>
      </c>
      <c r="I30" s="455">
        <v>14.3</v>
      </c>
      <c r="J30" s="455">
        <v>13.493</v>
      </c>
      <c r="K30" s="455">
        <v>15.33</v>
      </c>
      <c r="L30" s="455">
        <v>14.97</v>
      </c>
      <c r="M30" s="455">
        <v>18.448</v>
      </c>
      <c r="N30" s="455">
        <v>19.417</v>
      </c>
      <c r="O30" s="455">
        <v>20.354</v>
      </c>
      <c r="P30" s="455">
        <v>21.0927</v>
      </c>
      <c r="Q30" s="455">
        <v>20.854</v>
      </c>
      <c r="R30" s="455">
        <v>23.871</v>
      </c>
      <c r="S30" s="455">
        <v>24.806</v>
      </c>
      <c r="T30" s="455">
        <v>25.388</v>
      </c>
      <c r="U30" s="455">
        <v>25.588099999999997</v>
      </c>
      <c r="V30" s="455">
        <v>23.513</v>
      </c>
      <c r="W30" s="455">
        <v>21.2473</v>
      </c>
      <c r="X30" s="455">
        <v>22.908</v>
      </c>
      <c r="Y30" s="455">
        <v>24.157</v>
      </c>
      <c r="Z30" s="455">
        <v>23.461</v>
      </c>
      <c r="AA30" s="455">
        <v>22.325</v>
      </c>
      <c r="AB30" s="455">
        <v>20.112</v>
      </c>
      <c r="AC30" s="455">
        <v>20.543</v>
      </c>
      <c r="AD30" s="465">
        <v>21.843</v>
      </c>
      <c r="AE30" s="456">
        <f>AD30/AC30*100-100</f>
        <v>6.3281896509760145</v>
      </c>
      <c r="AF30" s="453" t="s">
        <v>80</v>
      </c>
      <c r="AH30" s="317"/>
      <c r="AI30" s="317"/>
      <c r="AJ30" s="317"/>
      <c r="AK30" s="317"/>
      <c r="AL30" s="317"/>
    </row>
    <row r="31" spans="1:38" ht="12.75" customHeight="1">
      <c r="A31" s="316"/>
      <c r="B31" s="346" t="s">
        <v>92</v>
      </c>
      <c r="C31" s="464" t="s">
        <v>146</v>
      </c>
      <c r="D31" s="464" t="s">
        <v>146</v>
      </c>
      <c r="E31" s="462"/>
      <c r="F31" s="462" t="s">
        <v>146</v>
      </c>
      <c r="G31" s="462" t="s">
        <v>146</v>
      </c>
      <c r="H31" s="462" t="s">
        <v>146</v>
      </c>
      <c r="I31" s="462" t="s">
        <v>146</v>
      </c>
      <c r="J31" s="462" t="s">
        <v>146</v>
      </c>
      <c r="K31" s="462" t="s">
        <v>146</v>
      </c>
      <c r="L31" s="462" t="s">
        <v>146</v>
      </c>
      <c r="M31" s="462" t="s">
        <v>146</v>
      </c>
      <c r="N31" s="462" t="s">
        <v>146</v>
      </c>
      <c r="O31" s="462">
        <v>0.5</v>
      </c>
      <c r="P31" s="462">
        <v>0.5</v>
      </c>
      <c r="Q31" s="462">
        <v>0.5</v>
      </c>
      <c r="R31" s="462">
        <v>0.5</v>
      </c>
      <c r="S31" s="462">
        <v>0.5039606</v>
      </c>
      <c r="T31" s="462">
        <v>0.48450380000000004</v>
      </c>
      <c r="U31" s="462">
        <v>0.4535498</v>
      </c>
      <c r="V31" s="462">
        <v>0.477576</v>
      </c>
      <c r="W31" s="462">
        <v>0.44971740000000004</v>
      </c>
      <c r="X31" s="462">
        <v>0.41286740000000005</v>
      </c>
      <c r="Y31" s="462">
        <v>0.3826504</v>
      </c>
      <c r="Z31" s="462">
        <v>0.36348840000000004</v>
      </c>
      <c r="AA31" s="462">
        <v>0.3595086</v>
      </c>
      <c r="AB31" s="462">
        <v>0.350075</v>
      </c>
      <c r="AC31" s="462">
        <f>2.517*0.1474</f>
        <v>0.3710058</v>
      </c>
      <c r="AD31" s="463">
        <f>2.651*0.1474</f>
        <v>0.3907574</v>
      </c>
      <c r="AE31" s="464">
        <f>AD31/AC31*100-100</f>
        <v>5.323798172427502</v>
      </c>
      <c r="AF31" s="346" t="s">
        <v>92</v>
      </c>
      <c r="AH31" s="317"/>
      <c r="AI31" s="317"/>
      <c r="AJ31" s="317"/>
      <c r="AK31" s="317"/>
      <c r="AL31" s="317"/>
    </row>
    <row r="32" spans="1:38" ht="12.75" customHeight="1">
      <c r="A32" s="316"/>
      <c r="B32" s="453" t="s">
        <v>102</v>
      </c>
      <c r="C32" s="533">
        <v>1.84</v>
      </c>
      <c r="D32" s="533">
        <v>5.19</v>
      </c>
      <c r="E32" s="536">
        <v>5.062</v>
      </c>
      <c r="F32" s="455">
        <v>3.18</v>
      </c>
      <c r="G32" s="455">
        <v>2.558</v>
      </c>
      <c r="H32" s="455">
        <v>2.471</v>
      </c>
      <c r="I32" s="455">
        <v>2.801</v>
      </c>
      <c r="J32" s="455">
        <v>2.936</v>
      </c>
      <c r="K32" s="455">
        <v>2.662</v>
      </c>
      <c r="L32" s="455">
        <v>2.296</v>
      </c>
      <c r="M32" s="455">
        <v>2.258</v>
      </c>
      <c r="N32" s="455">
        <v>1.636</v>
      </c>
      <c r="O32" s="455">
        <v>1.392</v>
      </c>
      <c r="P32" s="455">
        <v>1.77</v>
      </c>
      <c r="Q32" s="455">
        <v>1.78</v>
      </c>
      <c r="R32" s="455">
        <v>1.59</v>
      </c>
      <c r="S32" s="455">
        <v>1.898</v>
      </c>
      <c r="T32" s="455">
        <v>2.21</v>
      </c>
      <c r="U32" s="455">
        <v>2.027</v>
      </c>
      <c r="V32" s="455">
        <v>1.849</v>
      </c>
      <c r="W32" s="455">
        <v>1.72</v>
      </c>
      <c r="X32" s="455">
        <v>1.243</v>
      </c>
      <c r="Y32" s="455">
        <v>0.996</v>
      </c>
      <c r="Z32" s="455">
        <v>0.879</v>
      </c>
      <c r="AA32" s="455">
        <v>0.785</v>
      </c>
      <c r="AB32" s="455">
        <v>0.829</v>
      </c>
      <c r="AC32" s="455">
        <v>0.984</v>
      </c>
      <c r="AD32" s="465">
        <v>1.029</v>
      </c>
      <c r="AE32" s="456">
        <f>AD32/AC32*100-100</f>
        <v>4.573170731707307</v>
      </c>
      <c r="AF32" s="453" t="s">
        <v>102</v>
      </c>
      <c r="AH32" s="317"/>
      <c r="AI32" s="317"/>
      <c r="AJ32" s="317"/>
      <c r="AK32" s="317"/>
      <c r="AL32" s="317"/>
    </row>
    <row r="33" spans="1:38" ht="12.75" customHeight="1">
      <c r="A33" s="316"/>
      <c r="B33" s="453" t="s">
        <v>88</v>
      </c>
      <c r="C33" s="454" t="s">
        <v>146</v>
      </c>
      <c r="D33" s="454" t="s">
        <v>146</v>
      </c>
      <c r="E33" s="455" t="s">
        <v>146</v>
      </c>
      <c r="F33" s="455" t="s">
        <v>146</v>
      </c>
      <c r="G33" s="455" t="s">
        <v>146</v>
      </c>
      <c r="H33" s="455" t="s">
        <v>146</v>
      </c>
      <c r="I33" s="455" t="s">
        <v>146</v>
      </c>
      <c r="J33" s="455" t="s">
        <v>146</v>
      </c>
      <c r="K33" s="455" t="s">
        <v>146</v>
      </c>
      <c r="L33" s="455" t="s">
        <v>146</v>
      </c>
      <c r="M33" s="455" t="s">
        <v>146</v>
      </c>
      <c r="N33" s="455" t="s">
        <v>146</v>
      </c>
      <c r="O33" s="455" t="s">
        <v>146</v>
      </c>
      <c r="P33" s="455" t="s">
        <v>146</v>
      </c>
      <c r="Q33" s="455" t="s">
        <v>146</v>
      </c>
      <c r="R33" s="455" t="s">
        <v>146</v>
      </c>
      <c r="S33" s="455" t="s">
        <v>146</v>
      </c>
      <c r="T33" s="455" t="s">
        <v>146</v>
      </c>
      <c r="U33" s="455" t="s">
        <v>146</v>
      </c>
      <c r="V33" s="455" t="s">
        <v>146</v>
      </c>
      <c r="W33" s="455" t="s">
        <v>146</v>
      </c>
      <c r="X33" s="455" t="s">
        <v>146</v>
      </c>
      <c r="Y33" s="455" t="s">
        <v>146</v>
      </c>
      <c r="Z33" s="455" t="s">
        <v>146</v>
      </c>
      <c r="AA33" s="455" t="s">
        <v>146</v>
      </c>
      <c r="AB33" s="455" t="s">
        <v>146</v>
      </c>
      <c r="AC33" s="455" t="s">
        <v>146</v>
      </c>
      <c r="AD33" s="465" t="s">
        <v>146</v>
      </c>
      <c r="AE33" s="514" t="s">
        <v>146</v>
      </c>
      <c r="AF33" s="453" t="s">
        <v>88</v>
      </c>
      <c r="AH33" s="317"/>
      <c r="AI33" s="317"/>
      <c r="AJ33" s="317"/>
      <c r="AK33" s="317"/>
      <c r="AL33" s="317"/>
    </row>
    <row r="34" spans="1:38" ht="12.75" customHeight="1">
      <c r="A34" s="316"/>
      <c r="B34" s="346" t="s">
        <v>83</v>
      </c>
      <c r="C34" s="461" t="s">
        <v>146</v>
      </c>
      <c r="D34" s="461" t="s">
        <v>146</v>
      </c>
      <c r="E34" s="461" t="s">
        <v>146</v>
      </c>
      <c r="F34" s="462" t="s">
        <v>146</v>
      </c>
      <c r="G34" s="462" t="s">
        <v>146</v>
      </c>
      <c r="H34" s="462" t="s">
        <v>146</v>
      </c>
      <c r="I34" s="462" t="s">
        <v>146</v>
      </c>
      <c r="J34" s="462" t="s">
        <v>146</v>
      </c>
      <c r="K34" s="462" t="s">
        <v>146</v>
      </c>
      <c r="L34" s="462" t="s">
        <v>146</v>
      </c>
      <c r="M34" s="462" t="s">
        <v>146</v>
      </c>
      <c r="N34" s="462" t="s">
        <v>146</v>
      </c>
      <c r="O34" s="462" t="s">
        <v>146</v>
      </c>
      <c r="P34" s="462" t="s">
        <v>146</v>
      </c>
      <c r="Q34" s="462" t="s">
        <v>146</v>
      </c>
      <c r="R34" s="462" t="s">
        <v>146</v>
      </c>
      <c r="S34" s="462" t="s">
        <v>146</v>
      </c>
      <c r="T34" s="462" t="s">
        <v>146</v>
      </c>
      <c r="U34" s="462" t="s">
        <v>146</v>
      </c>
      <c r="V34" s="462" t="s">
        <v>146</v>
      </c>
      <c r="W34" s="462" t="s">
        <v>146</v>
      </c>
      <c r="X34" s="462" t="s">
        <v>146</v>
      </c>
      <c r="Y34" s="462" t="s">
        <v>146</v>
      </c>
      <c r="Z34" s="462" t="s">
        <v>146</v>
      </c>
      <c r="AA34" s="462" t="s">
        <v>146</v>
      </c>
      <c r="AB34" s="462" t="s">
        <v>146</v>
      </c>
      <c r="AC34" s="462" t="s">
        <v>146</v>
      </c>
      <c r="AD34" s="463" t="s">
        <v>146</v>
      </c>
      <c r="AE34" s="510" t="s">
        <v>146</v>
      </c>
      <c r="AF34" s="346" t="s">
        <v>83</v>
      </c>
      <c r="AH34" s="317"/>
      <c r="AI34" s="317"/>
      <c r="AJ34" s="317"/>
      <c r="AK34" s="317"/>
      <c r="AL34" s="317"/>
    </row>
    <row r="35" spans="1:38" ht="12.75" customHeight="1">
      <c r="A35" s="316"/>
      <c r="B35" s="453" t="s">
        <v>85</v>
      </c>
      <c r="C35" s="454"/>
      <c r="D35" s="454"/>
      <c r="E35" s="455"/>
      <c r="F35" s="455"/>
      <c r="G35" s="455"/>
      <c r="H35" s="455">
        <v>5.4</v>
      </c>
      <c r="I35" s="455">
        <v>6.2</v>
      </c>
      <c r="J35" s="511">
        <v>6.1</v>
      </c>
      <c r="K35" s="511">
        <v>5.8</v>
      </c>
      <c r="L35" s="511">
        <v>5.5</v>
      </c>
      <c r="M35" s="511">
        <v>5.6</v>
      </c>
      <c r="N35" s="511">
        <v>5.2</v>
      </c>
      <c r="O35" s="511">
        <v>4.6</v>
      </c>
      <c r="P35" s="511">
        <v>4.8</v>
      </c>
      <c r="Q35" s="511">
        <v>4.7</v>
      </c>
      <c r="R35" s="511">
        <v>5</v>
      </c>
      <c r="S35" s="511">
        <v>5.2</v>
      </c>
      <c r="T35" s="511">
        <v>5.3</v>
      </c>
      <c r="U35" s="511">
        <v>5.6</v>
      </c>
      <c r="V35" s="511">
        <v>5.3</v>
      </c>
      <c r="W35" s="511">
        <v>5.3</v>
      </c>
      <c r="X35" s="511">
        <v>5.35</v>
      </c>
      <c r="Y35" s="511">
        <v>5.0375</v>
      </c>
      <c r="Z35" s="511">
        <v>4.96</v>
      </c>
      <c r="AA35" s="511">
        <v>4.209</v>
      </c>
      <c r="AB35" s="511">
        <f>4.894</f>
        <v>4.894</v>
      </c>
      <c r="AC35" s="511">
        <v>4.4725</v>
      </c>
      <c r="AD35" s="512">
        <f>9.932*0.5</f>
        <v>4.966</v>
      </c>
      <c r="AE35" s="513">
        <f>AD35/AC35*100-100</f>
        <v>11.034097261039676</v>
      </c>
      <c r="AF35" s="453" t="s">
        <v>85</v>
      </c>
      <c r="AH35" s="317"/>
      <c r="AI35" s="317"/>
      <c r="AJ35" s="317"/>
      <c r="AK35" s="317"/>
      <c r="AL35" s="317"/>
    </row>
    <row r="36" spans="1:38" ht="12.75" customHeight="1">
      <c r="A36" s="316"/>
      <c r="B36" s="466" t="s">
        <v>13</v>
      </c>
      <c r="C36" s="467">
        <v>2.665</v>
      </c>
      <c r="D36" s="467">
        <v>10.078</v>
      </c>
      <c r="E36" s="468">
        <v>11.1</v>
      </c>
      <c r="F36" s="468">
        <v>11.07</v>
      </c>
      <c r="G36" s="468">
        <v>11</v>
      </c>
      <c r="H36" s="468">
        <v>11.6</v>
      </c>
      <c r="I36" s="468">
        <v>12</v>
      </c>
      <c r="J36" s="468">
        <v>11.1</v>
      </c>
      <c r="K36" s="468">
        <v>11.623</v>
      </c>
      <c r="L36" s="468">
        <v>11.235</v>
      </c>
      <c r="M36" s="468">
        <v>11.666</v>
      </c>
      <c r="N36" s="468">
        <v>11.637</v>
      </c>
      <c r="O36" s="468">
        <v>11.424</v>
      </c>
      <c r="P36" s="468">
        <v>11.562</v>
      </c>
      <c r="Q36" s="468">
        <v>10.935</v>
      </c>
      <c r="R36" s="468">
        <v>10.484</v>
      </c>
      <c r="S36" s="468">
        <v>10.657</v>
      </c>
      <c r="T36" s="468">
        <v>10.78</v>
      </c>
      <c r="U36" s="468">
        <v>10.777</v>
      </c>
      <c r="V36" s="468">
        <v>10.229</v>
      </c>
      <c r="W36" s="468">
        <v>10.18</v>
      </c>
      <c r="X36" s="468">
        <v>10.185</v>
      </c>
      <c r="Y36" s="468">
        <v>10.165</v>
      </c>
      <c r="Z36" s="468">
        <v>10.1</v>
      </c>
      <c r="AA36" s="468">
        <v>9.914</v>
      </c>
      <c r="AB36" s="515">
        <v>9.961410689886756</v>
      </c>
      <c r="AC36" s="515">
        <f>AVERAGE(Z36:AB36)</f>
        <v>9.991803563295585</v>
      </c>
      <c r="AD36" s="516">
        <f>AVERAGE(AA36:AC36)</f>
        <v>9.955738084394113</v>
      </c>
      <c r="AE36" s="472">
        <f>AD36/AC36*100-100</f>
        <v>-0.36095063992208054</v>
      </c>
      <c r="AF36" s="466" t="s">
        <v>13</v>
      </c>
      <c r="AH36" s="317"/>
      <c r="AI36" s="317"/>
      <c r="AJ36" s="317"/>
      <c r="AK36" s="317"/>
      <c r="AL36" s="317"/>
    </row>
    <row r="37" spans="1:38" ht="12.75" customHeight="1">
      <c r="A37" s="316"/>
      <c r="B37" s="517" t="s">
        <v>289</v>
      </c>
      <c r="C37" s="480" t="s">
        <v>146</v>
      </c>
      <c r="D37" s="480" t="s">
        <v>146</v>
      </c>
      <c r="E37" s="481" t="s">
        <v>146</v>
      </c>
      <c r="F37" s="481" t="s">
        <v>146</v>
      </c>
      <c r="G37" s="481" t="s">
        <v>146</v>
      </c>
      <c r="H37" s="481" t="s">
        <v>146</v>
      </c>
      <c r="I37" s="481" t="s">
        <v>146</v>
      </c>
      <c r="J37" s="481" t="s">
        <v>146</v>
      </c>
      <c r="K37" s="481" t="s">
        <v>146</v>
      </c>
      <c r="L37" s="481" t="s">
        <v>146</v>
      </c>
      <c r="M37" s="481" t="s">
        <v>146</v>
      </c>
      <c r="N37" s="481" t="s">
        <v>146</v>
      </c>
      <c r="O37" s="481" t="s">
        <v>146</v>
      </c>
      <c r="P37" s="481" t="s">
        <v>146</v>
      </c>
      <c r="Q37" s="481" t="s">
        <v>146</v>
      </c>
      <c r="R37" s="481" t="s">
        <v>146</v>
      </c>
      <c r="S37" s="481" t="s">
        <v>146</v>
      </c>
      <c r="T37" s="481" t="s">
        <v>146</v>
      </c>
      <c r="U37" s="481" t="s">
        <v>146</v>
      </c>
      <c r="V37" s="481" t="s">
        <v>146</v>
      </c>
      <c r="W37" s="481" t="s">
        <v>146</v>
      </c>
      <c r="X37" s="481" t="s">
        <v>146</v>
      </c>
      <c r="Y37" s="481" t="s">
        <v>146</v>
      </c>
      <c r="Z37" s="481" t="s">
        <v>146</v>
      </c>
      <c r="AA37" s="481" t="s">
        <v>146</v>
      </c>
      <c r="AB37" s="481" t="s">
        <v>146</v>
      </c>
      <c r="AC37" s="481" t="s">
        <v>146</v>
      </c>
      <c r="AD37" s="518" t="s">
        <v>146</v>
      </c>
      <c r="AE37" s="519" t="s">
        <v>146</v>
      </c>
      <c r="AF37" s="517" t="s">
        <v>289</v>
      </c>
      <c r="AH37" s="317"/>
      <c r="AI37" s="317"/>
      <c r="AJ37" s="317"/>
      <c r="AK37" s="317"/>
      <c r="AL37" s="317"/>
    </row>
    <row r="38" spans="1:38" ht="12.75" customHeight="1">
      <c r="A38" s="316"/>
      <c r="B38" s="466" t="s">
        <v>235</v>
      </c>
      <c r="C38" s="467" t="s">
        <v>146</v>
      </c>
      <c r="D38" s="467" t="s">
        <v>146</v>
      </c>
      <c r="E38" s="468" t="s">
        <v>146</v>
      </c>
      <c r="F38" s="468" t="s">
        <v>146</v>
      </c>
      <c r="G38" s="468" t="s">
        <v>146</v>
      </c>
      <c r="H38" s="468" t="s">
        <v>146</v>
      </c>
      <c r="I38" s="468" t="s">
        <v>146</v>
      </c>
      <c r="J38" s="468" t="s">
        <v>146</v>
      </c>
      <c r="K38" s="468" t="s">
        <v>146</v>
      </c>
      <c r="L38" s="468" t="s">
        <v>146</v>
      </c>
      <c r="M38" s="468" t="s">
        <v>146</v>
      </c>
      <c r="N38" s="468" t="s">
        <v>146</v>
      </c>
      <c r="O38" s="468" t="s">
        <v>146</v>
      </c>
      <c r="P38" s="468" t="s">
        <v>146</v>
      </c>
      <c r="Q38" s="468" t="s">
        <v>146</v>
      </c>
      <c r="R38" s="468" t="s">
        <v>146</v>
      </c>
      <c r="S38" s="468" t="s">
        <v>146</v>
      </c>
      <c r="T38" s="468" t="s">
        <v>146</v>
      </c>
      <c r="U38" s="468" t="s">
        <v>146</v>
      </c>
      <c r="V38" s="468" t="s">
        <v>146</v>
      </c>
      <c r="W38" s="468" t="s">
        <v>146</v>
      </c>
      <c r="X38" s="468" t="s">
        <v>146</v>
      </c>
      <c r="Y38" s="468" t="s">
        <v>146</v>
      </c>
      <c r="Z38" s="468" t="s">
        <v>146</v>
      </c>
      <c r="AA38" s="468" t="s">
        <v>146</v>
      </c>
      <c r="AB38" s="468" t="s">
        <v>146</v>
      </c>
      <c r="AC38" s="468" t="s">
        <v>146</v>
      </c>
      <c r="AD38" s="520" t="s">
        <v>146</v>
      </c>
      <c r="AE38" s="521" t="s">
        <v>146</v>
      </c>
      <c r="AF38" s="466" t="s">
        <v>235</v>
      </c>
      <c r="AH38" s="317"/>
      <c r="AI38" s="317"/>
      <c r="AJ38" s="317"/>
      <c r="AK38" s="317"/>
      <c r="AL38" s="317"/>
    </row>
    <row r="39" spans="1:38" ht="12.75" customHeight="1">
      <c r="A39" s="316"/>
      <c r="B39" s="365" t="s">
        <v>149</v>
      </c>
      <c r="C39" s="449" t="s">
        <v>146</v>
      </c>
      <c r="D39" s="449" t="s">
        <v>146</v>
      </c>
      <c r="E39" s="450" t="s">
        <v>146</v>
      </c>
      <c r="F39" s="450" t="s">
        <v>146</v>
      </c>
      <c r="G39" s="450" t="s">
        <v>146</v>
      </c>
      <c r="H39" s="450" t="s">
        <v>146</v>
      </c>
      <c r="I39" s="450" t="s">
        <v>146</v>
      </c>
      <c r="J39" s="450" t="s">
        <v>146</v>
      </c>
      <c r="K39" s="450" t="s">
        <v>146</v>
      </c>
      <c r="L39" s="450" t="s">
        <v>146</v>
      </c>
      <c r="M39" s="450" t="s">
        <v>146</v>
      </c>
      <c r="N39" s="450" t="s">
        <v>146</v>
      </c>
      <c r="O39" s="450" t="s">
        <v>146</v>
      </c>
      <c r="P39" s="450" t="s">
        <v>146</v>
      </c>
      <c r="Q39" s="450">
        <v>0.04</v>
      </c>
      <c r="R39" s="450">
        <v>0.121</v>
      </c>
      <c r="S39" s="450">
        <v>0.12</v>
      </c>
      <c r="T39" s="450">
        <v>0.149</v>
      </c>
      <c r="U39" s="450">
        <v>0.17</v>
      </c>
      <c r="V39" s="450">
        <v>0.164</v>
      </c>
      <c r="W39" s="450">
        <v>0.164</v>
      </c>
      <c r="X39" s="450">
        <v>0.144</v>
      </c>
      <c r="Y39" s="450">
        <v>0.123</v>
      </c>
      <c r="Z39" s="450">
        <v>0.098</v>
      </c>
      <c r="AA39" s="450">
        <v>0.037</v>
      </c>
      <c r="AB39" s="451" t="s">
        <v>146</v>
      </c>
      <c r="AC39" s="451" t="s">
        <v>146</v>
      </c>
      <c r="AD39" s="522" t="s">
        <v>146</v>
      </c>
      <c r="AE39" s="509" t="s">
        <v>146</v>
      </c>
      <c r="AF39" s="365" t="s">
        <v>149</v>
      </c>
      <c r="AH39" s="317"/>
      <c r="AI39" s="317"/>
      <c r="AJ39" s="317"/>
      <c r="AK39" s="317"/>
      <c r="AL39" s="317"/>
    </row>
    <row r="40" spans="1:38" ht="12.75" customHeight="1">
      <c r="A40" s="316"/>
      <c r="B40" s="466" t="s">
        <v>236</v>
      </c>
      <c r="C40" s="467" t="s">
        <v>146</v>
      </c>
      <c r="D40" s="467" t="s">
        <v>146</v>
      </c>
      <c r="E40" s="468" t="s">
        <v>146</v>
      </c>
      <c r="F40" s="468" t="s">
        <v>146</v>
      </c>
      <c r="G40" s="468" t="s">
        <v>146</v>
      </c>
      <c r="H40" s="468" t="s">
        <v>146</v>
      </c>
      <c r="I40" s="468" t="s">
        <v>146</v>
      </c>
      <c r="J40" s="468" t="s">
        <v>146</v>
      </c>
      <c r="K40" s="468" t="s">
        <v>146</v>
      </c>
      <c r="L40" s="468" t="s">
        <v>146</v>
      </c>
      <c r="M40" s="468" t="s">
        <v>146</v>
      </c>
      <c r="N40" s="468" t="s">
        <v>146</v>
      </c>
      <c r="O40" s="468" t="s">
        <v>146</v>
      </c>
      <c r="P40" s="468" t="s">
        <v>146</v>
      </c>
      <c r="Q40" s="468" t="s">
        <v>146</v>
      </c>
      <c r="R40" s="468" t="s">
        <v>146</v>
      </c>
      <c r="S40" s="468" t="s">
        <v>146</v>
      </c>
      <c r="T40" s="468" t="s">
        <v>146</v>
      </c>
      <c r="U40" s="468">
        <v>0.47</v>
      </c>
      <c r="V40" s="468">
        <v>0.452</v>
      </c>
      <c r="W40" s="468">
        <v>0.462</v>
      </c>
      <c r="X40" s="468">
        <v>0.402</v>
      </c>
      <c r="Y40" s="468">
        <v>0.381</v>
      </c>
      <c r="Z40" s="468">
        <v>0.311</v>
      </c>
      <c r="AA40" s="468">
        <v>0.295</v>
      </c>
      <c r="AB40" s="468">
        <v>0.381</v>
      </c>
      <c r="AC40" s="468">
        <v>0.355</v>
      </c>
      <c r="AD40" s="520">
        <v>0.405</v>
      </c>
      <c r="AE40" s="472">
        <f>AD40/AC40*100-100</f>
        <v>14.08450704225352</v>
      </c>
      <c r="AF40" s="466" t="s">
        <v>236</v>
      </c>
      <c r="AH40" s="317"/>
      <c r="AI40" s="317"/>
      <c r="AJ40" s="317"/>
      <c r="AK40" s="317"/>
      <c r="AL40" s="317"/>
    </row>
    <row r="41" spans="1:38" ht="12.75" customHeight="1">
      <c r="A41" s="316"/>
      <c r="B41" s="482" t="s">
        <v>150</v>
      </c>
      <c r="C41" s="483">
        <v>1.3</v>
      </c>
      <c r="D41" s="483">
        <v>13.8</v>
      </c>
      <c r="E41" s="485" t="s">
        <v>99</v>
      </c>
      <c r="F41" s="485" t="s">
        <v>226</v>
      </c>
      <c r="G41" s="485">
        <v>3.1</v>
      </c>
      <c r="H41" s="485">
        <v>3.1</v>
      </c>
      <c r="I41" s="485">
        <v>3.1</v>
      </c>
      <c r="J41" s="485">
        <v>3.2</v>
      </c>
      <c r="K41" s="485">
        <v>4</v>
      </c>
      <c r="L41" s="485">
        <v>21</v>
      </c>
      <c r="M41" s="485">
        <v>39.7</v>
      </c>
      <c r="N41" s="485">
        <v>43.478</v>
      </c>
      <c r="O41" s="485">
        <v>53.134</v>
      </c>
      <c r="P41" s="485">
        <v>43.518</v>
      </c>
      <c r="Q41" s="485">
        <v>47.691</v>
      </c>
      <c r="R41" s="485">
        <v>18.127734</v>
      </c>
      <c r="S41" s="485">
        <v>11.927373</v>
      </c>
      <c r="T41" s="485">
        <v>5.735652</v>
      </c>
      <c r="U41" s="485">
        <v>5.84076</v>
      </c>
      <c r="V41" s="485">
        <v>12.893485</v>
      </c>
      <c r="W41" s="485">
        <v>36.397749</v>
      </c>
      <c r="X41" s="485">
        <v>45.111153</v>
      </c>
      <c r="Y41" s="485">
        <v>39.636438</v>
      </c>
      <c r="Z41" s="485">
        <v>44.69</v>
      </c>
      <c r="AA41" s="485">
        <f>37268707/1000000</f>
        <v>37.268707</v>
      </c>
      <c r="AB41" s="485">
        <v>26.714</v>
      </c>
      <c r="AC41" s="485">
        <v>15.331</v>
      </c>
      <c r="AD41" s="523">
        <v>52.514452</v>
      </c>
      <c r="AE41" s="524">
        <f>AD41/AC41*100-100</f>
        <v>242.5376818211467</v>
      </c>
      <c r="AF41" s="482" t="s">
        <v>150</v>
      </c>
      <c r="AH41" s="317"/>
      <c r="AI41" s="317"/>
      <c r="AJ41" s="317"/>
      <c r="AK41" s="317"/>
      <c r="AL41" s="317"/>
    </row>
    <row r="42" spans="1:38" ht="12.75" customHeight="1">
      <c r="A42" s="316"/>
      <c r="B42" s="466" t="s">
        <v>151</v>
      </c>
      <c r="C42" s="474" t="s">
        <v>146</v>
      </c>
      <c r="D42" s="474" t="s">
        <v>146</v>
      </c>
      <c r="E42" s="475" t="s">
        <v>146</v>
      </c>
      <c r="F42" s="475" t="s">
        <v>146</v>
      </c>
      <c r="G42" s="475" t="s">
        <v>146</v>
      </c>
      <c r="H42" s="475" t="s">
        <v>146</v>
      </c>
      <c r="I42" s="475" t="s">
        <v>146</v>
      </c>
      <c r="J42" s="475" t="s">
        <v>146</v>
      </c>
      <c r="K42" s="475" t="s">
        <v>146</v>
      </c>
      <c r="L42" s="475" t="s">
        <v>146</v>
      </c>
      <c r="M42" s="475" t="s">
        <v>146</v>
      </c>
      <c r="N42" s="475" t="s">
        <v>146</v>
      </c>
      <c r="O42" s="475" t="s">
        <v>146</v>
      </c>
      <c r="P42" s="475" t="s">
        <v>146</v>
      </c>
      <c r="Q42" s="475" t="s">
        <v>146</v>
      </c>
      <c r="R42" s="475" t="s">
        <v>146</v>
      </c>
      <c r="S42" s="475" t="s">
        <v>146</v>
      </c>
      <c r="T42" s="475" t="s">
        <v>146</v>
      </c>
      <c r="U42" s="475" t="s">
        <v>146</v>
      </c>
      <c r="V42" s="475" t="s">
        <v>146</v>
      </c>
      <c r="W42" s="475" t="s">
        <v>146</v>
      </c>
      <c r="X42" s="475" t="s">
        <v>146</v>
      </c>
      <c r="Y42" s="475" t="s">
        <v>146</v>
      </c>
      <c r="Z42" s="475" t="s">
        <v>146</v>
      </c>
      <c r="AA42" s="475" t="s">
        <v>146</v>
      </c>
      <c r="AB42" s="468" t="s">
        <v>146</v>
      </c>
      <c r="AC42" s="468" t="s">
        <v>146</v>
      </c>
      <c r="AD42" s="520" t="s">
        <v>146</v>
      </c>
      <c r="AE42" s="521" t="s">
        <v>146</v>
      </c>
      <c r="AF42" s="466" t="s">
        <v>151</v>
      </c>
      <c r="AH42" s="317"/>
      <c r="AI42" s="317"/>
      <c r="AJ42" s="317"/>
      <c r="AK42" s="317"/>
      <c r="AL42" s="317"/>
    </row>
    <row r="43" spans="1:38" ht="12.75" customHeight="1">
      <c r="A43" s="316"/>
      <c r="B43" s="365" t="s">
        <v>152</v>
      </c>
      <c r="C43" s="449" t="s">
        <v>146</v>
      </c>
      <c r="D43" s="449" t="s">
        <v>146</v>
      </c>
      <c r="E43" s="450">
        <v>2.055</v>
      </c>
      <c r="F43" s="450">
        <v>2.505</v>
      </c>
      <c r="G43" s="450">
        <v>3.071</v>
      </c>
      <c r="H43" s="450">
        <v>3.39</v>
      </c>
      <c r="I43" s="450">
        <v>4.049</v>
      </c>
      <c r="J43" s="450">
        <v>5.261</v>
      </c>
      <c r="K43" s="450">
        <v>5.126</v>
      </c>
      <c r="L43" s="450">
        <v>4.16</v>
      </c>
      <c r="M43" s="450">
        <v>4.136</v>
      </c>
      <c r="N43" s="450">
        <v>3.981</v>
      </c>
      <c r="O43" s="450">
        <v>3.485</v>
      </c>
      <c r="P43" s="450">
        <v>3.681</v>
      </c>
      <c r="Q43" s="450">
        <v>3.601</v>
      </c>
      <c r="R43" s="450">
        <v>3.494</v>
      </c>
      <c r="S43" s="450">
        <v>4.721</v>
      </c>
      <c r="T43" s="450">
        <v>4.59</v>
      </c>
      <c r="U43" s="450">
        <v>4.529</v>
      </c>
      <c r="V43" s="450">
        <v>4.192</v>
      </c>
      <c r="W43" s="450">
        <v>3.827</v>
      </c>
      <c r="X43" s="450">
        <v>3.854</v>
      </c>
      <c r="Y43" s="450">
        <v>3.465</v>
      </c>
      <c r="Z43" s="450">
        <v>3.372</v>
      </c>
      <c r="AA43" s="450">
        <v>3.115</v>
      </c>
      <c r="AB43" s="450">
        <v>2.724</v>
      </c>
      <c r="AC43" s="450">
        <v>2.845</v>
      </c>
      <c r="AD43" s="459">
        <v>3.377</v>
      </c>
      <c r="AE43" s="452">
        <f>AD43/AC43*100-100</f>
        <v>18.699472759226694</v>
      </c>
      <c r="AF43" s="365" t="s">
        <v>152</v>
      </c>
      <c r="AH43" s="317"/>
      <c r="AI43" s="317"/>
      <c r="AJ43" s="317"/>
      <c r="AK43" s="317"/>
      <c r="AL43" s="317"/>
    </row>
    <row r="44" spans="1:32" ht="12.75" customHeight="1">
      <c r="A44" s="316"/>
      <c r="B44" s="525" t="s">
        <v>153</v>
      </c>
      <c r="C44" s="526">
        <v>1.2</v>
      </c>
      <c r="D44" s="526">
        <v>1.1</v>
      </c>
      <c r="E44" s="527">
        <v>1.2</v>
      </c>
      <c r="F44" s="470">
        <v>1.227</v>
      </c>
      <c r="G44" s="470">
        <v>1.265</v>
      </c>
      <c r="H44" s="470">
        <v>1.221</v>
      </c>
      <c r="I44" s="470">
        <v>1.211</v>
      </c>
      <c r="J44" s="528">
        <v>1.248</v>
      </c>
      <c r="K44" s="470">
        <v>1.202</v>
      </c>
      <c r="L44" s="470">
        <v>0.289</v>
      </c>
      <c r="M44" s="470">
        <v>0.234</v>
      </c>
      <c r="N44" s="470">
        <v>0.233</v>
      </c>
      <c r="O44" s="470">
        <v>0.216</v>
      </c>
      <c r="P44" s="470">
        <v>0.23</v>
      </c>
      <c r="Q44" s="470">
        <v>0.226</v>
      </c>
      <c r="R44" s="470">
        <v>0.222</v>
      </c>
      <c r="S44" s="470">
        <v>0.238</v>
      </c>
      <c r="T44" s="470">
        <v>0.226</v>
      </c>
      <c r="U44" s="470">
        <v>0.256</v>
      </c>
      <c r="V44" s="470">
        <v>0.217</v>
      </c>
      <c r="W44" s="470">
        <v>0.248</v>
      </c>
      <c r="X44" s="470">
        <v>0.233</v>
      </c>
      <c r="Y44" s="470">
        <v>0.218</v>
      </c>
      <c r="Z44" s="470">
        <v>0.203</v>
      </c>
      <c r="AA44" s="470">
        <v>0.183</v>
      </c>
      <c r="AB44" s="470">
        <v>0.228</v>
      </c>
      <c r="AC44" s="470">
        <v>0.237</v>
      </c>
      <c r="AD44" s="471" t="s">
        <v>146</v>
      </c>
      <c r="AE44" s="529" t="s">
        <v>146</v>
      </c>
      <c r="AF44" s="525" t="s">
        <v>153</v>
      </c>
    </row>
    <row r="45" spans="2:19" ht="15" customHeight="1">
      <c r="B45" s="490" t="s">
        <v>247</v>
      </c>
      <c r="C45" s="530"/>
      <c r="D45" s="530"/>
      <c r="E45" s="530"/>
      <c r="F45" s="530"/>
      <c r="G45" s="530"/>
      <c r="H45" s="530"/>
      <c r="I45" s="530"/>
      <c r="J45" s="530"/>
      <c r="K45" s="530"/>
      <c r="L45" s="530"/>
      <c r="M45" s="530"/>
      <c r="N45" s="530"/>
      <c r="O45" s="530"/>
      <c r="P45" s="530"/>
      <c r="Q45" s="530"/>
      <c r="R45" s="530"/>
      <c r="S45" s="530"/>
    </row>
    <row r="46" spans="2:19" ht="12.75" customHeight="1">
      <c r="B46" s="1265" t="s">
        <v>173</v>
      </c>
      <c r="C46" s="1265"/>
      <c r="D46" s="1265"/>
      <c r="E46" s="1265"/>
      <c r="F46" s="1265"/>
      <c r="G46" s="1265"/>
      <c r="H46" s="1265"/>
      <c r="I46" s="1265"/>
      <c r="J46" s="1265"/>
      <c r="K46" s="1265"/>
      <c r="L46" s="1265"/>
      <c r="M46" s="1265"/>
      <c r="N46" s="1265"/>
      <c r="O46" s="1265"/>
      <c r="P46" s="1265"/>
      <c r="Q46" s="1265"/>
      <c r="R46" s="1265"/>
      <c r="S46" s="1265"/>
    </row>
    <row r="47" spans="2:33" ht="15" customHeight="1">
      <c r="B47" s="1266" t="s">
        <v>293</v>
      </c>
      <c r="C47" s="1266"/>
      <c r="D47" s="1266"/>
      <c r="E47" s="1266"/>
      <c r="F47" s="1266"/>
      <c r="G47" s="1266"/>
      <c r="H47" s="1266"/>
      <c r="I47" s="1266"/>
      <c r="J47" s="1266"/>
      <c r="K47" s="1266"/>
      <c r="L47" s="1266"/>
      <c r="M47" s="1266"/>
      <c r="N47" s="1266"/>
      <c r="O47" s="1266"/>
      <c r="P47" s="1266"/>
      <c r="Q47" s="1266"/>
      <c r="R47" s="1266"/>
      <c r="S47" s="1266"/>
      <c r="T47" s="1266"/>
      <c r="U47" s="1266"/>
      <c r="V47" s="1266"/>
      <c r="W47" s="1266"/>
      <c r="X47" s="1266"/>
      <c r="Y47" s="1266"/>
      <c r="Z47" s="1266"/>
      <c r="AA47" s="1266"/>
      <c r="AB47" s="1266"/>
      <c r="AC47" s="1266"/>
      <c r="AD47" s="1266"/>
      <c r="AE47" s="1266"/>
      <c r="AF47" s="1266"/>
      <c r="AG47" s="1266"/>
    </row>
    <row r="48" spans="2:32" ht="12.75" customHeight="1">
      <c r="B48" s="531" t="s">
        <v>248</v>
      </c>
      <c r="C48" s="418"/>
      <c r="D48" s="418"/>
      <c r="E48" s="418"/>
      <c r="F48" s="418"/>
      <c r="G48" s="418"/>
      <c r="H48" s="418"/>
      <c r="I48" s="418"/>
      <c r="J48" s="418"/>
      <c r="K48" s="418"/>
      <c r="L48" s="418"/>
      <c r="M48" s="418"/>
      <c r="N48" s="418"/>
      <c r="O48" s="418"/>
      <c r="P48" s="418"/>
      <c r="Q48" s="418"/>
      <c r="R48" s="418"/>
      <c r="S48" s="418"/>
      <c r="T48" s="418"/>
      <c r="U48" s="418"/>
      <c r="V48" s="418"/>
      <c r="W48" s="418"/>
      <c r="X48" s="418"/>
      <c r="AA48" s="418"/>
      <c r="AB48" s="418"/>
      <c r="AC48" s="418"/>
      <c r="AD48" s="418"/>
      <c r="AE48" s="418"/>
      <c r="AF48" s="418"/>
    </row>
    <row r="49" spans="2:32" ht="16.5" customHeight="1">
      <c r="B49" s="531" t="s">
        <v>249</v>
      </c>
      <c r="C49" s="418"/>
      <c r="D49" s="418"/>
      <c r="E49" s="418"/>
      <c r="F49" s="418"/>
      <c r="G49" s="418"/>
      <c r="H49" s="418"/>
      <c r="I49" s="418"/>
      <c r="J49" s="418"/>
      <c r="K49" s="418"/>
      <c r="L49" s="418"/>
      <c r="M49" s="418"/>
      <c r="N49" s="418"/>
      <c r="O49" s="418"/>
      <c r="X49" s="418"/>
      <c r="AA49" s="418"/>
      <c r="AB49" s="418"/>
      <c r="AC49" s="418"/>
      <c r="AD49" s="418"/>
      <c r="AE49" s="418"/>
      <c r="AF49" s="418"/>
    </row>
    <row r="52" spans="27:30" ht="11.25">
      <c r="AA52" s="418"/>
      <c r="AB52" s="418"/>
      <c r="AC52" s="418"/>
      <c r="AD52" s="418"/>
    </row>
    <row r="53" spans="27:30" ht="11.25">
      <c r="AA53" s="418"/>
      <c r="AB53" s="418"/>
      <c r="AC53" s="418"/>
      <c r="AD53" s="418"/>
    </row>
  </sheetData>
  <sheetProtection/>
  <mergeCells count="4">
    <mergeCell ref="B2:AF2"/>
    <mergeCell ref="W3:X3"/>
    <mergeCell ref="B46:S46"/>
    <mergeCell ref="B47:AG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70C0"/>
  </sheetPr>
  <dimension ref="B1:H53"/>
  <sheetViews>
    <sheetView zoomScalePageLayoutView="0" workbookViewId="0" topLeftCell="A1">
      <selection activeCell="I11" sqref="I11"/>
    </sheetView>
  </sheetViews>
  <sheetFormatPr defaultColWidth="9.140625" defaultRowHeight="12.75"/>
  <cols>
    <col min="1" max="1" width="3.140625" style="317" customWidth="1"/>
    <col min="2" max="2" width="4.00390625" style="317" customWidth="1"/>
    <col min="3" max="6" width="10.7109375" style="317" customWidth="1"/>
    <col min="7" max="7" width="5.57421875" style="317" customWidth="1"/>
    <col min="8" max="16384" width="9.140625" style="317" customWidth="1"/>
  </cols>
  <sheetData>
    <row r="1" spans="2:7" ht="15.75">
      <c r="B1" s="541"/>
      <c r="C1" s="415"/>
      <c r="D1" s="415"/>
      <c r="E1" s="415"/>
      <c r="G1" s="542" t="s">
        <v>139</v>
      </c>
    </row>
    <row r="2" spans="2:7" ht="12.75">
      <c r="B2" s="1267" t="s">
        <v>168</v>
      </c>
      <c r="C2" s="1267"/>
      <c r="D2" s="1267"/>
      <c r="E2" s="1267"/>
      <c r="F2" s="1267"/>
      <c r="G2" s="1267"/>
    </row>
    <row r="3" spans="2:7" ht="19.5" customHeight="1">
      <c r="B3" s="1267"/>
      <c r="C3" s="1267"/>
      <c r="D3" s="1267"/>
      <c r="E3" s="1267"/>
      <c r="F3" s="1267"/>
      <c r="G3" s="1267"/>
    </row>
    <row r="4" spans="2:7" ht="12.75">
      <c r="B4" s="1268">
        <v>2015</v>
      </c>
      <c r="C4" s="1268"/>
      <c r="D4" s="1268"/>
      <c r="E4" s="1268"/>
      <c r="F4" s="1268"/>
      <c r="G4" s="1268"/>
    </row>
    <row r="5" spans="2:6" ht="12.75">
      <c r="B5" s="1269" t="s">
        <v>169</v>
      </c>
      <c r="C5" s="1269"/>
      <c r="D5" s="1269"/>
      <c r="E5" s="1269"/>
      <c r="F5" s="1269"/>
    </row>
    <row r="6" spans="2:7" ht="28.5" customHeight="1">
      <c r="B6" s="543"/>
      <c r="C6" s="544" t="s">
        <v>170</v>
      </c>
      <c r="D6" s="545" t="s">
        <v>171</v>
      </c>
      <c r="E6" s="545" t="s">
        <v>22</v>
      </c>
      <c r="F6" s="546" t="s">
        <v>172</v>
      </c>
      <c r="G6" s="547"/>
    </row>
    <row r="7" spans="2:8" ht="12.75">
      <c r="B7" s="336" t="s">
        <v>250</v>
      </c>
      <c r="C7" s="548">
        <v>81.2687621448652</v>
      </c>
      <c r="D7" s="548">
        <v>9.35896263140987</v>
      </c>
      <c r="E7" s="548">
        <v>7.609559357431052</v>
      </c>
      <c r="F7" s="548">
        <v>1.762715866293874</v>
      </c>
      <c r="G7" s="336" t="s">
        <v>250</v>
      </c>
      <c r="H7" s="549"/>
    </row>
    <row r="8" spans="2:8" ht="12.75">
      <c r="B8" s="346" t="s">
        <v>89</v>
      </c>
      <c r="C8" s="550">
        <v>82.17275886356144</v>
      </c>
      <c r="D8" s="498">
        <v>8.387603023866394</v>
      </c>
      <c r="E8" s="498">
        <v>7.922560883708063</v>
      </c>
      <c r="F8" s="498">
        <v>1.5170772288640892</v>
      </c>
      <c r="G8" s="346" t="s">
        <v>89</v>
      </c>
      <c r="H8" s="549"/>
    </row>
    <row r="9" spans="2:8" ht="12.75">
      <c r="B9" s="355" t="s">
        <v>251</v>
      </c>
      <c r="C9" s="551">
        <v>75.67071997177615</v>
      </c>
      <c r="D9" s="500">
        <v>15.37415266009263</v>
      </c>
      <c r="E9" s="500">
        <v>5.671282693255784</v>
      </c>
      <c r="F9" s="500">
        <v>3.283844674875435</v>
      </c>
      <c r="G9" s="355" t="s">
        <v>251</v>
      </c>
      <c r="H9" s="549"/>
    </row>
    <row r="10" spans="2:8" ht="12.75">
      <c r="B10" s="473" t="s">
        <v>81</v>
      </c>
      <c r="C10" s="515">
        <v>72.59160518164033</v>
      </c>
      <c r="D10" s="515">
        <v>9.539110504672903</v>
      </c>
      <c r="E10" s="515">
        <v>11.214836421542298</v>
      </c>
      <c r="F10" s="515">
        <v>6.654447892144476</v>
      </c>
      <c r="G10" s="473" t="s">
        <v>81</v>
      </c>
      <c r="H10" s="549"/>
    </row>
    <row r="11" spans="2:8" ht="12.75">
      <c r="B11" s="365" t="s">
        <v>60</v>
      </c>
      <c r="C11" s="502">
        <v>80.01571684793521</v>
      </c>
      <c r="D11" s="451">
        <v>11.33385893472904</v>
      </c>
      <c r="E11" s="502">
        <v>7.722025855933988</v>
      </c>
      <c r="F11" s="502">
        <v>0.928398361401765</v>
      </c>
      <c r="G11" s="365" t="s">
        <v>60</v>
      </c>
      <c r="H11" s="549"/>
    </row>
    <row r="12" spans="2:8" ht="9.75" customHeight="1">
      <c r="B12" s="346" t="s">
        <v>101</v>
      </c>
      <c r="C12" s="462">
        <v>79.34569906300054</v>
      </c>
      <c r="D12" s="462">
        <v>17.45865046192257</v>
      </c>
      <c r="E12" s="462">
        <v>2.162092226216666</v>
      </c>
      <c r="F12" s="462">
        <v>1.0335582488602095</v>
      </c>
      <c r="G12" s="346" t="s">
        <v>101</v>
      </c>
      <c r="H12" s="549"/>
    </row>
    <row r="13" spans="2:8" ht="12.75">
      <c r="B13" s="365" t="s">
        <v>71</v>
      </c>
      <c r="C13" s="451">
        <v>81.28858794910143</v>
      </c>
      <c r="D13" s="451">
        <v>18.711412050898577</v>
      </c>
      <c r="E13" s="553" t="s">
        <v>146</v>
      </c>
      <c r="F13" s="553" t="s">
        <v>146</v>
      </c>
      <c r="G13" s="365" t="s">
        <v>71</v>
      </c>
      <c r="H13" s="549"/>
    </row>
    <row r="14" spans="2:8" ht="12.75">
      <c r="B14" s="365" t="s">
        <v>61</v>
      </c>
      <c r="C14" s="511">
        <v>67.07182713837454</v>
      </c>
      <c r="D14" s="451">
        <v>15.648553440480189</v>
      </c>
      <c r="E14" s="451">
        <v>7.818070375142288</v>
      </c>
      <c r="F14" s="451">
        <v>9.461549046002968</v>
      </c>
      <c r="G14" s="365" t="s">
        <v>61</v>
      </c>
      <c r="H14" s="549"/>
    </row>
    <row r="15" spans="2:8" ht="12.75">
      <c r="B15" s="365" t="s">
        <v>63</v>
      </c>
      <c r="C15" s="451">
        <v>84.27156275644036</v>
      </c>
      <c r="D15" s="451">
        <v>5.909812275605157</v>
      </c>
      <c r="E15" s="451">
        <v>8.284434069986311</v>
      </c>
      <c r="F15" s="451">
        <v>1.5341908979681593</v>
      </c>
      <c r="G15" s="365" t="s">
        <v>63</v>
      </c>
      <c r="H15" s="549"/>
    </row>
    <row r="16" spans="2:8" ht="12.75">
      <c r="B16" s="346" t="s">
        <v>14</v>
      </c>
      <c r="C16" s="552">
        <v>80.46665907408462</v>
      </c>
      <c r="D16" s="462">
        <v>9.842833551620064</v>
      </c>
      <c r="E16" s="462">
        <v>9.262001024998574</v>
      </c>
      <c r="F16" s="462">
        <v>0.428506349296737</v>
      </c>
      <c r="G16" s="346" t="s">
        <v>14</v>
      </c>
      <c r="H16" s="549"/>
    </row>
    <row r="17" spans="2:8" ht="12.75">
      <c r="B17" s="346" t="s">
        <v>64</v>
      </c>
      <c r="C17" s="462">
        <v>77.39735736412958</v>
      </c>
      <c r="D17" s="462">
        <v>19.74742010390864</v>
      </c>
      <c r="E17" s="462">
        <v>1.7949835120953932</v>
      </c>
      <c r="F17" s="462">
        <v>1.0602390198663876</v>
      </c>
      <c r="G17" s="346" t="s">
        <v>64</v>
      </c>
      <c r="H17" s="549"/>
    </row>
    <row r="18" spans="2:8" ht="12.75">
      <c r="B18" s="346" t="s">
        <v>15</v>
      </c>
      <c r="C18" s="462">
        <v>80.3162899629382</v>
      </c>
      <c r="D18" s="462">
        <v>17.28351243439814</v>
      </c>
      <c r="E18" s="462">
        <v>1.0321919557621135</v>
      </c>
      <c r="F18" s="462">
        <v>1.36800564690153</v>
      </c>
      <c r="G18" s="346" t="s">
        <v>15</v>
      </c>
      <c r="H18" s="549"/>
    </row>
    <row r="19" spans="2:8" ht="12.75">
      <c r="B19" s="365" t="s">
        <v>66</v>
      </c>
      <c r="C19" s="502">
        <v>79.8943206002622</v>
      </c>
      <c r="D19" s="502">
        <v>11.671178160261636</v>
      </c>
      <c r="E19" s="502">
        <v>6.603578718497643</v>
      </c>
      <c r="F19" s="502">
        <v>1.8309225209785076</v>
      </c>
      <c r="G19" s="365" t="s">
        <v>66</v>
      </c>
      <c r="H19" s="549"/>
    </row>
    <row r="20" spans="2:8" ht="12.75">
      <c r="B20" s="466" t="s">
        <v>87</v>
      </c>
      <c r="C20" s="515">
        <v>84.49008539207604</v>
      </c>
      <c r="D20" s="515">
        <v>9.609401068802374</v>
      </c>
      <c r="E20" s="515">
        <v>5.243113527460605</v>
      </c>
      <c r="F20" s="515">
        <v>0.6574000116609575</v>
      </c>
      <c r="G20" s="466" t="s">
        <v>87</v>
      </c>
      <c r="H20" s="549"/>
    </row>
    <row r="21" spans="2:8" ht="12.75">
      <c r="B21" s="346" t="s">
        <v>67</v>
      </c>
      <c r="C21" s="462">
        <v>80.47732984820085</v>
      </c>
      <c r="D21" s="462">
        <v>7.816383044945424</v>
      </c>
      <c r="E21" s="462">
        <v>9.904996744951589</v>
      </c>
      <c r="F21" s="462">
        <v>1.801290361902141</v>
      </c>
      <c r="G21" s="346" t="s">
        <v>67</v>
      </c>
      <c r="H21" s="549"/>
    </row>
    <row r="22" spans="2:8" ht="12.75">
      <c r="B22" s="365" t="s">
        <v>148</v>
      </c>
      <c r="C22" s="451">
        <v>84.29853608068693</v>
      </c>
      <c r="D22" s="451">
        <v>10.786047677205309</v>
      </c>
      <c r="E22" s="451">
        <v>3.005528831581343</v>
      </c>
      <c r="F22" s="451">
        <v>1.909887410526429</v>
      </c>
      <c r="G22" s="365" t="s">
        <v>148</v>
      </c>
      <c r="H22" s="549"/>
    </row>
    <row r="23" spans="2:8" ht="12.75">
      <c r="B23" s="365" t="s">
        <v>77</v>
      </c>
      <c r="C23" s="451">
        <v>65.80907085196947</v>
      </c>
      <c r="D23" s="451">
        <v>21.46894019998683</v>
      </c>
      <c r="E23" s="451">
        <v>9.170580739384935</v>
      </c>
      <c r="F23" s="451">
        <v>3.551408208658772</v>
      </c>
      <c r="G23" s="365" t="s">
        <v>77</v>
      </c>
      <c r="H23" s="549"/>
    </row>
    <row r="24" spans="2:8" ht="12.75">
      <c r="B24" s="365" t="s">
        <v>68</v>
      </c>
      <c r="C24" s="451">
        <v>80.13523101660938</v>
      </c>
      <c r="D24" s="502">
        <v>16.626746420990745</v>
      </c>
      <c r="E24" s="502">
        <v>2.960682155698552</v>
      </c>
      <c r="F24" s="502">
        <v>0.27734040670131493</v>
      </c>
      <c r="G24" s="365" t="s">
        <v>68</v>
      </c>
      <c r="H24" s="549"/>
    </row>
    <row r="25" spans="2:8" ht="12.75">
      <c r="B25" s="466" t="s">
        <v>69</v>
      </c>
      <c r="C25" s="515">
        <v>80.7484323969708</v>
      </c>
      <c r="D25" s="515">
        <v>12.247626608605534</v>
      </c>
      <c r="E25" s="515">
        <v>6.204689260433652</v>
      </c>
      <c r="F25" s="515">
        <v>0.7992517339900073</v>
      </c>
      <c r="G25" s="466" t="s">
        <v>69</v>
      </c>
      <c r="H25" s="549"/>
    </row>
    <row r="26" spans="2:8" ht="12.75">
      <c r="B26" s="365" t="s">
        <v>73</v>
      </c>
      <c r="C26" s="451">
        <v>89.20965697317249</v>
      </c>
      <c r="D26" s="451">
        <v>9.850349858640454</v>
      </c>
      <c r="E26" s="451">
        <v>0.9399931681870578</v>
      </c>
      <c r="F26" s="553" t="s">
        <v>146</v>
      </c>
      <c r="G26" s="365" t="s">
        <v>73</v>
      </c>
      <c r="H26" s="549"/>
    </row>
    <row r="27" spans="2:8" ht="12.75">
      <c r="B27" s="466" t="s">
        <v>76</v>
      </c>
      <c r="C27" s="515">
        <v>82.89405231842004</v>
      </c>
      <c r="D27" s="515">
        <v>12.373258386036055</v>
      </c>
      <c r="E27" s="515">
        <v>4.732689295543934</v>
      </c>
      <c r="F27" s="554" t="s">
        <v>146</v>
      </c>
      <c r="G27" s="466" t="s">
        <v>76</v>
      </c>
      <c r="H27" s="549"/>
    </row>
    <row r="28" spans="2:8" ht="12.75">
      <c r="B28" s="466" t="s">
        <v>72</v>
      </c>
      <c r="C28" s="515">
        <v>81.69227625967292</v>
      </c>
      <c r="D28" s="515">
        <v>13.95861409661979</v>
      </c>
      <c r="E28" s="515">
        <v>3.5590243375132555</v>
      </c>
      <c r="F28" s="515">
        <v>0.7900853061940234</v>
      </c>
      <c r="G28" s="466" t="s">
        <v>72</v>
      </c>
      <c r="H28" s="549"/>
    </row>
    <row r="29" spans="2:8" ht="12.75">
      <c r="B29" s="466" t="s">
        <v>78</v>
      </c>
      <c r="C29" s="515">
        <v>82.26406207924163</v>
      </c>
      <c r="D29" s="515">
        <v>17.73593792075837</v>
      </c>
      <c r="E29" s="554" t="s">
        <v>146</v>
      </c>
      <c r="F29" s="554" t="s">
        <v>146</v>
      </c>
      <c r="G29" s="466" t="s">
        <v>78</v>
      </c>
      <c r="H29" s="549"/>
    </row>
    <row r="30" spans="2:8" ht="12.75">
      <c r="B30" s="365" t="s">
        <v>16</v>
      </c>
      <c r="C30" s="451">
        <v>85.66000381203003</v>
      </c>
      <c r="D30" s="451">
        <v>3.0026218842116394</v>
      </c>
      <c r="E30" s="451">
        <v>10.773903580234009</v>
      </c>
      <c r="F30" s="451">
        <v>0.5634707235243219</v>
      </c>
      <c r="G30" s="365" t="s">
        <v>16</v>
      </c>
      <c r="H30" s="549"/>
    </row>
    <row r="31" spans="2:8" ht="12.75">
      <c r="B31" s="365" t="s">
        <v>80</v>
      </c>
      <c r="C31" s="451">
        <v>77.25807636037938</v>
      </c>
      <c r="D31" s="451">
        <v>14.47553726690461</v>
      </c>
      <c r="E31" s="451">
        <v>6.640720129894503</v>
      </c>
      <c r="F31" s="451">
        <v>1.6256662428215094</v>
      </c>
      <c r="G31" s="365" t="s">
        <v>80</v>
      </c>
      <c r="H31" s="549"/>
    </row>
    <row r="32" spans="2:8" ht="12.75">
      <c r="B32" s="466" t="s">
        <v>92</v>
      </c>
      <c r="C32" s="515">
        <v>88.4660732792668</v>
      </c>
      <c r="D32" s="515">
        <v>6.333229714357069</v>
      </c>
      <c r="E32" s="515">
        <v>4.144301303077711</v>
      </c>
      <c r="F32" s="515">
        <v>1.0563957032984432</v>
      </c>
      <c r="G32" s="466" t="s">
        <v>92</v>
      </c>
      <c r="H32" s="549"/>
    </row>
    <row r="33" spans="2:8" ht="12.75">
      <c r="B33" s="365" t="s">
        <v>102</v>
      </c>
      <c r="C33" s="451">
        <v>74.82044740215835</v>
      </c>
      <c r="D33" s="451">
        <v>14.54591024160604</v>
      </c>
      <c r="E33" s="451">
        <v>4.286093865479244</v>
      </c>
      <c r="F33" s="451">
        <v>6.347548490756363</v>
      </c>
      <c r="G33" s="365" t="s">
        <v>102</v>
      </c>
      <c r="H33" s="549"/>
    </row>
    <row r="34" spans="2:8" ht="12.75">
      <c r="B34" s="365" t="s">
        <v>88</v>
      </c>
      <c r="C34" s="451">
        <v>81.69921980307207</v>
      </c>
      <c r="D34" s="451">
        <v>7.175989363188857</v>
      </c>
      <c r="E34" s="451">
        <v>9.3000997331288</v>
      </c>
      <c r="F34" s="451">
        <v>1.824691100610264</v>
      </c>
      <c r="G34" s="365" t="s">
        <v>88</v>
      </c>
      <c r="H34" s="549"/>
    </row>
    <row r="35" spans="2:8" ht="12.75">
      <c r="B35" s="466" t="s">
        <v>83</v>
      </c>
      <c r="C35" s="515">
        <v>86.07948043943787</v>
      </c>
      <c r="D35" s="515">
        <v>11.84109173139048</v>
      </c>
      <c r="E35" s="515">
        <v>2.079427829171645</v>
      </c>
      <c r="F35" s="554" t="s">
        <v>146</v>
      </c>
      <c r="G35" s="466" t="s">
        <v>83</v>
      </c>
      <c r="H35" s="549"/>
    </row>
    <row r="36" spans="2:8" ht="12.75">
      <c r="B36" s="365" t="s">
        <v>85</v>
      </c>
      <c r="C36" s="451">
        <v>75.30272359538345</v>
      </c>
      <c r="D36" s="451">
        <v>14.681529626185528</v>
      </c>
      <c r="E36" s="451">
        <v>9.329758824011224</v>
      </c>
      <c r="F36" s="451">
        <v>0.6859879544197709</v>
      </c>
      <c r="G36" s="365" t="s">
        <v>85</v>
      </c>
      <c r="H36" s="549"/>
    </row>
    <row r="37" spans="2:8" ht="12.75">
      <c r="B37" s="466" t="s">
        <v>13</v>
      </c>
      <c r="C37" s="515">
        <v>84.52219234365657</v>
      </c>
      <c r="D37" s="515">
        <v>5.2441010847803025</v>
      </c>
      <c r="E37" s="515">
        <v>8.534388919811944</v>
      </c>
      <c r="F37" s="515">
        <v>1.6993176517511952</v>
      </c>
      <c r="G37" s="466" t="s">
        <v>13</v>
      </c>
      <c r="H37" s="549"/>
    </row>
    <row r="38" spans="2:8" ht="12.75">
      <c r="B38" s="517" t="s">
        <v>289</v>
      </c>
      <c r="C38" s="555">
        <v>88.211894965975</v>
      </c>
      <c r="D38" s="555">
        <v>11.720473435640908</v>
      </c>
      <c r="E38" s="555">
        <v>0.0676315983840853</v>
      </c>
      <c r="F38" s="556" t="s">
        <v>146</v>
      </c>
      <c r="G38" s="517" t="s">
        <v>289</v>
      </c>
      <c r="H38" s="549"/>
    </row>
    <row r="39" spans="2:8" ht="12.75">
      <c r="B39" s="466" t="s">
        <v>235</v>
      </c>
      <c r="C39" s="515">
        <v>95.542100421165</v>
      </c>
      <c r="D39" s="515">
        <v>2.563617910573709</v>
      </c>
      <c r="E39" s="515">
        <v>1.894281668261286</v>
      </c>
      <c r="F39" s="554" t="s">
        <v>146</v>
      </c>
      <c r="G39" s="466" t="s">
        <v>235</v>
      </c>
      <c r="H39" s="549"/>
    </row>
    <row r="40" spans="2:8" ht="12.75">
      <c r="B40" s="365" t="s">
        <v>149</v>
      </c>
      <c r="C40" s="451">
        <v>83.0599144079886</v>
      </c>
      <c r="D40" s="451">
        <v>14.835948644793154</v>
      </c>
      <c r="E40" s="451">
        <v>2.10413694721826</v>
      </c>
      <c r="F40" s="553" t="s">
        <v>146</v>
      </c>
      <c r="G40" s="365" t="s">
        <v>149</v>
      </c>
      <c r="H40" s="549"/>
    </row>
    <row r="41" spans="2:8" ht="12.75">
      <c r="B41" s="466" t="s">
        <v>236</v>
      </c>
      <c r="C41" s="515">
        <v>73.57538221878266</v>
      </c>
      <c r="D41" s="515">
        <v>24.021282753286492</v>
      </c>
      <c r="E41" s="515">
        <v>1.3085223588851482</v>
      </c>
      <c r="F41" s="515">
        <v>1.0948126690456916</v>
      </c>
      <c r="G41" s="466" t="s">
        <v>236</v>
      </c>
      <c r="H41" s="549"/>
    </row>
    <row r="42" spans="2:8" ht="12.75">
      <c r="B42" s="482" t="s">
        <v>150</v>
      </c>
      <c r="C42" s="557"/>
      <c r="D42" s="557"/>
      <c r="E42" s="557"/>
      <c r="F42" s="557"/>
      <c r="G42" s="482" t="s">
        <v>150</v>
      </c>
      <c r="H42" s="549"/>
    </row>
    <row r="43" spans="2:8" ht="12.75">
      <c r="B43" s="473" t="s">
        <v>151</v>
      </c>
      <c r="C43" s="558">
        <v>88.60259247549794</v>
      </c>
      <c r="D43" s="558">
        <v>11.397407524502054</v>
      </c>
      <c r="E43" s="554" t="s">
        <v>146</v>
      </c>
      <c r="F43" s="554" t="s">
        <v>146</v>
      </c>
      <c r="G43" s="473" t="s">
        <v>151</v>
      </c>
      <c r="H43" s="549"/>
    </row>
    <row r="44" spans="2:8" ht="12.75">
      <c r="B44" s="365" t="s">
        <v>152</v>
      </c>
      <c r="C44" s="451">
        <v>88.44729325260697</v>
      </c>
      <c r="D44" s="451">
        <v>5.588432259563477</v>
      </c>
      <c r="E44" s="451">
        <v>4.8586149872213635</v>
      </c>
      <c r="F44" s="451">
        <v>1.1056595006081809</v>
      </c>
      <c r="G44" s="365" t="s">
        <v>152</v>
      </c>
      <c r="H44" s="549"/>
    </row>
    <row r="45" spans="2:8" ht="12.75">
      <c r="B45" s="525" t="s">
        <v>153</v>
      </c>
      <c r="C45" s="559">
        <v>76.81895577268422</v>
      </c>
      <c r="D45" s="559">
        <v>5.070802015778473</v>
      </c>
      <c r="E45" s="559">
        <v>17.137159355699197</v>
      </c>
      <c r="F45" s="559">
        <v>0.9730828558381114</v>
      </c>
      <c r="G45" s="525" t="s">
        <v>153</v>
      </c>
      <c r="H45" s="549"/>
    </row>
    <row r="47" spans="2:7" ht="12.75">
      <c r="B47" s="560" t="s">
        <v>173</v>
      </c>
      <c r="C47" s="561"/>
      <c r="D47" s="562"/>
      <c r="E47" s="562"/>
      <c r="F47" s="562"/>
      <c r="G47" s="563"/>
    </row>
    <row r="48" spans="2:6" ht="35.25" customHeight="1">
      <c r="B48" s="1270" t="s">
        <v>337</v>
      </c>
      <c r="C48" s="1270"/>
      <c r="D48" s="1270"/>
      <c r="E48" s="1270"/>
      <c r="F48" s="1270"/>
    </row>
    <row r="49" spans="2:8" ht="12.75">
      <c r="B49" s="564" t="s">
        <v>250</v>
      </c>
      <c r="C49" s="565">
        <v>79.58515261089367</v>
      </c>
      <c r="D49" s="565">
        <v>9.165077080572543</v>
      </c>
      <c r="E49" s="565">
        <v>7.422859747243897</v>
      </c>
      <c r="F49" s="565">
        <v>1.726198449763213</v>
      </c>
      <c r="G49" s="564" t="s">
        <v>250</v>
      </c>
      <c r="H49" s="549"/>
    </row>
    <row r="50" spans="2:8" ht="15" customHeight="1">
      <c r="B50" s="566" t="s">
        <v>89</v>
      </c>
      <c r="C50" s="567">
        <v>80.44791036387346</v>
      </c>
      <c r="D50" s="567">
        <v>8.211542919620465</v>
      </c>
      <c r="E50" s="567">
        <v>7.756262253323267</v>
      </c>
      <c r="F50" s="567">
        <v>1.4857342583071358</v>
      </c>
      <c r="G50" s="566" t="s">
        <v>89</v>
      </c>
      <c r="H50" s="549"/>
    </row>
    <row r="51" spans="2:8" ht="12.75">
      <c r="B51" s="566" t="s">
        <v>251</v>
      </c>
      <c r="C51" s="567">
        <v>74.07663578030052</v>
      </c>
      <c r="D51" s="567">
        <v>15.050279784006246</v>
      </c>
      <c r="E51" s="567">
        <v>5.551811091953718</v>
      </c>
      <c r="F51" s="567">
        <v>3.2146669944538298</v>
      </c>
      <c r="G51" s="566" t="s">
        <v>251</v>
      </c>
      <c r="H51" s="549"/>
    </row>
    <row r="52" spans="3:5" ht="12.75">
      <c r="C52" s="568"/>
      <c r="D52" s="568"/>
      <c r="E52" s="568"/>
    </row>
    <row r="53" ht="12.75">
      <c r="B53" s="560" t="s">
        <v>252</v>
      </c>
    </row>
  </sheetData>
  <sheetProtection/>
  <mergeCells count="4">
    <mergeCell ref="B2:G3"/>
    <mergeCell ref="B4:G4"/>
    <mergeCell ref="B5:F5"/>
    <mergeCell ref="B48:F48"/>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70C0"/>
  </sheetPr>
  <dimension ref="A1:AH60"/>
  <sheetViews>
    <sheetView zoomScalePageLayoutView="0" workbookViewId="0" topLeftCell="A1">
      <selection activeCell="AH6" sqref="AH6:AH7"/>
    </sheetView>
  </sheetViews>
  <sheetFormatPr defaultColWidth="9.140625" defaultRowHeight="12.75"/>
  <cols>
    <col min="1" max="1" width="2.7109375" style="569" customWidth="1"/>
    <col min="2" max="2" width="5.00390625" style="573" customWidth="1"/>
    <col min="3" max="4" width="7.7109375" style="573" hidden="1" customWidth="1"/>
    <col min="5" max="5" width="6.7109375" style="573" hidden="1" customWidth="1"/>
    <col min="6" max="9" width="7.7109375" style="573" hidden="1" customWidth="1"/>
    <col min="10" max="10" width="6.7109375" style="573" hidden="1" customWidth="1"/>
    <col min="11" max="11" width="8.140625" style="573" hidden="1" customWidth="1"/>
    <col min="12" max="14" width="7.7109375" style="573" hidden="1" customWidth="1"/>
    <col min="15" max="15" width="6.7109375" style="573" hidden="1" customWidth="1"/>
    <col min="16" max="20" width="7.7109375" style="573" hidden="1" customWidth="1"/>
    <col min="21" max="30" width="7.7109375" style="573" customWidth="1"/>
    <col min="31" max="31" width="7.28125" style="573" customWidth="1"/>
    <col min="32" max="32" width="4.57421875" style="573" customWidth="1"/>
    <col min="33" max="34" width="9.140625" style="573" customWidth="1"/>
    <col min="35" max="16384" width="9.140625" style="573" customWidth="1"/>
  </cols>
  <sheetData>
    <row r="1" spans="2:32" ht="14.25" customHeight="1">
      <c r="B1" s="570"/>
      <c r="C1" s="571"/>
      <c r="D1" s="571"/>
      <c r="E1" s="571"/>
      <c r="F1" s="571"/>
      <c r="G1" s="571"/>
      <c r="H1" s="571"/>
      <c r="I1" s="571"/>
      <c r="J1" s="571"/>
      <c r="K1" s="571"/>
      <c r="L1" s="571"/>
      <c r="M1" s="571"/>
      <c r="N1" s="571"/>
      <c r="O1" s="571"/>
      <c r="P1" s="571"/>
      <c r="Q1" s="572"/>
      <c r="T1" s="574"/>
      <c r="U1" s="574"/>
      <c r="V1" s="574"/>
      <c r="W1" s="574"/>
      <c r="X1" s="574"/>
      <c r="Y1" s="574"/>
      <c r="Z1" s="574"/>
      <c r="AA1" s="574"/>
      <c r="AB1" s="574"/>
      <c r="AC1" s="574"/>
      <c r="AD1" s="574"/>
      <c r="AF1" s="574" t="s">
        <v>174</v>
      </c>
    </row>
    <row r="2" spans="1:32" s="577" customFormat="1" ht="30" customHeight="1">
      <c r="A2" s="575"/>
      <c r="B2" s="1271" t="s">
        <v>170</v>
      </c>
      <c r="C2" s="1271"/>
      <c r="D2" s="1271"/>
      <c r="E2" s="1271"/>
      <c r="F2" s="1271"/>
      <c r="G2" s="1271"/>
      <c r="H2" s="1271"/>
      <c r="I2" s="1271"/>
      <c r="J2" s="1271"/>
      <c r="K2" s="1271"/>
      <c r="L2" s="1271"/>
      <c r="M2" s="1271"/>
      <c r="N2" s="1271"/>
      <c r="O2" s="1271"/>
      <c r="P2" s="1271"/>
      <c r="Q2" s="1271"/>
      <c r="R2" s="1271"/>
      <c r="S2" s="1271"/>
      <c r="T2" s="1271"/>
      <c r="U2" s="1271"/>
      <c r="V2" s="1271"/>
      <c r="W2" s="1271"/>
      <c r="X2" s="1271"/>
      <c r="Y2" s="1271"/>
      <c r="Z2" s="1271"/>
      <c r="AA2" s="1271"/>
      <c r="AB2" s="1271"/>
      <c r="AC2" s="1271"/>
      <c r="AD2" s="1271"/>
      <c r="AE2" s="1271"/>
      <c r="AF2" s="1271"/>
    </row>
    <row r="3" spans="3:31" ht="12" customHeight="1">
      <c r="C3" s="578"/>
      <c r="D3" s="578"/>
      <c r="E3" s="578"/>
      <c r="F3" s="578"/>
      <c r="G3" s="578"/>
      <c r="H3" s="578"/>
      <c r="I3" s="578"/>
      <c r="J3" s="578"/>
      <c r="K3" s="579"/>
      <c r="L3" s="579"/>
      <c r="M3" s="579"/>
      <c r="N3" s="579"/>
      <c r="O3" s="579"/>
      <c r="P3" s="579"/>
      <c r="Q3" s="579"/>
      <c r="R3" s="579"/>
      <c r="S3" s="579"/>
      <c r="T3" s="579"/>
      <c r="U3" s="579"/>
      <c r="V3" s="579"/>
      <c r="W3" s="579"/>
      <c r="X3" s="579"/>
      <c r="Y3" s="579"/>
      <c r="Z3" s="579"/>
      <c r="AA3" s="579"/>
      <c r="AB3" s="579"/>
      <c r="AC3" s="579"/>
      <c r="AD3" s="579"/>
      <c r="AE3" s="580"/>
    </row>
    <row r="4" spans="2:34" ht="19.5" customHeight="1">
      <c r="B4" s="581"/>
      <c r="C4" s="582">
        <v>1970</v>
      </c>
      <c r="D4" s="582">
        <v>1980</v>
      </c>
      <c r="E4" s="583">
        <v>1990</v>
      </c>
      <c r="F4" s="583">
        <v>1991</v>
      </c>
      <c r="G4" s="583">
        <v>1992</v>
      </c>
      <c r="H4" s="583">
        <v>1993</v>
      </c>
      <c r="I4" s="583">
        <v>1994</v>
      </c>
      <c r="J4" s="583">
        <v>1995</v>
      </c>
      <c r="K4" s="583">
        <v>1996</v>
      </c>
      <c r="L4" s="583">
        <v>1997</v>
      </c>
      <c r="M4" s="583">
        <v>1998</v>
      </c>
      <c r="N4" s="583">
        <v>1999</v>
      </c>
      <c r="O4" s="583">
        <v>2000</v>
      </c>
      <c r="P4" s="583">
        <v>2001</v>
      </c>
      <c r="Q4" s="583">
        <v>2002</v>
      </c>
      <c r="R4" s="583">
        <v>2003</v>
      </c>
      <c r="S4" s="583">
        <v>2004</v>
      </c>
      <c r="T4" s="583">
        <v>2005</v>
      </c>
      <c r="U4" s="583">
        <v>2006</v>
      </c>
      <c r="V4" s="583">
        <v>2007</v>
      </c>
      <c r="W4" s="583">
        <v>2008</v>
      </c>
      <c r="X4" s="583">
        <v>2009</v>
      </c>
      <c r="Y4" s="583">
        <v>2010</v>
      </c>
      <c r="Z4" s="583">
        <v>2011</v>
      </c>
      <c r="AA4" s="583">
        <v>2012</v>
      </c>
      <c r="AB4" s="583">
        <v>2013</v>
      </c>
      <c r="AC4" s="583">
        <v>2014</v>
      </c>
      <c r="AD4" s="583">
        <v>2015</v>
      </c>
      <c r="AE4" s="584" t="s">
        <v>331</v>
      </c>
      <c r="AF4" s="585"/>
      <c r="AG4" s="313" t="s">
        <v>346</v>
      </c>
      <c r="AH4" s="297"/>
    </row>
    <row r="5" spans="2:34" ht="9.75" customHeight="1">
      <c r="B5" s="586"/>
      <c r="C5" s="587"/>
      <c r="D5" s="587"/>
      <c r="E5" s="588"/>
      <c r="F5" s="588"/>
      <c r="G5" s="588"/>
      <c r="H5" s="588"/>
      <c r="I5" s="588"/>
      <c r="J5" s="588"/>
      <c r="K5" s="588"/>
      <c r="L5" s="588"/>
      <c r="M5" s="588"/>
      <c r="N5" s="588"/>
      <c r="O5" s="588"/>
      <c r="P5" s="588"/>
      <c r="Q5" s="588"/>
      <c r="R5" s="588"/>
      <c r="S5" s="588"/>
      <c r="T5" s="588"/>
      <c r="U5" s="588"/>
      <c r="V5" s="588"/>
      <c r="W5" s="589"/>
      <c r="X5" s="589"/>
      <c r="Y5" s="589"/>
      <c r="Z5" s="589"/>
      <c r="AA5" s="589"/>
      <c r="AB5" s="589"/>
      <c r="AC5" s="589"/>
      <c r="AD5" s="589"/>
      <c r="AE5" s="590" t="s">
        <v>147</v>
      </c>
      <c r="AF5" s="585"/>
      <c r="AG5" s="241" t="s">
        <v>0</v>
      </c>
      <c r="AH5" s="297" t="s">
        <v>327</v>
      </c>
    </row>
    <row r="6" spans="2:34" ht="12.75" customHeight="1">
      <c r="B6" s="591" t="s">
        <v>250</v>
      </c>
      <c r="C6" s="592" t="s">
        <v>99</v>
      </c>
      <c r="D6" s="592" t="s">
        <v>99</v>
      </c>
      <c r="E6" s="593" t="s">
        <v>99</v>
      </c>
      <c r="F6" s="594" t="s">
        <v>99</v>
      </c>
      <c r="G6" s="594" t="s">
        <v>99</v>
      </c>
      <c r="H6" s="594" t="s">
        <v>99</v>
      </c>
      <c r="I6" s="594" t="s">
        <v>99</v>
      </c>
      <c r="J6" s="594">
        <v>3904.3968448239566</v>
      </c>
      <c r="K6" s="594">
        <v>3967.960445623563</v>
      </c>
      <c r="L6" s="594">
        <v>4047.0311598397266</v>
      </c>
      <c r="M6" s="594">
        <v>4144.982058542091</v>
      </c>
      <c r="N6" s="594">
        <v>4254.780359539047</v>
      </c>
      <c r="O6" s="594">
        <v>4300.856686155985</v>
      </c>
      <c r="P6" s="594">
        <v>4387.3788534340165</v>
      </c>
      <c r="Q6" s="594">
        <v>4463.501476952004</v>
      </c>
      <c r="R6" s="594">
        <v>4495.782239459277</v>
      </c>
      <c r="S6" s="594">
        <v>4551.94630151926</v>
      </c>
      <c r="T6" s="594">
        <v>4508.359691303219</v>
      </c>
      <c r="U6" s="594">
        <v>4549.24159021749</v>
      </c>
      <c r="V6" s="594">
        <v>4596.935584587471</v>
      </c>
      <c r="W6" s="594">
        <v>4602.751300402917</v>
      </c>
      <c r="X6" s="595">
        <v>4675.474051948912</v>
      </c>
      <c r="Y6" s="595">
        <v>4624.992160795574</v>
      </c>
      <c r="Z6" s="595">
        <v>4590.457484852242</v>
      </c>
      <c r="AA6" s="595">
        <v>4496.192492642307</v>
      </c>
      <c r="AB6" s="595">
        <v>4548.33396482955</v>
      </c>
      <c r="AC6" s="595">
        <v>4615.067998395309</v>
      </c>
      <c r="AD6" s="595">
        <v>4719.393789375224</v>
      </c>
      <c r="AE6" s="596">
        <v>2.2605472122228605</v>
      </c>
      <c r="AF6" s="591" t="s">
        <v>250</v>
      </c>
      <c r="AG6" s="298">
        <v>508.19111599999997</v>
      </c>
      <c r="AH6" s="315">
        <f>AD6/AG6*1000</f>
        <v>9286.651499384385</v>
      </c>
    </row>
    <row r="7" spans="1:34" ht="12.75" customHeight="1">
      <c r="A7" s="597"/>
      <c r="B7" s="598" t="s">
        <v>89</v>
      </c>
      <c r="C7" s="599">
        <v>1557.1409999999998</v>
      </c>
      <c r="D7" s="599">
        <v>2229.8367150000004</v>
      </c>
      <c r="E7" s="600">
        <v>3134.870216959855</v>
      </c>
      <c r="F7" s="601">
        <v>3196.666390081889</v>
      </c>
      <c r="G7" s="601">
        <v>3319.965733176137</v>
      </c>
      <c r="H7" s="601">
        <v>3370.460008368333</v>
      </c>
      <c r="I7" s="601">
        <v>3488.0665135600593</v>
      </c>
      <c r="J7" s="601">
        <v>3548.2383493239568</v>
      </c>
      <c r="K7" s="601">
        <v>3588.603445623563</v>
      </c>
      <c r="L7" s="601">
        <v>3646.812159839727</v>
      </c>
      <c r="M7" s="601">
        <v>3726.9716034420912</v>
      </c>
      <c r="N7" s="601">
        <v>3820.2353595390464</v>
      </c>
      <c r="O7" s="601">
        <v>3868.6005704559843</v>
      </c>
      <c r="P7" s="601">
        <v>3948.5627004340163</v>
      </c>
      <c r="Q7" s="601">
        <v>4013.036837352004</v>
      </c>
      <c r="R7" s="601">
        <v>4028.136927959276</v>
      </c>
      <c r="S7" s="601">
        <v>4069.91190151926</v>
      </c>
      <c r="T7" s="601">
        <v>4005.950191303218</v>
      </c>
      <c r="U7" s="601">
        <v>4024.1609902174887</v>
      </c>
      <c r="V7" s="601">
        <v>4052.4243845874694</v>
      </c>
      <c r="W7" s="601">
        <v>4041.1498004029168</v>
      </c>
      <c r="X7" s="602">
        <v>4097.776361948912</v>
      </c>
      <c r="Y7" s="602">
        <v>4056.3208207955754</v>
      </c>
      <c r="Z7" s="602">
        <v>4023.1500666885822</v>
      </c>
      <c r="AA7" s="602">
        <v>3920.6030996619666</v>
      </c>
      <c r="AB7" s="602">
        <v>3963.8111655480834</v>
      </c>
      <c r="AC7" s="602">
        <v>4023.672558795453</v>
      </c>
      <c r="AD7" s="602">
        <v>4108.440891381255</v>
      </c>
      <c r="AE7" s="603">
        <v>2.1067403310566277</v>
      </c>
      <c r="AF7" s="598" t="s">
        <v>89</v>
      </c>
      <c r="AG7" s="298">
        <v>403.528101</v>
      </c>
      <c r="AH7" s="315">
        <f aca="true" t="shared" si="0" ref="AH7:AH36">AD7/AG7*1000</f>
        <v>10181.300586501793</v>
      </c>
    </row>
    <row r="8" spans="1:34" ht="12.75" customHeight="1">
      <c r="A8" s="597"/>
      <c r="B8" s="604" t="s">
        <v>251</v>
      </c>
      <c r="C8" s="605"/>
      <c r="D8" s="605"/>
      <c r="E8" s="606"/>
      <c r="F8" s="607"/>
      <c r="G8" s="607"/>
      <c r="H8" s="607"/>
      <c r="I8" s="607"/>
      <c r="J8" s="607">
        <v>356.15849549999984</v>
      </c>
      <c r="K8" s="607">
        <v>379.35699999999997</v>
      </c>
      <c r="L8" s="607">
        <v>400.2189999999996</v>
      </c>
      <c r="M8" s="607">
        <v>418.01045509999994</v>
      </c>
      <c r="N8" s="607">
        <v>434.5450000000005</v>
      </c>
      <c r="O8" s="607">
        <v>432.25611570000046</v>
      </c>
      <c r="P8" s="607">
        <v>438.8161530000002</v>
      </c>
      <c r="Q8" s="607">
        <v>450.4646395999998</v>
      </c>
      <c r="R8" s="607">
        <v>467.64531150000084</v>
      </c>
      <c r="S8" s="607">
        <v>482.03439999999955</v>
      </c>
      <c r="T8" s="607">
        <v>502.40950000000066</v>
      </c>
      <c r="U8" s="607">
        <v>525.0806000000011</v>
      </c>
      <c r="V8" s="607">
        <v>544.5112000000013</v>
      </c>
      <c r="W8" s="607">
        <v>561.6015000000002</v>
      </c>
      <c r="X8" s="608">
        <v>577.69769</v>
      </c>
      <c r="Y8" s="608">
        <v>568.6713399999985</v>
      </c>
      <c r="Z8" s="608">
        <v>567.3074181636593</v>
      </c>
      <c r="AA8" s="608">
        <v>575.5893929803406</v>
      </c>
      <c r="AB8" s="608">
        <v>584.5227992814662</v>
      </c>
      <c r="AC8" s="608">
        <v>591.3954395998558</v>
      </c>
      <c r="AD8" s="608">
        <v>610.9528979939687</v>
      </c>
      <c r="AE8" s="609">
        <v>3.3070018949327107</v>
      </c>
      <c r="AF8" s="604" t="s">
        <v>251</v>
      </c>
      <c r="AG8" s="298">
        <v>104.66301499999997</v>
      </c>
      <c r="AH8" s="315">
        <f t="shared" si="0"/>
        <v>5837.33325467424</v>
      </c>
    </row>
    <row r="9" spans="1:34" ht="12.75" customHeight="1">
      <c r="A9" s="597"/>
      <c r="B9" s="598" t="s">
        <v>81</v>
      </c>
      <c r="C9" s="614">
        <v>32.9</v>
      </c>
      <c r="D9" s="614">
        <v>47.8</v>
      </c>
      <c r="E9" s="615">
        <v>55.677</v>
      </c>
      <c r="F9" s="615">
        <v>57.391</v>
      </c>
      <c r="G9" s="615">
        <v>58.959</v>
      </c>
      <c r="H9" s="615">
        <v>59.785</v>
      </c>
      <c r="I9" s="615">
        <v>61.803</v>
      </c>
      <c r="J9" s="615">
        <v>62.156</v>
      </c>
      <c r="K9" s="615">
        <v>63.073</v>
      </c>
      <c r="L9" s="615">
        <v>63.864</v>
      </c>
      <c r="M9" s="615">
        <v>64.861</v>
      </c>
      <c r="N9" s="615">
        <v>66.11</v>
      </c>
      <c r="O9" s="615">
        <v>66.668</v>
      </c>
      <c r="P9" s="615">
        <v>67.104</v>
      </c>
      <c r="Q9" s="615">
        <v>67.96</v>
      </c>
      <c r="R9" s="615">
        <v>68.941</v>
      </c>
      <c r="S9" s="615">
        <v>69.608</v>
      </c>
      <c r="T9" s="615">
        <v>70.557</v>
      </c>
      <c r="U9" s="615">
        <v>70.893</v>
      </c>
      <c r="V9" s="615">
        <v>72.023</v>
      </c>
      <c r="W9" s="615">
        <v>73.281</v>
      </c>
      <c r="X9" s="615">
        <v>72.675</v>
      </c>
      <c r="Y9" s="615">
        <v>73.467</v>
      </c>
      <c r="Z9" s="615">
        <v>74.451</v>
      </c>
      <c r="AA9" s="615">
        <v>74.154</v>
      </c>
      <c r="AB9" s="823">
        <v>74.837</v>
      </c>
      <c r="AC9" s="615">
        <v>76.594</v>
      </c>
      <c r="AD9" s="615">
        <v>78.347</v>
      </c>
      <c r="AE9" s="640">
        <f aca="true" t="shared" si="1" ref="AE9:AE44">AD9/AC9*100-100</f>
        <v>2.288691020184345</v>
      </c>
      <c r="AF9" s="598" t="s">
        <v>81</v>
      </c>
      <c r="AG9" s="298">
        <v>8.584926</v>
      </c>
      <c r="AH9" s="315">
        <f t="shared" si="0"/>
        <v>9126.11244406766</v>
      </c>
    </row>
    <row r="10" spans="1:34" ht="12.75" customHeight="1">
      <c r="A10" s="597"/>
      <c r="B10" s="610" t="s">
        <v>60</v>
      </c>
      <c r="C10" s="611">
        <v>41.107</v>
      </c>
      <c r="D10" s="611">
        <v>64.577</v>
      </c>
      <c r="E10" s="612">
        <v>89.4865681549422</v>
      </c>
      <c r="F10" s="612">
        <v>93.17072549415899</v>
      </c>
      <c r="G10" s="612">
        <v>94.65159259661695</v>
      </c>
      <c r="H10" s="612">
        <v>95.1590269325277</v>
      </c>
      <c r="I10" s="612">
        <v>97.61982726007605</v>
      </c>
      <c r="J10" s="612">
        <v>96.41122844758948</v>
      </c>
      <c r="K10" s="612">
        <v>96.12470075061294</v>
      </c>
      <c r="L10" s="612">
        <v>97.95004181802459</v>
      </c>
      <c r="M10" s="612">
        <v>100.14564232032866</v>
      </c>
      <c r="N10" s="612">
        <v>102.03922550781316</v>
      </c>
      <c r="O10" s="612">
        <v>102.5443853038904</v>
      </c>
      <c r="P10" s="612">
        <v>103.44056228671244</v>
      </c>
      <c r="Q10" s="612">
        <v>104.84343859901594</v>
      </c>
      <c r="R10" s="612">
        <v>102.49487951863394</v>
      </c>
      <c r="S10" s="612">
        <v>103.03402541013166</v>
      </c>
      <c r="T10" s="612">
        <v>102.80426446068903</v>
      </c>
      <c r="U10" s="612">
        <v>102.65959801049536</v>
      </c>
      <c r="V10" s="612">
        <v>104.57039703409255</v>
      </c>
      <c r="W10" s="612">
        <v>107.94287032877924</v>
      </c>
      <c r="X10" s="612">
        <v>108.07377743339944</v>
      </c>
      <c r="Y10" s="612">
        <v>109.38776021905481</v>
      </c>
      <c r="Z10" s="612">
        <v>109.96953280096133</v>
      </c>
      <c r="AA10" s="612">
        <v>110.14105828193429</v>
      </c>
      <c r="AB10" s="824">
        <v>105.36003957646204</v>
      </c>
      <c r="AC10" s="612">
        <v>108.19016287007477</v>
      </c>
      <c r="AD10" s="612">
        <v>107.0706596448856</v>
      </c>
      <c r="AE10" s="613">
        <f t="shared" si="1"/>
        <v>-1.0347550974052808</v>
      </c>
      <c r="AF10" s="610" t="s">
        <v>60</v>
      </c>
      <c r="AG10" s="298">
        <v>11.258434</v>
      </c>
      <c r="AH10" s="315">
        <f t="shared" si="0"/>
        <v>9510.262230509643</v>
      </c>
    </row>
    <row r="11" spans="1:34" s="627" customFormat="1" ht="12.75" customHeight="1">
      <c r="A11" s="619"/>
      <c r="B11" s="598" t="s">
        <v>101</v>
      </c>
      <c r="C11" s="614" t="s">
        <v>99</v>
      </c>
      <c r="D11" s="614" t="s">
        <v>99</v>
      </c>
      <c r="E11" s="615"/>
      <c r="F11" s="615"/>
      <c r="G11" s="615"/>
      <c r="H11" s="615"/>
      <c r="I11" s="615"/>
      <c r="J11" s="616">
        <v>25</v>
      </c>
      <c r="K11" s="616">
        <v>24.5</v>
      </c>
      <c r="L11" s="616">
        <v>23.9</v>
      </c>
      <c r="M11" s="616">
        <v>24.6</v>
      </c>
      <c r="N11" s="616">
        <v>25.4</v>
      </c>
      <c r="O11" s="616">
        <v>26.9</v>
      </c>
      <c r="P11" s="616">
        <v>27.9</v>
      </c>
      <c r="Q11" s="616">
        <v>29.3</v>
      </c>
      <c r="R11" s="616">
        <v>30.7</v>
      </c>
      <c r="S11" s="616">
        <v>32.8</v>
      </c>
      <c r="T11" s="616">
        <v>35.1</v>
      </c>
      <c r="U11" s="616">
        <v>37.6</v>
      </c>
      <c r="V11" s="616">
        <v>40.4</v>
      </c>
      <c r="W11" s="616">
        <v>43.2</v>
      </c>
      <c r="X11" s="616">
        <v>46.3</v>
      </c>
      <c r="Y11" s="711">
        <v>46.9</v>
      </c>
      <c r="Z11" s="616">
        <v>48.06803748938479</v>
      </c>
      <c r="AA11" s="616">
        <v>49.702936925862396</v>
      </c>
      <c r="AB11" s="616">
        <v>51.3641140116175</v>
      </c>
      <c r="AC11" s="616">
        <v>53.95682276375314</v>
      </c>
      <c r="AD11" s="616">
        <v>56.84608933803697</v>
      </c>
      <c r="AE11" s="617">
        <f t="shared" si="1"/>
        <v>5.354775218945562</v>
      </c>
      <c r="AF11" s="598" t="s">
        <v>101</v>
      </c>
      <c r="AG11" s="298">
        <v>7.202198</v>
      </c>
      <c r="AH11" s="315">
        <f t="shared" si="0"/>
        <v>7892.8806647688625</v>
      </c>
    </row>
    <row r="12" spans="1:34" ht="12.75" customHeight="1">
      <c r="A12" s="597"/>
      <c r="B12" s="610" t="s">
        <v>71</v>
      </c>
      <c r="C12" s="630" t="s">
        <v>99</v>
      </c>
      <c r="D12" s="630" t="s">
        <v>99</v>
      </c>
      <c r="E12" s="622" t="s">
        <v>99</v>
      </c>
      <c r="F12" s="622" t="s">
        <v>99</v>
      </c>
      <c r="G12" s="622" t="s">
        <v>99</v>
      </c>
      <c r="H12" s="622" t="s">
        <v>99</v>
      </c>
      <c r="I12" s="622" t="s">
        <v>99</v>
      </c>
      <c r="J12" s="644">
        <v>3.4</v>
      </c>
      <c r="K12" s="644">
        <v>3.5</v>
      </c>
      <c r="L12" s="644">
        <v>3.6</v>
      </c>
      <c r="M12" s="644">
        <v>3.7</v>
      </c>
      <c r="N12" s="644">
        <v>3.8</v>
      </c>
      <c r="O12" s="644">
        <v>3.9</v>
      </c>
      <c r="P12" s="644">
        <v>4</v>
      </c>
      <c r="Q12" s="644">
        <v>4.1</v>
      </c>
      <c r="R12" s="644">
        <v>4.15</v>
      </c>
      <c r="S12" s="623">
        <v>4.6</v>
      </c>
      <c r="T12" s="623">
        <v>4.8</v>
      </c>
      <c r="U12" s="623">
        <v>5</v>
      </c>
      <c r="V12" s="623">
        <v>5.3</v>
      </c>
      <c r="W12" s="623">
        <v>5.75</v>
      </c>
      <c r="X12" s="623">
        <v>6</v>
      </c>
      <c r="Y12" s="623">
        <v>5.9</v>
      </c>
      <c r="Z12" s="623">
        <v>5.93190592556501</v>
      </c>
      <c r="AA12" s="623">
        <v>5.951576551601025</v>
      </c>
      <c r="AB12" s="623">
        <v>5.921143432419876</v>
      </c>
      <c r="AC12" s="623">
        <v>6.055761785762059</v>
      </c>
      <c r="AD12" s="623">
        <v>6.198133573005254</v>
      </c>
      <c r="AE12" s="636">
        <f t="shared" si="1"/>
        <v>2.3510136673131825</v>
      </c>
      <c r="AF12" s="610" t="s">
        <v>71</v>
      </c>
      <c r="AG12" s="298">
        <v>0.847008</v>
      </c>
      <c r="AH12" s="315">
        <f t="shared" si="0"/>
        <v>7317.680084491828</v>
      </c>
    </row>
    <row r="13" spans="1:34" s="627" customFormat="1" ht="12.75" customHeight="1">
      <c r="A13" s="619"/>
      <c r="B13" s="610" t="s">
        <v>61</v>
      </c>
      <c r="C13" s="620"/>
      <c r="D13" s="620"/>
      <c r="E13" s="621"/>
      <c r="F13" s="622"/>
      <c r="G13" s="622"/>
      <c r="H13" s="631">
        <v>49</v>
      </c>
      <c r="I13" s="622">
        <v>51.7</v>
      </c>
      <c r="J13" s="622">
        <v>54.5</v>
      </c>
      <c r="K13" s="622">
        <v>57.9</v>
      </c>
      <c r="L13" s="622">
        <v>59</v>
      </c>
      <c r="M13" s="623">
        <v>59.726</v>
      </c>
      <c r="N13" s="622">
        <v>62.38</v>
      </c>
      <c r="O13" s="622">
        <v>63.94</v>
      </c>
      <c r="P13" s="622">
        <v>63.47</v>
      </c>
      <c r="Q13" s="622">
        <v>65.29</v>
      </c>
      <c r="R13" s="622">
        <v>67.36</v>
      </c>
      <c r="S13" s="622">
        <v>67.57</v>
      </c>
      <c r="T13" s="622">
        <v>68.64</v>
      </c>
      <c r="U13" s="622">
        <v>69.63</v>
      </c>
      <c r="V13" s="622">
        <v>71.54</v>
      </c>
      <c r="W13" s="622">
        <v>72.38</v>
      </c>
      <c r="X13" s="624">
        <v>72.29</v>
      </c>
      <c r="Y13" s="624">
        <v>63.57</v>
      </c>
      <c r="Z13" s="624">
        <v>65.49</v>
      </c>
      <c r="AA13" s="624">
        <v>64.62</v>
      </c>
      <c r="AB13" s="624">
        <v>64.65</v>
      </c>
      <c r="AC13" s="624">
        <v>66.26</v>
      </c>
      <c r="AD13" s="624">
        <v>69.705</v>
      </c>
      <c r="AE13" s="626">
        <f t="shared" si="1"/>
        <v>5.199215212798052</v>
      </c>
      <c r="AF13" s="610" t="s">
        <v>61</v>
      </c>
      <c r="AG13" s="298">
        <v>10.538275</v>
      </c>
      <c r="AH13" s="315">
        <f t="shared" si="0"/>
        <v>6614.4601464660955</v>
      </c>
    </row>
    <row r="14" spans="1:34" ht="13.5" customHeight="1">
      <c r="A14" s="597"/>
      <c r="B14" s="610" t="s">
        <v>63</v>
      </c>
      <c r="C14" s="630">
        <v>394.6</v>
      </c>
      <c r="D14" s="630">
        <v>513.7</v>
      </c>
      <c r="E14" s="622">
        <v>683.1</v>
      </c>
      <c r="F14" s="622">
        <v>700</v>
      </c>
      <c r="G14" s="622">
        <v>719.5</v>
      </c>
      <c r="H14" s="622">
        <v>729.8</v>
      </c>
      <c r="I14" s="622">
        <v>807.0219025046072</v>
      </c>
      <c r="J14" s="622">
        <v>815.2976294348988</v>
      </c>
      <c r="K14" s="622">
        <v>816.0723829598729</v>
      </c>
      <c r="L14" s="622">
        <v>817.0706670210186</v>
      </c>
      <c r="M14" s="622">
        <v>828.068802348269</v>
      </c>
      <c r="N14" s="622">
        <v>848.4200042686394</v>
      </c>
      <c r="O14" s="622">
        <v>831.2665448417845</v>
      </c>
      <c r="P14" s="622">
        <v>852.6294387699498</v>
      </c>
      <c r="Q14" s="622">
        <v>862.987</v>
      </c>
      <c r="R14" s="622">
        <v>857.736</v>
      </c>
      <c r="S14" s="622">
        <v>868.65</v>
      </c>
      <c r="T14" s="622">
        <v>856.875</v>
      </c>
      <c r="U14" s="622">
        <v>863.328</v>
      </c>
      <c r="V14" s="622">
        <v>866.5310000000001</v>
      </c>
      <c r="W14" s="622">
        <v>871.328</v>
      </c>
      <c r="X14" s="622">
        <v>881.1</v>
      </c>
      <c r="Y14" s="622">
        <v>887</v>
      </c>
      <c r="Z14" s="622">
        <v>894.4</v>
      </c>
      <c r="AA14" s="622">
        <v>896.3</v>
      </c>
      <c r="AB14" s="622">
        <v>903.1</v>
      </c>
      <c r="AC14" s="622">
        <v>916.4</v>
      </c>
      <c r="AD14" s="622">
        <v>928.3</v>
      </c>
      <c r="AE14" s="632">
        <f t="shared" si="1"/>
        <v>1.2985595809689983</v>
      </c>
      <c r="AF14" s="610" t="s">
        <v>63</v>
      </c>
      <c r="AG14" s="314">
        <v>81.174</v>
      </c>
      <c r="AH14" s="315">
        <f t="shared" si="0"/>
        <v>11435.927760120234</v>
      </c>
    </row>
    <row r="15" spans="1:34" ht="12.75" customHeight="1">
      <c r="A15" s="597"/>
      <c r="B15" s="598" t="s">
        <v>14</v>
      </c>
      <c r="C15" s="614">
        <v>33.3</v>
      </c>
      <c r="D15" s="614">
        <f>38.027+0.458</f>
        <v>38.485</v>
      </c>
      <c r="E15" s="628">
        <v>47.191</v>
      </c>
      <c r="F15" s="628">
        <v>47.865</v>
      </c>
      <c r="G15" s="628">
        <v>48.126</v>
      </c>
      <c r="H15" s="628">
        <v>47.621</v>
      </c>
      <c r="I15" s="628">
        <v>47.77</v>
      </c>
      <c r="J15" s="628">
        <v>48.389</v>
      </c>
      <c r="K15" s="628">
        <v>49.042</v>
      </c>
      <c r="L15" s="628">
        <v>49.91</v>
      </c>
      <c r="M15" s="628">
        <v>50.328</v>
      </c>
      <c r="N15" s="628">
        <v>51.307</v>
      </c>
      <c r="O15" s="628">
        <v>50.615</v>
      </c>
      <c r="P15" s="628">
        <v>49.62</v>
      </c>
      <c r="Q15" s="628">
        <v>49.454</v>
      </c>
      <c r="R15" s="628">
        <v>49.695</v>
      </c>
      <c r="S15" s="628">
        <v>50.557</v>
      </c>
      <c r="T15" s="628">
        <v>49.758</v>
      </c>
      <c r="U15" s="628">
        <v>49.648</v>
      </c>
      <c r="V15" s="628">
        <v>50.758</v>
      </c>
      <c r="W15" s="628">
        <v>51.481</v>
      </c>
      <c r="X15" s="628">
        <v>51.905</v>
      </c>
      <c r="Y15" s="628">
        <v>51.712</v>
      </c>
      <c r="Z15" s="628">
        <v>52.986</v>
      </c>
      <c r="AA15" s="628">
        <v>52.683</v>
      </c>
      <c r="AB15" s="628">
        <v>52.735</v>
      </c>
      <c r="AC15" s="628">
        <v>54.203</v>
      </c>
      <c r="AD15" s="628">
        <v>56.523</v>
      </c>
      <c r="AE15" s="629">
        <f t="shared" si="1"/>
        <v>4.280205892662764</v>
      </c>
      <c r="AF15" s="598" t="s">
        <v>14</v>
      </c>
      <c r="AG15" s="298">
        <v>5.659715</v>
      </c>
      <c r="AH15" s="315">
        <f t="shared" si="0"/>
        <v>9986.89863358844</v>
      </c>
    </row>
    <row r="16" spans="1:34" ht="12.75" customHeight="1">
      <c r="A16" s="597"/>
      <c r="B16" s="598" t="s">
        <v>64</v>
      </c>
      <c r="C16" s="614" t="s">
        <v>99</v>
      </c>
      <c r="D16" s="614" t="s">
        <v>99</v>
      </c>
      <c r="E16" s="615" t="s">
        <v>99</v>
      </c>
      <c r="F16" s="615" t="s">
        <v>99</v>
      </c>
      <c r="G16" s="615" t="s">
        <v>99</v>
      </c>
      <c r="H16" s="615" t="s">
        <v>99</v>
      </c>
      <c r="I16" s="615" t="s">
        <v>99</v>
      </c>
      <c r="J16" s="616">
        <f>3.956535*1.3</f>
        <v>5.1434955</v>
      </c>
      <c r="K16" s="616">
        <v>5.5</v>
      </c>
      <c r="L16" s="616">
        <v>5.8</v>
      </c>
      <c r="M16" s="616">
        <f>4.763427*1.3</f>
        <v>6.1924551</v>
      </c>
      <c r="N16" s="616">
        <v>6.4</v>
      </c>
      <c r="O16" s="616">
        <f>5.140089*1.3</f>
        <v>6.6821157</v>
      </c>
      <c r="P16" s="616">
        <f>5.23781*1.3</f>
        <v>6.809152999999999</v>
      </c>
      <c r="Q16" s="616">
        <f>5.430492*1.3</f>
        <v>7.059639600000001</v>
      </c>
      <c r="R16" s="616">
        <f>5.894855*1.3</f>
        <v>7.6633115</v>
      </c>
      <c r="S16" s="615">
        <v>7.813</v>
      </c>
      <c r="T16" s="615">
        <v>9.929</v>
      </c>
      <c r="U16" s="615">
        <v>9.946</v>
      </c>
      <c r="V16" s="616">
        <v>10</v>
      </c>
      <c r="W16" s="616">
        <v>10.5</v>
      </c>
      <c r="X16" s="616">
        <v>10.5</v>
      </c>
      <c r="Y16" s="616">
        <v>10.1</v>
      </c>
      <c r="Z16" s="616">
        <v>10.381082222547919</v>
      </c>
      <c r="AA16" s="616">
        <v>10.808595077153129</v>
      </c>
      <c r="AB16" s="616">
        <v>11.24613332249695</v>
      </c>
      <c r="AC16" s="616">
        <v>11.85200134241278</v>
      </c>
      <c r="AD16" s="616">
        <v>12.33194848698124</v>
      </c>
      <c r="AE16" s="617">
        <f t="shared" si="1"/>
        <v>4.049502954838118</v>
      </c>
      <c r="AF16" s="598" t="s">
        <v>64</v>
      </c>
      <c r="AG16" s="314">
        <v>1.313271</v>
      </c>
      <c r="AH16" s="315">
        <f t="shared" si="0"/>
        <v>9390.254172201501</v>
      </c>
    </row>
    <row r="17" spans="1:34" ht="12.75" customHeight="1">
      <c r="A17" s="597"/>
      <c r="B17" s="598" t="s">
        <v>15</v>
      </c>
      <c r="C17" s="637">
        <v>4.5</v>
      </c>
      <c r="D17" s="637">
        <v>17.5</v>
      </c>
      <c r="E17" s="822">
        <v>35</v>
      </c>
      <c r="F17" s="616">
        <v>36</v>
      </c>
      <c r="G17" s="616">
        <v>37</v>
      </c>
      <c r="H17" s="616">
        <v>39</v>
      </c>
      <c r="I17" s="616">
        <v>42</v>
      </c>
      <c r="J17" s="616">
        <v>44</v>
      </c>
      <c r="K17" s="616">
        <v>47</v>
      </c>
      <c r="L17" s="616">
        <v>50</v>
      </c>
      <c r="M17" s="616">
        <v>53</v>
      </c>
      <c r="N17" s="616">
        <v>58</v>
      </c>
      <c r="O17" s="616">
        <v>63</v>
      </c>
      <c r="P17" s="616">
        <v>68</v>
      </c>
      <c r="Q17" s="616">
        <v>72</v>
      </c>
      <c r="R17" s="616">
        <v>76</v>
      </c>
      <c r="S17" s="616">
        <v>80</v>
      </c>
      <c r="T17" s="616">
        <v>85</v>
      </c>
      <c r="U17" s="616">
        <v>90</v>
      </c>
      <c r="V17" s="616">
        <v>95</v>
      </c>
      <c r="W17" s="616">
        <v>100</v>
      </c>
      <c r="X17" s="616">
        <v>101.3</v>
      </c>
      <c r="Y17" s="616">
        <v>99.6</v>
      </c>
      <c r="Z17" s="616">
        <v>98.32207994126013</v>
      </c>
      <c r="AA17" s="616">
        <v>96.93448152779109</v>
      </c>
      <c r="AB17" s="616">
        <v>95.8113792150171</v>
      </c>
      <c r="AC17" s="616">
        <v>96.87004146599509</v>
      </c>
      <c r="AD17" s="616">
        <v>98.27578451557844</v>
      </c>
      <c r="AE17" s="617">
        <f t="shared" si="1"/>
        <v>1.4511638772001731</v>
      </c>
      <c r="AF17" s="598" t="s">
        <v>15</v>
      </c>
      <c r="AG17" s="298">
        <v>10.812467</v>
      </c>
      <c r="AH17" s="315">
        <f t="shared" si="0"/>
        <v>9089.11763759172</v>
      </c>
    </row>
    <row r="18" spans="1:34" ht="12.75" customHeight="1">
      <c r="A18" s="597"/>
      <c r="B18" s="610" t="s">
        <v>66</v>
      </c>
      <c r="C18" s="611">
        <v>64.3</v>
      </c>
      <c r="D18" s="611">
        <v>130.9</v>
      </c>
      <c r="E18" s="638">
        <v>174.4</v>
      </c>
      <c r="F18" s="638">
        <v>207.542</v>
      </c>
      <c r="G18" s="639">
        <v>218.27</v>
      </c>
      <c r="H18" s="639">
        <v>229</v>
      </c>
      <c r="I18" s="639">
        <v>239.7</v>
      </c>
      <c r="J18" s="638">
        <v>250.374</v>
      </c>
      <c r="K18" s="639">
        <v>259</v>
      </c>
      <c r="L18" s="639">
        <v>267.6</v>
      </c>
      <c r="M18" s="638">
        <v>276.173</v>
      </c>
      <c r="N18" s="638">
        <v>293.54</v>
      </c>
      <c r="O18" s="638">
        <v>302.611</v>
      </c>
      <c r="P18" s="638">
        <v>307.955</v>
      </c>
      <c r="Q18" s="639">
        <v>315</v>
      </c>
      <c r="R18" s="638">
        <v>321.928</v>
      </c>
      <c r="S18" s="638">
        <v>330.192</v>
      </c>
      <c r="T18" s="638">
        <v>337.797</v>
      </c>
      <c r="U18" s="638">
        <v>340.937</v>
      </c>
      <c r="V18" s="638">
        <v>343.293</v>
      </c>
      <c r="W18" s="638">
        <v>342.611</v>
      </c>
      <c r="X18" s="638">
        <v>350.401</v>
      </c>
      <c r="Y18" s="638">
        <v>341.629</v>
      </c>
      <c r="Z18" s="638">
        <v>334.021</v>
      </c>
      <c r="AA18" s="638">
        <v>321.045</v>
      </c>
      <c r="AB18" s="638">
        <v>316.539</v>
      </c>
      <c r="AC18" s="638">
        <v>308.704</v>
      </c>
      <c r="AD18" s="638">
        <v>317.553</v>
      </c>
      <c r="AE18" s="613">
        <f t="shared" si="1"/>
        <v>2.8664999481704143</v>
      </c>
      <c r="AF18" s="610" t="s">
        <v>66</v>
      </c>
      <c r="AG18" s="298">
        <v>46.439864</v>
      </c>
      <c r="AH18" s="315">
        <f t="shared" si="0"/>
        <v>6837.939921615619</v>
      </c>
    </row>
    <row r="19" spans="1:34" ht="12.75" customHeight="1">
      <c r="A19" s="597"/>
      <c r="B19" s="598" t="s">
        <v>87</v>
      </c>
      <c r="C19" s="614">
        <v>23.7</v>
      </c>
      <c r="D19" s="614">
        <v>34.8</v>
      </c>
      <c r="E19" s="615">
        <v>51.2</v>
      </c>
      <c r="F19" s="615">
        <v>50.6</v>
      </c>
      <c r="G19" s="615">
        <v>50.5</v>
      </c>
      <c r="H19" s="615">
        <v>49.7</v>
      </c>
      <c r="I19" s="615">
        <v>49.6</v>
      </c>
      <c r="J19" s="615">
        <v>50</v>
      </c>
      <c r="K19" s="615">
        <v>50.4</v>
      </c>
      <c r="L19" s="615">
        <v>51.9</v>
      </c>
      <c r="M19" s="615">
        <v>53.3</v>
      </c>
      <c r="N19" s="615">
        <v>54.9</v>
      </c>
      <c r="O19" s="615">
        <v>55.7</v>
      </c>
      <c r="P19" s="615">
        <v>57</v>
      </c>
      <c r="Q19" s="615">
        <v>58.3</v>
      </c>
      <c r="R19" s="615">
        <v>59.59</v>
      </c>
      <c r="S19" s="615">
        <v>60.94</v>
      </c>
      <c r="T19" s="615">
        <v>61.91</v>
      </c>
      <c r="U19" s="615">
        <v>62.455</v>
      </c>
      <c r="V19" s="615">
        <v>63.785</v>
      </c>
      <c r="W19" s="615">
        <v>63.4</v>
      </c>
      <c r="X19" s="615">
        <v>64.33</v>
      </c>
      <c r="Y19" s="615">
        <f>64.745</f>
        <v>64.745</v>
      </c>
      <c r="Z19" s="615">
        <v>65.49</v>
      </c>
      <c r="AA19" s="615">
        <v>65.27</v>
      </c>
      <c r="AB19" s="615">
        <v>65.115</v>
      </c>
      <c r="AC19" s="615">
        <v>65.52</v>
      </c>
      <c r="AD19" s="615">
        <v>66.295</v>
      </c>
      <c r="AE19" s="640">
        <f t="shared" si="1"/>
        <v>1.1828449328449437</v>
      </c>
      <c r="AF19" s="598" t="s">
        <v>87</v>
      </c>
      <c r="AG19" s="298">
        <v>5.471753</v>
      </c>
      <c r="AH19" s="315">
        <f t="shared" si="0"/>
        <v>12115.861223998963</v>
      </c>
    </row>
    <row r="20" spans="1:34" s="627" customFormat="1" ht="12.75" customHeight="1">
      <c r="A20" s="619"/>
      <c r="B20" s="598" t="s">
        <v>67</v>
      </c>
      <c r="C20" s="614">
        <v>304.7</v>
      </c>
      <c r="D20" s="614">
        <v>443.84071500000005</v>
      </c>
      <c r="E20" s="641">
        <v>592.4626365733575</v>
      </c>
      <c r="F20" s="615">
        <v>598.4351534578577</v>
      </c>
      <c r="G20" s="615">
        <v>614.232666348461</v>
      </c>
      <c r="H20" s="615">
        <v>618.0859814358054</v>
      </c>
      <c r="I20" s="615">
        <v>628.6417837953759</v>
      </c>
      <c r="J20" s="615">
        <v>641.2174914414686</v>
      </c>
      <c r="K20" s="615">
        <v>643.9598899530233</v>
      </c>
      <c r="L20" s="615">
        <v>653.444008546068</v>
      </c>
      <c r="M20" s="615">
        <v>672.2056361870265</v>
      </c>
      <c r="N20" s="642">
        <v>689.1919277863982</v>
      </c>
      <c r="O20" s="643">
        <v>687.735734121925</v>
      </c>
      <c r="P20" s="615">
        <v>712.217258157967</v>
      </c>
      <c r="Q20" s="615">
        <v>716.879483834627</v>
      </c>
      <c r="R20" s="615">
        <v>718.2961493866516</v>
      </c>
      <c r="S20" s="615">
        <v>714.9662367495789</v>
      </c>
      <c r="T20" s="615">
        <v>704.6155537135559</v>
      </c>
      <c r="U20" s="615">
        <v>700.9141843686657</v>
      </c>
      <c r="V20" s="615">
        <v>705.3497495000736</v>
      </c>
      <c r="W20" s="615">
        <v>689.6663151892991</v>
      </c>
      <c r="X20" s="615">
        <v>690.1304523298496</v>
      </c>
      <c r="Y20" s="615">
        <v>695.8712970248097</v>
      </c>
      <c r="Z20" s="615">
        <v>695.8946859251822</v>
      </c>
      <c r="AA20" s="615">
        <v>696.7346270761763</v>
      </c>
      <c r="AB20" s="615">
        <v>699.016313152445</v>
      </c>
      <c r="AC20" s="615">
        <v>706.9440129785258</v>
      </c>
      <c r="AD20" s="615">
        <v>724.1029421561635</v>
      </c>
      <c r="AE20" s="640">
        <f t="shared" si="1"/>
        <v>2.4271977501221045</v>
      </c>
      <c r="AF20" s="598" t="s">
        <v>67</v>
      </c>
      <c r="AG20" s="298">
        <v>66.352469</v>
      </c>
      <c r="AH20" s="315">
        <f t="shared" si="0"/>
        <v>10912.976609147183</v>
      </c>
    </row>
    <row r="21" spans="1:34" ht="12.75" customHeight="1">
      <c r="A21" s="597"/>
      <c r="B21" s="610" t="s">
        <v>148</v>
      </c>
      <c r="C21" s="630"/>
      <c r="D21" s="630"/>
      <c r="E21" s="622"/>
      <c r="F21" s="622"/>
      <c r="G21" s="622"/>
      <c r="H21" s="622"/>
      <c r="I21" s="622"/>
      <c r="J21" s="623">
        <v>12.5</v>
      </c>
      <c r="K21" s="623">
        <v>14.75</v>
      </c>
      <c r="L21" s="623">
        <v>16.5</v>
      </c>
      <c r="M21" s="623">
        <v>17.5</v>
      </c>
      <c r="N21" s="623">
        <v>19</v>
      </c>
      <c r="O21" s="623">
        <v>20</v>
      </c>
      <c r="P21" s="623">
        <v>21</v>
      </c>
      <c r="Q21" s="623">
        <v>22</v>
      </c>
      <c r="R21" s="623">
        <v>22.5</v>
      </c>
      <c r="S21" s="623">
        <v>23.5</v>
      </c>
      <c r="T21" s="623">
        <v>24</v>
      </c>
      <c r="U21" s="623">
        <v>25</v>
      </c>
      <c r="V21" s="623">
        <v>26</v>
      </c>
      <c r="W21" s="623">
        <v>27</v>
      </c>
      <c r="X21" s="623">
        <v>26.8</v>
      </c>
      <c r="Y21" s="623">
        <v>25.7</v>
      </c>
      <c r="Z21" s="622">
        <v>25.242</v>
      </c>
      <c r="AA21" s="622">
        <v>26.147</v>
      </c>
      <c r="AB21" s="622">
        <v>26.145</v>
      </c>
      <c r="AC21" s="622">
        <v>26.057</v>
      </c>
      <c r="AD21" s="622">
        <v>26.393</v>
      </c>
      <c r="AE21" s="632">
        <f t="shared" si="1"/>
        <v>1.2894807537322066</v>
      </c>
      <c r="AF21" s="610" t="s">
        <v>148</v>
      </c>
      <c r="AG21" s="298">
        <v>4.225316</v>
      </c>
      <c r="AH21" s="315">
        <f t="shared" si="0"/>
        <v>6246.39671920396</v>
      </c>
    </row>
    <row r="22" spans="1:34" s="627" customFormat="1" ht="12.75" customHeight="1">
      <c r="A22" s="619"/>
      <c r="B22" s="610" t="s">
        <v>77</v>
      </c>
      <c r="C22" s="630" t="s">
        <v>99</v>
      </c>
      <c r="D22" s="630" t="s">
        <v>99</v>
      </c>
      <c r="E22" s="622">
        <v>47</v>
      </c>
      <c r="F22" s="622">
        <v>46.8</v>
      </c>
      <c r="G22" s="622">
        <v>44.6</v>
      </c>
      <c r="H22" s="622">
        <v>44</v>
      </c>
      <c r="I22" s="622">
        <v>44.9</v>
      </c>
      <c r="J22" s="622">
        <v>45.4</v>
      </c>
      <c r="K22" s="622">
        <v>45.6</v>
      </c>
      <c r="L22" s="622">
        <v>46.1</v>
      </c>
      <c r="M22" s="622">
        <v>46.15</v>
      </c>
      <c r="N22" s="622">
        <v>46.17</v>
      </c>
      <c r="O22" s="622">
        <v>46.18</v>
      </c>
      <c r="P22" s="622">
        <v>46.18</v>
      </c>
      <c r="Q22" s="622">
        <v>46.3</v>
      </c>
      <c r="R22" s="622">
        <v>47.517</v>
      </c>
      <c r="S22" s="622">
        <v>49.121</v>
      </c>
      <c r="T22" s="622">
        <v>49.403</v>
      </c>
      <c r="U22" s="622">
        <v>52.315</v>
      </c>
      <c r="V22" s="622">
        <v>53.946</v>
      </c>
      <c r="W22" s="622">
        <v>54.005</v>
      </c>
      <c r="X22" s="622">
        <v>54.396</v>
      </c>
      <c r="Y22" s="622">
        <v>52.595</v>
      </c>
      <c r="Z22" s="622">
        <v>52.251</v>
      </c>
      <c r="AA22" s="622">
        <v>51.793</v>
      </c>
      <c r="AB22" s="622">
        <v>51.824</v>
      </c>
      <c r="AC22" s="622">
        <v>52.723</v>
      </c>
      <c r="AD22" s="622">
        <v>54.603</v>
      </c>
      <c r="AE22" s="632">
        <f t="shared" si="1"/>
        <v>3.5658061946399044</v>
      </c>
      <c r="AF22" s="610" t="s">
        <v>77</v>
      </c>
      <c r="AG22" s="298">
        <v>9.849</v>
      </c>
      <c r="AH22" s="315">
        <f t="shared" si="0"/>
        <v>5544.0146207736825</v>
      </c>
    </row>
    <row r="23" spans="1:34" ht="12.75" customHeight="1">
      <c r="A23" s="597"/>
      <c r="B23" s="610" t="s">
        <v>68</v>
      </c>
      <c r="C23" s="633">
        <v>10</v>
      </c>
      <c r="D23" s="633">
        <v>19</v>
      </c>
      <c r="E23" s="634">
        <v>28.507</v>
      </c>
      <c r="F23" s="634">
        <v>29.038</v>
      </c>
      <c r="G23" s="634">
        <v>29.52</v>
      </c>
      <c r="H23" s="634">
        <v>29.836</v>
      </c>
      <c r="I23" s="634">
        <v>30.56</v>
      </c>
      <c r="J23" s="634">
        <v>31.558</v>
      </c>
      <c r="K23" s="634">
        <v>32.8</v>
      </c>
      <c r="L23" s="634">
        <v>34.361</v>
      </c>
      <c r="M23" s="634">
        <v>35.756</v>
      </c>
      <c r="N23" s="634">
        <v>36.838</v>
      </c>
      <c r="O23" s="634">
        <v>34.608</v>
      </c>
      <c r="P23" s="635">
        <v>36.459</v>
      </c>
      <c r="Q23" s="635">
        <v>37.788</v>
      </c>
      <c r="R23" s="635">
        <v>39.9495</v>
      </c>
      <c r="S23" s="635">
        <v>42.627</v>
      </c>
      <c r="T23" s="635">
        <v>44.379</v>
      </c>
      <c r="U23" s="635">
        <v>45.99</v>
      </c>
      <c r="V23" s="635">
        <v>47.9595</v>
      </c>
      <c r="W23" s="635">
        <v>48.888</v>
      </c>
      <c r="X23" s="635">
        <v>48.858</v>
      </c>
      <c r="Y23" s="635">
        <v>48.0825</v>
      </c>
      <c r="Z23" s="635">
        <v>47.457</v>
      </c>
      <c r="AA23" s="635">
        <v>46.614</v>
      </c>
      <c r="AB23" s="635">
        <f>32.031*1.5</f>
        <v>48.046499999999995</v>
      </c>
      <c r="AC23" s="635">
        <f>31.457*1.5</f>
        <v>47.185500000000005</v>
      </c>
      <c r="AD23" s="635">
        <f>1.5*34.609</f>
        <v>51.9135</v>
      </c>
      <c r="AE23" s="636">
        <f t="shared" si="1"/>
        <v>10.020027338907056</v>
      </c>
      <c r="AF23" s="610" t="s">
        <v>68</v>
      </c>
      <c r="AG23" s="314">
        <v>4.625885</v>
      </c>
      <c r="AH23" s="315">
        <f t="shared" si="0"/>
        <v>11222.393120451547</v>
      </c>
    </row>
    <row r="24" spans="1:34" s="627" customFormat="1" ht="12.75" customHeight="1">
      <c r="A24" s="619"/>
      <c r="B24" s="598" t="s">
        <v>69</v>
      </c>
      <c r="C24" s="614">
        <v>211.934</v>
      </c>
      <c r="D24" s="614">
        <v>324.034</v>
      </c>
      <c r="E24" s="615">
        <v>522.593</v>
      </c>
      <c r="F24" s="616">
        <v>538.27</v>
      </c>
      <c r="G24" s="616">
        <v>602.21</v>
      </c>
      <c r="H24" s="616">
        <v>603.09</v>
      </c>
      <c r="I24" s="615">
        <v>600.3</v>
      </c>
      <c r="J24" s="615">
        <v>614.713</v>
      </c>
      <c r="K24" s="615">
        <v>627.383</v>
      </c>
      <c r="L24" s="615">
        <v>638.837</v>
      </c>
      <c r="M24" s="615">
        <v>662.545</v>
      </c>
      <c r="N24" s="615">
        <v>663.319</v>
      </c>
      <c r="O24" s="615">
        <v>713.931</v>
      </c>
      <c r="P24" s="615">
        <f>O24+($T$18-$O$18)/5</f>
        <v>720.9682</v>
      </c>
      <c r="Q24" s="615">
        <f>P24+($T$18-$O$18)/5</f>
        <v>728.0054</v>
      </c>
      <c r="R24" s="615">
        <f>Q24+($T$18-$O$18)/5</f>
        <v>735.0426</v>
      </c>
      <c r="S24" s="615">
        <f>R24+($T$18-$O$18)/5</f>
        <v>742.0798</v>
      </c>
      <c r="T24" s="615">
        <v>677.014</v>
      </c>
      <c r="U24" s="615">
        <v>676.255</v>
      </c>
      <c r="V24" s="615">
        <v>677.056</v>
      </c>
      <c r="W24" s="615">
        <v>676.359</v>
      </c>
      <c r="X24" s="615">
        <v>719.912</v>
      </c>
      <c r="Y24" s="615">
        <v>698.39</v>
      </c>
      <c r="Z24" s="615">
        <v>665.328</v>
      </c>
      <c r="AA24" s="615">
        <v>578.668</v>
      </c>
      <c r="AB24" s="615">
        <v>620.368</v>
      </c>
      <c r="AC24" s="615">
        <v>642.92</v>
      </c>
      <c r="AD24" s="615">
        <v>679.427</v>
      </c>
      <c r="AE24" s="640">
        <f t="shared" si="1"/>
        <v>5.678311453991185</v>
      </c>
      <c r="AF24" s="598" t="s">
        <v>69</v>
      </c>
      <c r="AG24" s="298">
        <v>60.795612</v>
      </c>
      <c r="AH24" s="315">
        <f t="shared" si="0"/>
        <v>11175.592738502246</v>
      </c>
    </row>
    <row r="25" spans="1:34" ht="12.75" customHeight="1">
      <c r="A25" s="597"/>
      <c r="B25" s="610" t="s">
        <v>73</v>
      </c>
      <c r="C25" s="630" t="s">
        <v>99</v>
      </c>
      <c r="D25" s="630" t="s">
        <v>99</v>
      </c>
      <c r="E25" s="622" t="s">
        <v>99</v>
      </c>
      <c r="F25" s="622" t="s">
        <v>99</v>
      </c>
      <c r="G25" s="622" t="s">
        <v>99</v>
      </c>
      <c r="H25" s="622" t="s">
        <v>99</v>
      </c>
      <c r="I25" s="622" t="s">
        <v>99</v>
      </c>
      <c r="J25" s="623">
        <v>16</v>
      </c>
      <c r="K25" s="623">
        <v>18</v>
      </c>
      <c r="L25" s="623">
        <v>20</v>
      </c>
      <c r="M25" s="623">
        <v>22</v>
      </c>
      <c r="N25" s="623">
        <v>25</v>
      </c>
      <c r="O25" s="623">
        <v>26</v>
      </c>
      <c r="P25" s="623">
        <v>26</v>
      </c>
      <c r="Q25" s="623">
        <v>26</v>
      </c>
      <c r="R25" s="623">
        <v>29</v>
      </c>
      <c r="S25" s="623">
        <v>31</v>
      </c>
      <c r="T25" s="631">
        <v>34.793</v>
      </c>
      <c r="U25" s="622">
        <v>39.472</v>
      </c>
      <c r="V25" s="622">
        <v>39.119</v>
      </c>
      <c r="W25" s="622">
        <v>37.991</v>
      </c>
      <c r="X25" s="622">
        <v>36.055</v>
      </c>
      <c r="Y25" s="622">
        <v>32.569</v>
      </c>
      <c r="Z25" s="622">
        <v>29.908</v>
      </c>
      <c r="AA25" s="622">
        <v>34.191</v>
      </c>
      <c r="AB25" s="622">
        <v>33.325</v>
      </c>
      <c r="AC25" s="622">
        <v>24.336</v>
      </c>
      <c r="AD25" s="622">
        <v>24.865</v>
      </c>
      <c r="AE25" s="632">
        <f t="shared" si="1"/>
        <v>2.1737343852728372</v>
      </c>
      <c r="AF25" s="610" t="s">
        <v>73</v>
      </c>
      <c r="AG25" s="314">
        <v>2.921262</v>
      </c>
      <c r="AH25" s="315">
        <f t="shared" si="0"/>
        <v>8511.732258181566</v>
      </c>
    </row>
    <row r="26" spans="1:34" s="627" customFormat="1" ht="12.75" customHeight="1">
      <c r="A26" s="619"/>
      <c r="B26" s="598" t="s">
        <v>76</v>
      </c>
      <c r="C26" s="637">
        <v>2.1</v>
      </c>
      <c r="D26" s="637">
        <v>2.7</v>
      </c>
      <c r="E26" s="616">
        <v>4</v>
      </c>
      <c r="F26" s="616">
        <v>4.15</v>
      </c>
      <c r="G26" s="616">
        <v>4.3</v>
      </c>
      <c r="H26" s="616">
        <v>4.5</v>
      </c>
      <c r="I26" s="616">
        <v>4.6</v>
      </c>
      <c r="J26" s="616">
        <v>4.7</v>
      </c>
      <c r="K26" s="616">
        <v>4.8</v>
      </c>
      <c r="L26" s="616">
        <v>4.9</v>
      </c>
      <c r="M26" s="616">
        <v>5</v>
      </c>
      <c r="N26" s="616">
        <v>5</v>
      </c>
      <c r="O26" s="616">
        <v>5.6</v>
      </c>
      <c r="P26" s="616">
        <v>5.8</v>
      </c>
      <c r="Q26" s="616">
        <v>5.9</v>
      </c>
      <c r="R26" s="616">
        <v>6</v>
      </c>
      <c r="S26" s="616">
        <v>6.1</v>
      </c>
      <c r="T26" s="616">
        <v>6.3</v>
      </c>
      <c r="U26" s="616">
        <v>6.5</v>
      </c>
      <c r="V26" s="616">
        <v>6.6</v>
      </c>
      <c r="W26" s="616">
        <v>6.7</v>
      </c>
      <c r="X26" s="616">
        <v>6.7</v>
      </c>
      <c r="Y26" s="616">
        <v>6.5</v>
      </c>
      <c r="Z26" s="616">
        <v>6.591758023581571</v>
      </c>
      <c r="AA26" s="616">
        <v>6.733132688657702</v>
      </c>
      <c r="AB26" s="616">
        <v>6.850930549747795</v>
      </c>
      <c r="AC26" s="616">
        <v>7.132396036634483</v>
      </c>
      <c r="AD26" s="616">
        <v>7.321358260666726</v>
      </c>
      <c r="AE26" s="617">
        <f t="shared" si="1"/>
        <v>2.649351256739905</v>
      </c>
      <c r="AF26" s="598" t="s">
        <v>76</v>
      </c>
      <c r="AG26" s="298">
        <v>0.562958</v>
      </c>
      <c r="AH26" s="315">
        <f t="shared" si="0"/>
        <v>13005.15892955909</v>
      </c>
    </row>
    <row r="27" spans="1:34" ht="12.75" customHeight="1">
      <c r="A27" s="597"/>
      <c r="B27" s="598" t="s">
        <v>72</v>
      </c>
      <c r="C27" s="614" t="s">
        <v>99</v>
      </c>
      <c r="D27" s="820" t="s">
        <v>99</v>
      </c>
      <c r="E27" s="615" t="s">
        <v>99</v>
      </c>
      <c r="F27" s="615" t="s">
        <v>99</v>
      </c>
      <c r="G27" s="615" t="s">
        <v>99</v>
      </c>
      <c r="H27" s="615" t="s">
        <v>99</v>
      </c>
      <c r="I27" s="615" t="s">
        <v>99</v>
      </c>
      <c r="J27" s="645">
        <v>7.5</v>
      </c>
      <c r="K27" s="645">
        <v>8</v>
      </c>
      <c r="L27" s="645">
        <v>9</v>
      </c>
      <c r="M27" s="645">
        <v>10</v>
      </c>
      <c r="N27" s="645">
        <v>11</v>
      </c>
      <c r="O27" s="645">
        <v>11.5</v>
      </c>
      <c r="P27" s="645">
        <v>12</v>
      </c>
      <c r="Q27" s="645">
        <v>12.5</v>
      </c>
      <c r="R27" s="645">
        <v>13</v>
      </c>
      <c r="S27" s="616">
        <v>11.5064</v>
      </c>
      <c r="T27" s="615">
        <v>12.1115</v>
      </c>
      <c r="U27" s="616">
        <v>14.0196</v>
      </c>
      <c r="V27" s="616">
        <v>15.9572</v>
      </c>
      <c r="W27" s="615">
        <v>14.2525</v>
      </c>
      <c r="X27" s="615">
        <v>12.70369</v>
      </c>
      <c r="Y27" s="643">
        <v>12.31234</v>
      </c>
      <c r="Z27" s="615">
        <v>11.3499</v>
      </c>
      <c r="AA27" s="615">
        <v>11.528</v>
      </c>
      <c r="AB27" s="615">
        <v>11.7334</v>
      </c>
      <c r="AC27" s="615">
        <v>12.6258</v>
      </c>
      <c r="AD27" s="615">
        <v>13.5426</v>
      </c>
      <c r="AE27" s="640">
        <f t="shared" si="1"/>
        <v>7.261322054840093</v>
      </c>
      <c r="AF27" s="598" t="s">
        <v>72</v>
      </c>
      <c r="AG27" s="314">
        <v>1.986096</v>
      </c>
      <c r="AH27" s="315">
        <f t="shared" si="0"/>
        <v>6818.703627619208</v>
      </c>
    </row>
    <row r="28" spans="1:34" s="627" customFormat="1" ht="12.75" customHeight="1">
      <c r="A28" s="619"/>
      <c r="B28" s="598" t="s">
        <v>78</v>
      </c>
      <c r="C28" s="614" t="s">
        <v>99</v>
      </c>
      <c r="D28" s="614" t="s">
        <v>99</v>
      </c>
      <c r="E28" s="615" t="s">
        <v>99</v>
      </c>
      <c r="F28" s="615" t="s">
        <v>99</v>
      </c>
      <c r="G28" s="615" t="s">
        <v>99</v>
      </c>
      <c r="H28" s="615" t="s">
        <v>99</v>
      </c>
      <c r="I28" s="615" t="s">
        <v>99</v>
      </c>
      <c r="J28" s="616">
        <v>1.7</v>
      </c>
      <c r="K28" s="616">
        <v>1.72</v>
      </c>
      <c r="L28" s="616">
        <v>1.74</v>
      </c>
      <c r="M28" s="616">
        <v>1.76</v>
      </c>
      <c r="N28" s="616">
        <v>1.78</v>
      </c>
      <c r="O28" s="616">
        <v>1.8</v>
      </c>
      <c r="P28" s="616">
        <v>1.8</v>
      </c>
      <c r="Q28" s="616">
        <v>1.85</v>
      </c>
      <c r="R28" s="616">
        <v>1.9</v>
      </c>
      <c r="S28" s="616">
        <v>1.95</v>
      </c>
      <c r="T28" s="616">
        <v>2</v>
      </c>
      <c r="U28" s="616">
        <v>2.05</v>
      </c>
      <c r="V28" s="616">
        <v>2.1</v>
      </c>
      <c r="W28" s="616">
        <v>2.15</v>
      </c>
      <c r="X28" s="616">
        <v>2.2</v>
      </c>
      <c r="Y28" s="616">
        <v>2.2</v>
      </c>
      <c r="Z28" s="616">
        <v>2.2297181531995443</v>
      </c>
      <c r="AA28" s="616">
        <v>2.240448897501395</v>
      </c>
      <c r="AB28" s="616">
        <v>2.291235362302769</v>
      </c>
      <c r="AC28" s="616">
        <v>2.4135009155436644</v>
      </c>
      <c r="AD28" s="616">
        <v>2.5042317396135667</v>
      </c>
      <c r="AE28" s="617">
        <f t="shared" si="1"/>
        <v>3.759303486713776</v>
      </c>
      <c r="AF28" s="598" t="s">
        <v>78</v>
      </c>
      <c r="AG28" s="298">
        <v>0.429344</v>
      </c>
      <c r="AH28" s="315">
        <f t="shared" si="0"/>
        <v>5832.692991199519</v>
      </c>
    </row>
    <row r="29" spans="1:34" ht="12.75" customHeight="1">
      <c r="A29" s="597"/>
      <c r="B29" s="610" t="s">
        <v>16</v>
      </c>
      <c r="C29" s="630">
        <v>67.1</v>
      </c>
      <c r="D29" s="630">
        <v>108.1</v>
      </c>
      <c r="E29" s="622">
        <v>137.3</v>
      </c>
      <c r="F29" s="622">
        <v>124.5</v>
      </c>
      <c r="G29" s="622">
        <v>129.1</v>
      </c>
      <c r="H29" s="622">
        <v>126.1</v>
      </c>
      <c r="I29" s="622">
        <v>128.8</v>
      </c>
      <c r="J29" s="622">
        <v>131.4</v>
      </c>
      <c r="K29" s="622">
        <v>132.7</v>
      </c>
      <c r="L29" s="622">
        <v>136.5</v>
      </c>
      <c r="M29" s="622">
        <v>137.1</v>
      </c>
      <c r="N29" s="622">
        <v>141.3</v>
      </c>
      <c r="O29" s="646">
        <v>141.1</v>
      </c>
      <c r="P29" s="622">
        <v>141.6</v>
      </c>
      <c r="Q29" s="622">
        <v>144.2</v>
      </c>
      <c r="R29" s="622">
        <v>146.1</v>
      </c>
      <c r="S29" s="622">
        <v>151.6</v>
      </c>
      <c r="T29" s="622">
        <v>148.8</v>
      </c>
      <c r="U29" s="622">
        <v>148</v>
      </c>
      <c r="V29" s="622">
        <v>148.8</v>
      </c>
      <c r="W29" s="622">
        <v>147</v>
      </c>
      <c r="X29" s="623">
        <v>146.3</v>
      </c>
      <c r="Y29" s="622">
        <v>144.2</v>
      </c>
      <c r="Z29" s="622">
        <v>144.4</v>
      </c>
      <c r="AA29" s="622">
        <v>139.7</v>
      </c>
      <c r="AB29" s="622">
        <v>145.4</v>
      </c>
      <c r="AC29" s="622">
        <v>144.969</v>
      </c>
      <c r="AD29" s="622">
        <v>139.32</v>
      </c>
      <c r="AE29" s="632">
        <f t="shared" si="1"/>
        <v>-3.8966951555159994</v>
      </c>
      <c r="AF29" s="610" t="s">
        <v>16</v>
      </c>
      <c r="AG29" s="314">
        <v>16.900726</v>
      </c>
      <c r="AH29" s="315">
        <f t="shared" si="0"/>
        <v>8243.432856079673</v>
      </c>
    </row>
    <row r="30" spans="1:34" s="627" customFormat="1" ht="12.75" customHeight="1">
      <c r="A30" s="619"/>
      <c r="B30" s="610" t="s">
        <v>80</v>
      </c>
      <c r="C30" s="630" t="s">
        <v>99</v>
      </c>
      <c r="D30" s="630" t="s">
        <v>99</v>
      </c>
      <c r="E30" s="622" t="s">
        <v>99</v>
      </c>
      <c r="F30" s="622"/>
      <c r="G30" s="622"/>
      <c r="H30" s="622"/>
      <c r="I30" s="622"/>
      <c r="J30" s="622">
        <v>110.7</v>
      </c>
      <c r="K30" s="622">
        <v>121.6</v>
      </c>
      <c r="L30" s="622">
        <v>132</v>
      </c>
      <c r="M30" s="622">
        <v>141.1</v>
      </c>
      <c r="N30" s="622">
        <v>143</v>
      </c>
      <c r="O30" s="622">
        <v>130.1</v>
      </c>
      <c r="P30" s="622">
        <v>132.3</v>
      </c>
      <c r="Q30" s="622">
        <v>135.8</v>
      </c>
      <c r="R30" s="622">
        <v>141.3</v>
      </c>
      <c r="S30" s="622">
        <v>146.8</v>
      </c>
      <c r="T30" s="622">
        <v>152.3</v>
      </c>
      <c r="U30" s="622">
        <v>156.6</v>
      </c>
      <c r="V30" s="622">
        <v>162.3</v>
      </c>
      <c r="W30" s="622">
        <v>172.6</v>
      </c>
      <c r="X30" s="622">
        <v>182.758</v>
      </c>
      <c r="Y30" s="622">
        <v>188.81</v>
      </c>
      <c r="Z30" s="622">
        <v>189.103</v>
      </c>
      <c r="AA30" s="622">
        <v>189.324</v>
      </c>
      <c r="AB30" s="622">
        <v>193.336</v>
      </c>
      <c r="AC30" s="622">
        <v>197.032</v>
      </c>
      <c r="AD30" s="622">
        <v>200.57</v>
      </c>
      <c r="AE30" s="632">
        <f t="shared" si="1"/>
        <v>1.79564740752771</v>
      </c>
      <c r="AF30" s="610" t="s">
        <v>80</v>
      </c>
      <c r="AG30" s="298">
        <v>38.005614</v>
      </c>
      <c r="AH30" s="315">
        <f t="shared" si="0"/>
        <v>5277.378231542319</v>
      </c>
    </row>
    <row r="31" spans="1:34" ht="12.75" customHeight="1">
      <c r="A31" s="597"/>
      <c r="B31" s="598" t="s">
        <v>92</v>
      </c>
      <c r="C31" s="637">
        <v>13.8</v>
      </c>
      <c r="D31" s="637">
        <v>29</v>
      </c>
      <c r="E31" s="616">
        <v>40</v>
      </c>
      <c r="F31" s="616">
        <v>41</v>
      </c>
      <c r="G31" s="616">
        <v>43</v>
      </c>
      <c r="H31" s="616">
        <v>46</v>
      </c>
      <c r="I31" s="616">
        <v>49</v>
      </c>
      <c r="J31" s="616">
        <v>52.5</v>
      </c>
      <c r="K31" s="616">
        <v>56</v>
      </c>
      <c r="L31" s="616">
        <v>60</v>
      </c>
      <c r="M31" s="616">
        <v>64</v>
      </c>
      <c r="N31" s="616">
        <v>68</v>
      </c>
      <c r="O31" s="616">
        <v>71</v>
      </c>
      <c r="P31" s="616">
        <v>73.2</v>
      </c>
      <c r="Q31" s="616">
        <v>77.7</v>
      </c>
      <c r="R31" s="616">
        <v>81.5</v>
      </c>
      <c r="S31" s="616">
        <v>83</v>
      </c>
      <c r="T31" s="616">
        <v>85</v>
      </c>
      <c r="U31" s="616">
        <v>86</v>
      </c>
      <c r="V31" s="616">
        <v>86.6</v>
      </c>
      <c r="W31" s="616">
        <v>87</v>
      </c>
      <c r="X31" s="616">
        <v>86</v>
      </c>
      <c r="Y31" s="616">
        <v>83.7</v>
      </c>
      <c r="Z31" s="616">
        <v>83.19008452892002</v>
      </c>
      <c r="AA31" s="616">
        <v>82.13077342280117</v>
      </c>
      <c r="AB31" s="616">
        <v>81.86593727133295</v>
      </c>
      <c r="AC31" s="616">
        <v>83.3358926901149</v>
      </c>
      <c r="AD31" s="616">
        <v>84.46785751462882</v>
      </c>
      <c r="AE31" s="617">
        <f t="shared" si="1"/>
        <v>1.3583160724312933</v>
      </c>
      <c r="AF31" s="598" t="s">
        <v>92</v>
      </c>
      <c r="AG31" s="314">
        <v>10.374822</v>
      </c>
      <c r="AH31" s="315">
        <f t="shared" si="0"/>
        <v>8141.619925106071</v>
      </c>
    </row>
    <row r="32" spans="1:34" ht="12.75" customHeight="1">
      <c r="A32" s="597"/>
      <c r="B32" s="610" t="s">
        <v>102</v>
      </c>
      <c r="C32" s="647"/>
      <c r="D32" s="647"/>
      <c r="E32" s="623"/>
      <c r="F32" s="623"/>
      <c r="G32" s="623"/>
      <c r="H32" s="623"/>
      <c r="I32" s="623"/>
      <c r="J32" s="623">
        <v>40</v>
      </c>
      <c r="K32" s="623">
        <v>42.5</v>
      </c>
      <c r="L32" s="623">
        <v>45</v>
      </c>
      <c r="M32" s="623">
        <v>47</v>
      </c>
      <c r="N32" s="623">
        <v>49</v>
      </c>
      <c r="O32" s="623">
        <v>51</v>
      </c>
      <c r="P32" s="623">
        <v>52.5</v>
      </c>
      <c r="Q32" s="623">
        <v>54</v>
      </c>
      <c r="R32" s="623">
        <v>56</v>
      </c>
      <c r="S32" s="623">
        <v>58</v>
      </c>
      <c r="T32" s="623">
        <v>61</v>
      </c>
      <c r="U32" s="623">
        <v>64.1</v>
      </c>
      <c r="V32" s="623">
        <v>67.5</v>
      </c>
      <c r="W32" s="623">
        <v>70.5</v>
      </c>
      <c r="X32" s="623">
        <v>75.5</v>
      </c>
      <c r="Y32" s="623">
        <v>75.5</v>
      </c>
      <c r="Z32" s="623">
        <v>74.97833815332045</v>
      </c>
      <c r="AA32" s="623">
        <v>77.04505960700007</v>
      </c>
      <c r="AB32" s="623">
        <v>80.36341832605608</v>
      </c>
      <c r="AC32" s="623">
        <v>85.19385987224148</v>
      </c>
      <c r="AD32" s="623">
        <v>89.86636208053349</v>
      </c>
      <c r="AE32" s="636">
        <f t="shared" si="1"/>
        <v>5.484552777980724</v>
      </c>
      <c r="AF32" s="610" t="s">
        <v>102</v>
      </c>
      <c r="AG32" s="298">
        <v>19.861408</v>
      </c>
      <c r="AH32" s="315">
        <f t="shared" si="0"/>
        <v>4524.672273009723</v>
      </c>
    </row>
    <row r="33" spans="1:34" ht="12.75" customHeight="1">
      <c r="A33" s="597"/>
      <c r="B33" s="610" t="s">
        <v>88</v>
      </c>
      <c r="C33" s="630">
        <v>56.1</v>
      </c>
      <c r="D33" s="630">
        <v>67.4</v>
      </c>
      <c r="E33" s="622">
        <v>85.945</v>
      </c>
      <c r="F33" s="622">
        <v>86.494</v>
      </c>
      <c r="G33" s="622">
        <v>87.552</v>
      </c>
      <c r="H33" s="622">
        <v>85.683</v>
      </c>
      <c r="I33" s="622">
        <v>86.65</v>
      </c>
      <c r="J33" s="622">
        <v>87.622</v>
      </c>
      <c r="K33" s="622">
        <v>87.983</v>
      </c>
      <c r="L33" s="622">
        <v>88.107</v>
      </c>
      <c r="M33" s="622">
        <v>88.811</v>
      </c>
      <c r="N33" s="622">
        <v>100.18352</v>
      </c>
      <c r="O33" s="622">
        <v>103.65483369766447</v>
      </c>
      <c r="P33" s="622">
        <v>104.83427759943993</v>
      </c>
      <c r="Q33" s="622">
        <v>106.62251789890334</v>
      </c>
      <c r="R33" s="622">
        <v>107.32208833613136</v>
      </c>
      <c r="S33" s="622">
        <v>108.35985149670047</v>
      </c>
      <c r="T33" s="622">
        <v>107.98311590611746</v>
      </c>
      <c r="U33" s="622">
        <v>108.13703214573366</v>
      </c>
      <c r="V33" s="622">
        <v>110.23856590007244</v>
      </c>
      <c r="W33" s="622">
        <v>109.46845217694035</v>
      </c>
      <c r="X33" s="622">
        <v>108.89703801054038</v>
      </c>
      <c r="Y33" s="622">
        <v>108.01282861161354</v>
      </c>
      <c r="Z33" s="622">
        <v>109.02898505595721</v>
      </c>
      <c r="AA33" s="622">
        <v>108.37233901934596</v>
      </c>
      <c r="AB33" s="622">
        <v>108.2057882235005</v>
      </c>
      <c r="AC33" s="622">
        <v>110.34047754415158</v>
      </c>
      <c r="AD33" s="622">
        <v>111.92673082880422</v>
      </c>
      <c r="AE33" s="632">
        <f t="shared" si="1"/>
        <v>1.4375987126011154</v>
      </c>
      <c r="AF33" s="610" t="s">
        <v>88</v>
      </c>
      <c r="AG33" s="314">
        <v>9.747355</v>
      </c>
      <c r="AH33" s="315">
        <f t="shared" si="0"/>
        <v>11482.779772441263</v>
      </c>
    </row>
    <row r="34" spans="1:34" ht="12.75" customHeight="1">
      <c r="A34" s="597"/>
      <c r="B34" s="598" t="s">
        <v>83</v>
      </c>
      <c r="C34" s="614" t="s">
        <v>99</v>
      </c>
      <c r="D34" s="614" t="s">
        <v>99</v>
      </c>
      <c r="E34" s="628">
        <v>13.32</v>
      </c>
      <c r="F34" s="628">
        <v>12.606</v>
      </c>
      <c r="G34" s="628">
        <v>13.386</v>
      </c>
      <c r="H34" s="628">
        <v>13.979</v>
      </c>
      <c r="I34" s="628">
        <v>15.178</v>
      </c>
      <c r="J34" s="628">
        <v>16.338</v>
      </c>
      <c r="K34" s="628">
        <v>17.794</v>
      </c>
      <c r="L34" s="628">
        <v>19.011</v>
      </c>
      <c r="M34" s="628">
        <v>18.98</v>
      </c>
      <c r="N34" s="628">
        <v>20.074</v>
      </c>
      <c r="O34" s="628">
        <v>20.325</v>
      </c>
      <c r="P34" s="628">
        <v>20.801</v>
      </c>
      <c r="Q34" s="628">
        <v>21.287</v>
      </c>
      <c r="R34" s="628">
        <v>21.331</v>
      </c>
      <c r="S34" s="615">
        <v>22.042</v>
      </c>
      <c r="T34" s="615">
        <v>22.509</v>
      </c>
      <c r="U34" s="615">
        <v>23.006</v>
      </c>
      <c r="V34" s="615">
        <v>24.355</v>
      </c>
      <c r="W34" s="615">
        <v>24.878</v>
      </c>
      <c r="X34" s="615">
        <v>25.775</v>
      </c>
      <c r="Y34" s="615">
        <v>25.636</v>
      </c>
      <c r="Z34" s="616">
        <v>25.487436219641157</v>
      </c>
      <c r="AA34" s="616">
        <v>25.30277592122288</v>
      </c>
      <c r="AB34" s="616">
        <v>25.168354826572546</v>
      </c>
      <c r="AC34" s="616">
        <v>25.638692920142624</v>
      </c>
      <c r="AD34" s="616">
        <v>25.996532775797913</v>
      </c>
      <c r="AE34" s="617">
        <f t="shared" si="1"/>
        <v>1.3957024126380446</v>
      </c>
      <c r="AF34" s="598" t="s">
        <v>83</v>
      </c>
      <c r="AG34" s="298">
        <v>2.062874</v>
      </c>
      <c r="AH34" s="315">
        <f t="shared" si="0"/>
        <v>12602.094347884511</v>
      </c>
    </row>
    <row r="35" spans="1:34" ht="12.75" customHeight="1">
      <c r="A35" s="597"/>
      <c r="B35" s="610" t="s">
        <v>85</v>
      </c>
      <c r="C35" s="620"/>
      <c r="D35" s="821"/>
      <c r="E35" s="621"/>
      <c r="F35" s="622"/>
      <c r="G35" s="622"/>
      <c r="H35" s="622">
        <v>17.554</v>
      </c>
      <c r="I35" s="622">
        <v>17.293</v>
      </c>
      <c r="J35" s="622">
        <v>17.977</v>
      </c>
      <c r="K35" s="622">
        <v>17.993</v>
      </c>
      <c r="L35" s="622">
        <v>18.568</v>
      </c>
      <c r="M35" s="622">
        <v>19.302</v>
      </c>
      <c r="N35" s="646">
        <v>21.541</v>
      </c>
      <c r="O35" s="646">
        <v>23.929</v>
      </c>
      <c r="P35" s="622">
        <v>24.056</v>
      </c>
      <c r="Q35" s="622">
        <v>24.978</v>
      </c>
      <c r="R35" s="622">
        <v>25.224</v>
      </c>
      <c r="S35" s="622">
        <v>25.332</v>
      </c>
      <c r="T35" s="622">
        <v>25.824</v>
      </c>
      <c r="U35" s="622">
        <v>26.342</v>
      </c>
      <c r="V35" s="622">
        <v>25.994</v>
      </c>
      <c r="W35" s="622">
        <v>26.395</v>
      </c>
      <c r="X35" s="622">
        <v>26.42</v>
      </c>
      <c r="Y35" s="622">
        <v>26.879</v>
      </c>
      <c r="Z35" s="622">
        <v>26.887</v>
      </c>
      <c r="AA35" s="622">
        <v>26.935</v>
      </c>
      <c r="AB35" s="622">
        <v>27.155</v>
      </c>
      <c r="AC35" s="622">
        <v>27.251</v>
      </c>
      <c r="AD35" s="648">
        <v>27.531</v>
      </c>
      <c r="AE35" s="632">
        <f t="shared" si="1"/>
        <v>1.0274852298998098</v>
      </c>
      <c r="AF35" s="610" t="s">
        <v>85</v>
      </c>
      <c r="AG35" s="298">
        <v>5.421349</v>
      </c>
      <c r="AH35" s="315">
        <f t="shared" si="0"/>
        <v>5078.256352800751</v>
      </c>
    </row>
    <row r="36" spans="1:34" ht="12.75" customHeight="1">
      <c r="A36" s="597"/>
      <c r="B36" s="598" t="s">
        <v>13</v>
      </c>
      <c r="C36" s="614">
        <v>297</v>
      </c>
      <c r="D36" s="614">
        <v>388</v>
      </c>
      <c r="E36" s="615">
        <v>588.0080122315558</v>
      </c>
      <c r="F36" s="615">
        <v>582.210511129872</v>
      </c>
      <c r="G36" s="615">
        <v>583.0444742310589</v>
      </c>
      <c r="H36" s="649">
        <v>607.1</v>
      </c>
      <c r="I36" s="650">
        <v>614</v>
      </c>
      <c r="J36" s="651">
        <v>617.9</v>
      </c>
      <c r="K36" s="650">
        <v>622.2654719600544</v>
      </c>
      <c r="L36" s="650">
        <v>632.3684424546157</v>
      </c>
      <c r="M36" s="615">
        <v>635.6775225864668</v>
      </c>
      <c r="N36" s="615">
        <v>642.0866819761951</v>
      </c>
      <c r="O36" s="615">
        <v>638.5660724907208</v>
      </c>
      <c r="P36" s="615">
        <v>651.3961997016211</v>
      </c>
      <c r="Q36" s="615">
        <v>672.7194691828055</v>
      </c>
      <c r="R36" s="615">
        <v>668.5254189628808</v>
      </c>
      <c r="S36" s="615">
        <v>672.842932189544</v>
      </c>
      <c r="T36" s="615">
        <v>667.1572572228558</v>
      </c>
      <c r="U36" s="615">
        <v>672.4441756925946</v>
      </c>
      <c r="V36" s="615">
        <v>673.8601721532309</v>
      </c>
      <c r="W36" s="615">
        <v>666.0241627078987</v>
      </c>
      <c r="X36" s="615">
        <v>661.1940941751228</v>
      </c>
      <c r="Y36" s="615">
        <v>644.0234349400974</v>
      </c>
      <c r="Z36" s="615">
        <v>641.61994041272</v>
      </c>
      <c r="AA36" s="615">
        <v>645.1226876452603</v>
      </c>
      <c r="AB36" s="615">
        <v>640.5602775595789</v>
      </c>
      <c r="AC36" s="615">
        <v>654.3640752099554</v>
      </c>
      <c r="AD36" s="615">
        <v>657.5970584605274</v>
      </c>
      <c r="AE36" s="640">
        <f t="shared" si="1"/>
        <v>0.4940649056161135</v>
      </c>
      <c r="AF36" s="598" t="s">
        <v>13</v>
      </c>
      <c r="AG36" s="298">
        <v>64.767115</v>
      </c>
      <c r="AH36" s="315">
        <f t="shared" si="0"/>
        <v>10153.25537443697</v>
      </c>
    </row>
    <row r="37" spans="1:33" ht="12.75" customHeight="1">
      <c r="A37" s="597"/>
      <c r="B37" s="652" t="s">
        <v>289</v>
      </c>
      <c r="C37" s="653"/>
      <c r="D37" s="653"/>
      <c r="E37" s="654"/>
      <c r="F37" s="654"/>
      <c r="G37" s="654">
        <v>2.685</v>
      </c>
      <c r="H37" s="654">
        <v>4.293</v>
      </c>
      <c r="I37" s="654">
        <v>4.638</v>
      </c>
      <c r="J37" s="654">
        <v>4.759</v>
      </c>
      <c r="K37" s="654">
        <v>5.01</v>
      </c>
      <c r="L37" s="654">
        <v>3.531</v>
      </c>
      <c r="M37" s="654">
        <v>4.734</v>
      </c>
      <c r="N37" s="654">
        <v>4.962</v>
      </c>
      <c r="O37" s="654">
        <v>5.115</v>
      </c>
      <c r="P37" s="654">
        <v>5.173</v>
      </c>
      <c r="Q37" s="654">
        <v>5.906</v>
      </c>
      <c r="R37" s="654">
        <v>6.319</v>
      </c>
      <c r="S37" s="654">
        <v>6.34</v>
      </c>
      <c r="T37" s="654">
        <v>6.645</v>
      </c>
      <c r="U37" s="654">
        <v>6.87</v>
      </c>
      <c r="V37" s="654">
        <v>6.377</v>
      </c>
      <c r="W37" s="654">
        <v>5.647</v>
      </c>
      <c r="X37" s="654">
        <v>6.068</v>
      </c>
      <c r="Y37" s="654">
        <v>5.535</v>
      </c>
      <c r="Z37" s="654">
        <v>6.726</v>
      </c>
      <c r="AA37" s="654">
        <v>6.654</v>
      </c>
      <c r="AB37" s="654">
        <v>7.587</v>
      </c>
      <c r="AC37" s="655">
        <v>8.514708763183696</v>
      </c>
      <c r="AD37" s="655">
        <v>9.130100123541187</v>
      </c>
      <c r="AE37" s="656">
        <f t="shared" si="1"/>
        <v>7.227391769620468</v>
      </c>
      <c r="AF37" s="652" t="s">
        <v>289</v>
      </c>
      <c r="AG37" s="618"/>
    </row>
    <row r="38" spans="1:33" ht="12.75" customHeight="1">
      <c r="A38" s="597"/>
      <c r="B38" s="598" t="s">
        <v>235</v>
      </c>
      <c r="C38" s="614"/>
      <c r="D38" s="614"/>
      <c r="E38" s="615"/>
      <c r="F38" s="615"/>
      <c r="G38" s="615"/>
      <c r="H38" s="615"/>
      <c r="I38" s="615"/>
      <c r="J38" s="616"/>
      <c r="K38" s="616"/>
      <c r="L38" s="616"/>
      <c r="M38" s="616"/>
      <c r="N38" s="616"/>
      <c r="O38" s="616"/>
      <c r="P38" s="616"/>
      <c r="Q38" s="616"/>
      <c r="R38" s="616"/>
      <c r="S38" s="616"/>
      <c r="T38" s="616"/>
      <c r="U38" s="616"/>
      <c r="V38" s="616"/>
      <c r="W38" s="616"/>
      <c r="X38" s="616"/>
      <c r="Y38" s="616">
        <v>4.079443943033051</v>
      </c>
      <c r="Z38" s="616">
        <v>3.929694286390853</v>
      </c>
      <c r="AA38" s="616">
        <v>3.976974965962094</v>
      </c>
      <c r="AB38" s="616">
        <v>4.073523343797696</v>
      </c>
      <c r="AC38" s="616">
        <v>4.025779622039214</v>
      </c>
      <c r="AD38" s="616">
        <v>4.085406232758256</v>
      </c>
      <c r="AE38" s="617">
        <f t="shared" si="1"/>
        <v>1.481119592155892</v>
      </c>
      <c r="AF38" s="598" t="s">
        <v>235</v>
      </c>
      <c r="AG38" s="618"/>
    </row>
    <row r="39" spans="1:33" s="627" customFormat="1" ht="12.75" customHeight="1">
      <c r="A39" s="619"/>
      <c r="B39" s="610" t="s">
        <v>149</v>
      </c>
      <c r="C39" s="630"/>
      <c r="D39" s="630"/>
      <c r="E39" s="622"/>
      <c r="F39" s="622"/>
      <c r="G39" s="622"/>
      <c r="H39" s="644"/>
      <c r="I39" s="644"/>
      <c r="J39" s="623"/>
      <c r="K39" s="623"/>
      <c r="L39" s="623"/>
      <c r="M39" s="623"/>
      <c r="N39" s="623"/>
      <c r="O39" s="612">
        <v>4.793</v>
      </c>
      <c r="P39" s="612">
        <v>4.671</v>
      </c>
      <c r="Q39" s="612">
        <v>4.687</v>
      </c>
      <c r="R39" s="612">
        <v>4.637</v>
      </c>
      <c r="S39" s="612">
        <v>4.2</v>
      </c>
      <c r="T39" s="612">
        <v>3.974</v>
      </c>
      <c r="U39" s="612">
        <v>3.806</v>
      </c>
      <c r="V39" s="612">
        <v>3.974</v>
      </c>
      <c r="W39" s="612">
        <v>4.215</v>
      </c>
      <c r="X39" s="612">
        <v>4.244</v>
      </c>
      <c r="Y39" s="612">
        <v>4.683</v>
      </c>
      <c r="Z39" s="612">
        <v>5.322</v>
      </c>
      <c r="AA39" s="612">
        <v>5.116</v>
      </c>
      <c r="AB39" s="612">
        <v>5.964</v>
      </c>
      <c r="AC39" s="612">
        <v>6.769</v>
      </c>
      <c r="AD39" s="612">
        <v>6.987</v>
      </c>
      <c r="AE39" s="632">
        <f t="shared" si="1"/>
        <v>3.2205643374205977</v>
      </c>
      <c r="AF39" s="610" t="s">
        <v>149</v>
      </c>
      <c r="AG39" s="573"/>
    </row>
    <row r="40" spans="1:33" s="627" customFormat="1" ht="12.75" customHeight="1">
      <c r="A40" s="619"/>
      <c r="B40" s="598" t="s">
        <v>236</v>
      </c>
      <c r="C40" s="614"/>
      <c r="D40" s="614"/>
      <c r="E40" s="615"/>
      <c r="F40" s="615"/>
      <c r="G40" s="615"/>
      <c r="H40" s="645"/>
      <c r="I40" s="645"/>
      <c r="J40" s="616"/>
      <c r="K40" s="616"/>
      <c r="L40" s="616"/>
      <c r="M40" s="616"/>
      <c r="N40" s="616"/>
      <c r="O40" s="616"/>
      <c r="P40" s="616"/>
      <c r="Q40" s="616"/>
      <c r="R40" s="616"/>
      <c r="S40" s="616"/>
      <c r="T40" s="616"/>
      <c r="U40" s="616"/>
      <c r="V40" s="616"/>
      <c r="W40" s="616"/>
      <c r="X40" s="616"/>
      <c r="Y40" s="616">
        <v>30.589796610169493</v>
      </c>
      <c r="Z40" s="616">
        <v>26.07948717948718</v>
      </c>
      <c r="AA40" s="616">
        <v>26.5184804926127</v>
      </c>
      <c r="AB40" s="616">
        <v>27.10630859758152</v>
      </c>
      <c r="AC40" s="616">
        <v>27.918314222064502</v>
      </c>
      <c r="AD40" s="616">
        <v>28.61996915457172</v>
      </c>
      <c r="AE40" s="617">
        <f t="shared" si="1"/>
        <v>2.5132424792062977</v>
      </c>
      <c r="AF40" s="598" t="s">
        <v>236</v>
      </c>
      <c r="AG40" s="618"/>
    </row>
    <row r="41" spans="1:32" ht="12" customHeight="1">
      <c r="A41" s="597"/>
      <c r="B41" s="657" t="s">
        <v>150</v>
      </c>
      <c r="C41" s="658" t="s">
        <v>99</v>
      </c>
      <c r="D41" s="658" t="s">
        <v>99</v>
      </c>
      <c r="E41" s="659">
        <v>34.325</v>
      </c>
      <c r="F41" s="659">
        <v>33.58</v>
      </c>
      <c r="G41" s="659">
        <v>36.889</v>
      </c>
      <c r="H41" s="659">
        <v>41.848</v>
      </c>
      <c r="I41" s="659">
        <v>45.736</v>
      </c>
      <c r="J41" s="659">
        <v>52.652</v>
      </c>
      <c r="K41" s="659">
        <v>57.486</v>
      </c>
      <c r="L41" s="660">
        <v>62.5</v>
      </c>
      <c r="M41" s="660">
        <v>67.5</v>
      </c>
      <c r="N41" s="660">
        <v>72.5</v>
      </c>
      <c r="O41" s="660">
        <v>79</v>
      </c>
      <c r="P41" s="660">
        <v>81</v>
      </c>
      <c r="Q41" s="660">
        <v>82</v>
      </c>
      <c r="R41" s="660">
        <v>84</v>
      </c>
      <c r="S41" s="660">
        <v>95</v>
      </c>
      <c r="T41" s="660">
        <v>100</v>
      </c>
      <c r="U41" s="660">
        <v>108</v>
      </c>
      <c r="V41" s="660">
        <v>114</v>
      </c>
      <c r="W41" s="660">
        <v>120</v>
      </c>
      <c r="X41" s="661">
        <v>124.038</v>
      </c>
      <c r="Y41" s="659">
        <v>137.857</v>
      </c>
      <c r="Z41" s="659">
        <v>146.931</v>
      </c>
      <c r="AA41" s="659">
        <v>162.315</v>
      </c>
      <c r="AB41" s="659">
        <v>173.332</v>
      </c>
      <c r="AC41" s="659">
        <v>182.155</v>
      </c>
      <c r="AD41" s="659">
        <v>199.895</v>
      </c>
      <c r="AE41" s="662">
        <f t="shared" si="1"/>
        <v>9.738958579231976</v>
      </c>
      <c r="AF41" s="657" t="s">
        <v>150</v>
      </c>
    </row>
    <row r="42" spans="1:32" ht="12.75" customHeight="1">
      <c r="A42" s="597"/>
      <c r="B42" s="598" t="s">
        <v>151</v>
      </c>
      <c r="C42" s="663" t="s">
        <v>99</v>
      </c>
      <c r="D42" s="663" t="s">
        <v>99</v>
      </c>
      <c r="E42" s="664" t="s">
        <v>99</v>
      </c>
      <c r="F42" s="664"/>
      <c r="G42" s="664"/>
      <c r="H42" s="664"/>
      <c r="I42" s="664"/>
      <c r="J42" s="664">
        <v>3.026</v>
      </c>
      <c r="K42" s="664">
        <v>3.168</v>
      </c>
      <c r="L42" s="664">
        <v>3.36</v>
      </c>
      <c r="M42" s="664">
        <v>3.561</v>
      </c>
      <c r="N42" s="664">
        <v>3.712</v>
      </c>
      <c r="O42" s="664">
        <v>3.765</v>
      </c>
      <c r="P42" s="664">
        <v>3.95</v>
      </c>
      <c r="Q42" s="664">
        <v>4.06</v>
      </c>
      <c r="R42" s="664">
        <v>4.174</v>
      </c>
      <c r="S42" s="664">
        <v>4.301</v>
      </c>
      <c r="T42" s="664">
        <v>4.558</v>
      </c>
      <c r="U42" s="615">
        <v>4.833</v>
      </c>
      <c r="V42" s="615">
        <v>5.077</v>
      </c>
      <c r="W42" s="615">
        <v>4.948</v>
      </c>
      <c r="X42" s="664">
        <v>5.002</v>
      </c>
      <c r="Y42" s="664">
        <v>4.958</v>
      </c>
      <c r="Z42" s="664">
        <v>4.776</v>
      </c>
      <c r="AA42" s="664">
        <v>4.832</v>
      </c>
      <c r="AB42" s="664">
        <v>4.971</v>
      </c>
      <c r="AC42" s="664">
        <v>5.226</v>
      </c>
      <c r="AD42" s="664">
        <v>5.605</v>
      </c>
      <c r="AE42" s="665">
        <f t="shared" si="1"/>
        <v>7.2522005357826345</v>
      </c>
      <c r="AF42" s="598" t="s">
        <v>151</v>
      </c>
    </row>
    <row r="43" spans="1:32" ht="12.75" customHeight="1">
      <c r="A43" s="597"/>
      <c r="B43" s="610" t="s">
        <v>152</v>
      </c>
      <c r="C43" s="630">
        <f>17.781+0.429</f>
        <v>18.209999999999997</v>
      </c>
      <c r="D43" s="630">
        <f>30.436+0.625</f>
        <v>31.061</v>
      </c>
      <c r="E43" s="622">
        <f>42.696+0.523+0.278</f>
        <v>43.497</v>
      </c>
      <c r="F43" s="622">
        <f>42.252+0.513+0.247</f>
        <v>43.012</v>
      </c>
      <c r="G43" s="622">
        <f>42.39+0.545+0.237</f>
        <v>43.172000000000004</v>
      </c>
      <c r="H43" s="622">
        <f>43.128+0.553+0.262</f>
        <v>43.943</v>
      </c>
      <c r="I43" s="622">
        <f>43.605+0.561+0.367</f>
        <v>44.532999999999994</v>
      </c>
      <c r="J43" s="622">
        <f>43.659+0.566+0.505</f>
        <v>44.730000000000004</v>
      </c>
      <c r="K43" s="622">
        <f>45.217+0.57+0.642</f>
        <v>46.429</v>
      </c>
      <c r="L43" s="622">
        <f>46.078+0.6+0.98</f>
        <v>47.658</v>
      </c>
      <c r="M43" s="622">
        <f>47.294+0.613+1.359</f>
        <v>49.266</v>
      </c>
      <c r="N43" s="622">
        <f>48.233+0.601+1.497</f>
        <v>50.330999999999996</v>
      </c>
      <c r="O43" s="622">
        <f>49.055+0.583+1.535</f>
        <v>51.172999999999995</v>
      </c>
      <c r="P43" s="622">
        <f>50.226+0.609+1.522</f>
        <v>52.357</v>
      </c>
      <c r="Q43" s="622">
        <f>51.478+0.58+1.429</f>
        <v>53.487</v>
      </c>
      <c r="R43" s="622">
        <f>52.127+0.575+1.3</f>
        <v>54.002</v>
      </c>
      <c r="S43" s="622">
        <f>52.606+0.571+1.165</f>
        <v>54.342</v>
      </c>
      <c r="T43" s="622">
        <f>52.4+0.556+1.071</f>
        <v>54.026999999999994</v>
      </c>
      <c r="U43" s="622">
        <f>53.302+0.552+1.084</f>
        <v>54.938</v>
      </c>
      <c r="V43" s="622">
        <f>54.866+0.665+1.143</f>
        <v>56.674</v>
      </c>
      <c r="W43" s="622">
        <f>55.956+0.636+1.151</f>
        <v>57.74300000000001</v>
      </c>
      <c r="X43" s="622">
        <f>56.536+1.132+0.624</f>
        <v>58.292</v>
      </c>
      <c r="Y43" s="622">
        <f>57.034+1.199+0.545</f>
        <v>58.778</v>
      </c>
      <c r="Z43" s="622">
        <f>58.029+1.342+0.532</f>
        <v>59.903000000000006</v>
      </c>
      <c r="AA43" s="622">
        <f>58.701+1.487+0.516</f>
        <v>60.704</v>
      </c>
      <c r="AB43" s="622">
        <f>59.407+1.595+0.511</f>
        <v>61.513</v>
      </c>
      <c r="AC43" s="622">
        <f>61.288+1.698+0.494</f>
        <v>63.48</v>
      </c>
      <c r="AD43" s="622">
        <f>62.391+1.83+0.495</f>
        <v>64.71600000000001</v>
      </c>
      <c r="AE43" s="632">
        <f t="shared" si="1"/>
        <v>1.947069943289236</v>
      </c>
      <c r="AF43" s="610" t="s">
        <v>152</v>
      </c>
    </row>
    <row r="44" spans="1:32" ht="12.75" customHeight="1">
      <c r="A44" s="597"/>
      <c r="B44" s="604" t="s">
        <v>153</v>
      </c>
      <c r="C44" s="666">
        <v>41.836</v>
      </c>
      <c r="D44" s="666">
        <v>61.817</v>
      </c>
      <c r="E44" s="650">
        <v>73.271</v>
      </c>
      <c r="F44" s="650">
        <v>74.744</v>
      </c>
      <c r="G44" s="650">
        <v>73.372</v>
      </c>
      <c r="H44" s="650">
        <v>71.417</v>
      </c>
      <c r="I44" s="649">
        <v>68.358</v>
      </c>
      <c r="J44" s="650">
        <v>69.586</v>
      </c>
      <c r="K44" s="650">
        <v>70.774</v>
      </c>
      <c r="L44" s="650">
        <v>71.406</v>
      </c>
      <c r="M44" s="650">
        <v>72.54</v>
      </c>
      <c r="N44" s="650">
        <v>73.531</v>
      </c>
      <c r="O44" s="650">
        <v>74.984</v>
      </c>
      <c r="P44" s="650">
        <v>75.494</v>
      </c>
      <c r="Q44" s="650">
        <v>76.369</v>
      </c>
      <c r="R44" s="650">
        <v>77.001</v>
      </c>
      <c r="S44" s="650">
        <v>77.74</v>
      </c>
      <c r="T44" s="650">
        <v>77.844</v>
      </c>
      <c r="U44" s="650">
        <v>78.394</v>
      </c>
      <c r="V44" s="650">
        <v>79.261</v>
      </c>
      <c r="W44" s="650">
        <v>80.689</v>
      </c>
      <c r="X44" s="650">
        <v>82.459</v>
      </c>
      <c r="Y44" s="650">
        <v>83.775</v>
      </c>
      <c r="Z44" s="650">
        <v>84.889</v>
      </c>
      <c r="AA44" s="650">
        <v>86.651</v>
      </c>
      <c r="AB44" s="650">
        <v>88.255</v>
      </c>
      <c r="AC44" s="650">
        <v>89.674</v>
      </c>
      <c r="AD44" s="650">
        <v>91.046</v>
      </c>
      <c r="AE44" s="667">
        <f t="shared" si="1"/>
        <v>1.5299863951647126</v>
      </c>
      <c r="AF44" s="604" t="s">
        <v>153</v>
      </c>
    </row>
    <row r="45" spans="1:32" ht="15" customHeight="1">
      <c r="A45" s="597"/>
      <c r="B45" s="668" t="s">
        <v>175</v>
      </c>
      <c r="C45" s="669"/>
      <c r="D45" s="669"/>
      <c r="E45" s="669"/>
      <c r="F45" s="669"/>
      <c r="G45" s="669"/>
      <c r="H45" s="669"/>
      <c r="I45" s="669"/>
      <c r="J45" s="669"/>
      <c r="K45" s="669"/>
      <c r="L45" s="669"/>
      <c r="M45" s="669"/>
      <c r="N45" s="669"/>
      <c r="O45" s="669"/>
      <c r="P45" s="669"/>
      <c r="Q45" s="669"/>
      <c r="R45" s="669"/>
      <c r="S45" s="669"/>
      <c r="T45" s="670"/>
      <c r="U45" s="670"/>
      <c r="V45" s="670"/>
      <c r="W45" s="670"/>
      <c r="X45" s="670"/>
      <c r="Y45" s="670"/>
      <c r="Z45" s="670"/>
      <c r="AA45" s="670"/>
      <c r="AB45" s="670"/>
      <c r="AC45" s="670"/>
      <c r="AD45" s="670"/>
      <c r="AF45" s="670"/>
    </row>
    <row r="46" spans="2:32" ht="12.75" customHeight="1">
      <c r="B46" s="671" t="s">
        <v>173</v>
      </c>
      <c r="C46" s="672"/>
      <c r="D46" s="673"/>
      <c r="E46" s="674"/>
      <c r="F46" s="674"/>
      <c r="G46" s="674"/>
      <c r="H46" s="675"/>
      <c r="I46" s="674"/>
      <c r="J46" s="673"/>
      <c r="K46" s="675"/>
      <c r="L46" s="674"/>
      <c r="M46" s="674"/>
      <c r="N46" s="673"/>
      <c r="O46" s="673"/>
      <c r="P46" s="674"/>
      <c r="Q46" s="674"/>
      <c r="R46" s="676"/>
      <c r="S46" s="676"/>
      <c r="T46" s="677"/>
      <c r="U46" s="677"/>
      <c r="V46" s="677"/>
      <c r="W46" s="677"/>
      <c r="X46" s="677"/>
      <c r="Y46" s="677"/>
      <c r="Z46" s="677"/>
      <c r="AA46" s="677"/>
      <c r="AB46" s="677"/>
      <c r="AC46" s="677"/>
      <c r="AD46" s="677"/>
      <c r="AE46" s="677"/>
      <c r="AF46" s="677"/>
    </row>
    <row r="47" ht="12.75" customHeight="1">
      <c r="B47" s="577" t="s">
        <v>338</v>
      </c>
    </row>
    <row r="48" spans="1:2" ht="13.5" customHeight="1">
      <c r="A48" s="573"/>
      <c r="B48" s="678" t="s">
        <v>294</v>
      </c>
    </row>
    <row r="49" spans="1:2" ht="12.75" customHeight="1">
      <c r="A49" s="573"/>
      <c r="B49" s="678" t="s">
        <v>176</v>
      </c>
    </row>
    <row r="50" spans="1:2" ht="12.75" customHeight="1">
      <c r="A50" s="573"/>
      <c r="B50" s="678" t="s">
        <v>306</v>
      </c>
    </row>
    <row r="51" ht="11.25">
      <c r="B51" s="573" t="s">
        <v>307</v>
      </c>
    </row>
    <row r="52" spans="2:30" ht="11.25">
      <c r="B52" s="573" t="s">
        <v>308</v>
      </c>
      <c r="K52" s="612"/>
      <c r="L52" s="612"/>
      <c r="M52" s="612"/>
      <c r="N52" s="612"/>
      <c r="O52" s="612"/>
      <c r="P52" s="612"/>
      <c r="Q52" s="612"/>
      <c r="R52" s="612"/>
      <c r="AC52" s="612"/>
      <c r="AD52" s="612"/>
    </row>
    <row r="53" ht="11.25">
      <c r="B53" s="679" t="s">
        <v>309</v>
      </c>
    </row>
    <row r="54" ht="11.25">
      <c r="B54" s="679" t="s">
        <v>310</v>
      </c>
    </row>
    <row r="57" spans="5:30" ht="11.25">
      <c r="E57" s="622"/>
      <c r="F57" s="622"/>
      <c r="G57" s="622"/>
      <c r="H57" s="622"/>
      <c r="I57" s="622"/>
      <c r="J57" s="622"/>
      <c r="K57" s="622"/>
      <c r="L57" s="622"/>
      <c r="M57" s="622"/>
      <c r="N57" s="622"/>
      <c r="O57" s="622"/>
      <c r="P57" s="622"/>
      <c r="Q57" s="622"/>
      <c r="R57" s="622"/>
      <c r="AC57" s="622"/>
      <c r="AD57" s="622"/>
    </row>
    <row r="58" spans="5:30" ht="11.25">
      <c r="E58" s="622"/>
      <c r="F58" s="622"/>
      <c r="G58" s="622"/>
      <c r="H58" s="622"/>
      <c r="I58" s="622"/>
      <c r="J58" s="622"/>
      <c r="K58" s="622"/>
      <c r="L58" s="622"/>
      <c r="M58" s="622"/>
      <c r="N58" s="622"/>
      <c r="O58" s="622"/>
      <c r="P58" s="622"/>
      <c r="Q58" s="622"/>
      <c r="R58" s="622"/>
      <c r="AC58" s="622"/>
      <c r="AD58" s="622"/>
    </row>
    <row r="59" spans="5:30" ht="11.25">
      <c r="E59" s="680"/>
      <c r="F59" s="680"/>
      <c r="G59" s="680"/>
      <c r="H59" s="680"/>
      <c r="I59" s="680"/>
      <c r="J59" s="680"/>
      <c r="K59" s="680"/>
      <c r="L59" s="680"/>
      <c r="M59" s="680"/>
      <c r="N59" s="680"/>
      <c r="O59" s="680"/>
      <c r="P59" s="680"/>
      <c r="Q59" s="680"/>
      <c r="R59" s="680"/>
      <c r="AC59" s="680"/>
      <c r="AD59" s="680"/>
    </row>
    <row r="60" spans="5:30" ht="11.25">
      <c r="E60" s="612"/>
      <c r="F60" s="612"/>
      <c r="G60" s="612"/>
      <c r="H60" s="612"/>
      <c r="I60" s="612"/>
      <c r="J60" s="612"/>
      <c r="K60" s="612"/>
      <c r="L60" s="612"/>
      <c r="M60" s="612"/>
      <c r="N60" s="612"/>
      <c r="O60" s="612"/>
      <c r="P60" s="612"/>
      <c r="Q60" s="612"/>
      <c r="R60" s="612"/>
      <c r="AC60" s="612"/>
      <c r="AD60" s="612"/>
    </row>
  </sheetData>
  <sheetProtection/>
  <mergeCells count="1">
    <mergeCell ref="B2:AF2"/>
  </mergeCells>
  <printOptions horizontalCentered="1"/>
  <pageMargins left="0.4724409448818898"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Dixon</dc:creator>
  <cp:keywords/>
  <dc:description/>
  <cp:lastModifiedBy>u016789</cp:lastModifiedBy>
  <cp:lastPrinted>2017-08-16T13:54:48Z</cp:lastPrinted>
  <dcterms:created xsi:type="dcterms:W3CDTF">2003-03-18T15:19:18Z</dcterms:created>
  <dcterms:modified xsi:type="dcterms:W3CDTF">2017-08-16T14:21:56Z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A16748731</vt:lpwstr>
  </property>
  <property fmtid="{D5CDD505-2E9C-101B-9397-08002B2CF9AE}" pid="3" name="Objective-Comment">
    <vt:lpwstr/>
  </property>
  <property fmtid="{D5CDD505-2E9C-101B-9397-08002B2CF9AE}" pid="4" name="Objective-CreationStamp">
    <vt:filetime>2017-02-15T10:58:49Z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2017-08-16T15:22:02Z</vt:filetime>
  </property>
  <property fmtid="{D5CDD505-2E9C-101B-9397-08002B2CF9AE}" pid="8" name="Objective-ModificationStamp">
    <vt:filetime>2017-08-16T15:22:04Z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2017: Research and analysis: Transport: 2017-2022:</vt:lpwstr>
  </property>
  <property fmtid="{D5CDD505-2E9C-101B-9397-08002B2CF9AE}" pid="11" name="Objective-Parent">
    <vt:lpwstr>Transport Statistics: Scottish Transport Statistics: 2017: Research and analysis: Transport: 2017-2022</vt:lpwstr>
  </property>
  <property fmtid="{D5CDD505-2E9C-101B-9397-08002B2CF9AE}" pid="12" name="Objective-State">
    <vt:lpwstr>Published</vt:lpwstr>
  </property>
  <property fmtid="{D5CDD505-2E9C-101B-9397-08002B2CF9AE}" pid="13" name="Objective-Title">
    <vt:lpwstr>Chapter12 - International</vt:lpwstr>
  </property>
  <property fmtid="{D5CDD505-2E9C-101B-9397-08002B2CF9AE}" pid="14" name="Objective-Version">
    <vt:lpwstr>10.0</vt:lpwstr>
  </property>
  <property fmtid="{D5CDD505-2E9C-101B-9397-08002B2CF9AE}" pid="15" name="Objective-VersionComment">
    <vt:lpwstr/>
  </property>
  <property fmtid="{D5CDD505-2E9C-101B-9397-08002B2CF9AE}" pid="16" name="Objective-VersionNumber">
    <vt:r8>10</vt:r8>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