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275" windowWidth="7620" windowHeight="4290" activeTab="1"/>
  </bookViews>
  <sheets>
    <sheet name="comments" sheetId="1" r:id="rId1"/>
    <sheet name="T5.1" sheetId="2" r:id="rId2"/>
    <sheet name="T5.2" sheetId="3" r:id="rId3"/>
    <sheet name="T5.3-5.4 " sheetId="4" r:id="rId4"/>
    <sheet name="T5.5" sheetId="5" r:id="rId5"/>
    <sheet name="T5.6" sheetId="6" r:id="rId6"/>
  </sheets>
  <definedNames>
    <definedName name="_xlnm.Print_Area" localSheetId="1">'T5.1'!$A$1:$Q$72</definedName>
    <definedName name="_xlnm.Print_Area" localSheetId="3">'T5.3-5.4 '!$A$1:$L$65</definedName>
    <definedName name="_xlnm.Print_Area" localSheetId="4">'T5.5'!$A$1:$O$46</definedName>
  </definedNames>
  <calcPr fullCalcOnLoad="1"/>
</workbook>
</file>

<file path=xl/sharedStrings.xml><?xml version="1.0" encoding="utf-8"?>
<sst xmlns="http://schemas.openxmlformats.org/spreadsheetml/2006/main" count="456" uniqueCount="200">
  <si>
    <t>Motorways</t>
  </si>
  <si>
    <t>Excluding slip roads</t>
  </si>
  <si>
    <t>Including slip roads</t>
  </si>
  <si>
    <t>A roads</t>
  </si>
  <si>
    <t>Dual carriageway</t>
  </si>
  <si>
    <t>Single carriageway</t>
  </si>
  <si>
    <t>Total</t>
  </si>
  <si>
    <t>by speed limit:</t>
  </si>
  <si>
    <t>up to 40 mph</t>
  </si>
  <si>
    <t>over 40 mph</t>
  </si>
  <si>
    <t>All trunk roads (*)</t>
  </si>
  <si>
    <t>Local Authority major roads</t>
  </si>
  <si>
    <t>All LA major roads (*)</t>
  </si>
  <si>
    <t>Local Authority minor roads</t>
  </si>
  <si>
    <t>B roads</t>
  </si>
  <si>
    <t>limit up to 40 mph</t>
  </si>
  <si>
    <t>limit over 40 mph</t>
  </si>
  <si>
    <t xml:space="preserve">Total </t>
  </si>
  <si>
    <t>C roads</t>
  </si>
  <si>
    <t>Unclassified roads</t>
  </si>
  <si>
    <t>All LA minor roads</t>
  </si>
  <si>
    <t>All roads (trunk and LA)</t>
  </si>
  <si>
    <t>A, B and C roads</t>
  </si>
  <si>
    <t>All roads (*)</t>
  </si>
  <si>
    <t>(*)  including Motorway slip roads</t>
  </si>
  <si>
    <t>Council</t>
  </si>
  <si>
    <t>Trunk</t>
  </si>
  <si>
    <t>Motorway</t>
  </si>
  <si>
    <t>A Roads</t>
  </si>
  <si>
    <t>slips</t>
  </si>
  <si>
    <t>kilometres</t>
  </si>
  <si>
    <t>Aberdeen City</t>
  </si>
  <si>
    <t>Aberdeenshire</t>
  </si>
  <si>
    <t>Angus</t>
  </si>
  <si>
    <t>Argyll &amp; Bute</t>
  </si>
  <si>
    <t>Scottish Borders</t>
  </si>
  <si>
    <t xml:space="preserve">Clackmannanshire 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</si>
  <si>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</si>
  <si>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</si>
  <si>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</si>
  <si>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</si>
  <si>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</si>
  <si>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</si>
  <si>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</si>
  <si>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</si>
  <si>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</si>
  <si>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</si>
  <si>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</si>
  <si>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</si>
  <si>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</si>
  <si>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</si>
  <si>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</si>
  <si>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</si>
  <si>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</si>
  <si>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</si>
  <si>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</si>
  <si>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Shetland Islands</t>
  </si>
  <si>
    <t>South Ayrshire</t>
  </si>
  <si>
    <t>South Lanarkshire</t>
  </si>
  <si>
    <t>Stirling</t>
  </si>
  <si>
    <t>West Dunbartonshire</t>
  </si>
  <si>
    <t>West Lothian</t>
  </si>
  <si>
    <t>percentages</t>
  </si>
  <si>
    <t>New roads</t>
  </si>
  <si>
    <t xml:space="preserve">   constructed/opened</t>
  </si>
  <si>
    <t>Reconstructed</t>
  </si>
  <si>
    <t>Strengthened</t>
  </si>
  <si>
    <t>Surface dressed</t>
  </si>
  <si>
    <t>..</t>
  </si>
  <si>
    <t>Unit</t>
  </si>
  <si>
    <t>Surface         Dressed</t>
  </si>
  <si>
    <t>&lt;0</t>
  </si>
  <si>
    <t>0-4</t>
  </si>
  <si>
    <t>5-9</t>
  </si>
  <si>
    <t>10-14</t>
  </si>
  <si>
    <t>15-19</t>
  </si>
  <si>
    <t>&gt;19</t>
  </si>
  <si>
    <t>Network</t>
  </si>
  <si>
    <t>length (km)</t>
  </si>
  <si>
    <t>Residual Life (years)</t>
  </si>
  <si>
    <t>1997-98</t>
  </si>
  <si>
    <t>1998-99</t>
  </si>
  <si>
    <t>Equivalent road lane length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</si>
  <si>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</si>
  <si>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</si>
  <si>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</si>
  <si>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</si>
  <si>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This is the standard lane width used for calculating lane-kilometres in tables 5.3 and 5.4</t>
  </si>
  <si>
    <t>lane-kilometres (estimated)</t>
  </si>
  <si>
    <t>Percentages of total</t>
  </si>
  <si>
    <t>1. Due to a change in the calculation of 'residual life' of roads, the additional category of 'reconstructed' (a form of strengthening) was added in 1996-97</t>
  </si>
  <si>
    <t>Eilean Siar</t>
  </si>
  <si>
    <t xml:space="preserve"> C</t>
  </si>
  <si>
    <t>A</t>
  </si>
  <si>
    <t xml:space="preserve"> Roads</t>
  </si>
  <si>
    <t>B</t>
  </si>
  <si>
    <t>1999-00</t>
  </si>
  <si>
    <t>2000-01</t>
  </si>
  <si>
    <t>dual</t>
  </si>
  <si>
    <t>single</t>
  </si>
  <si>
    <t>-40mph</t>
  </si>
  <si>
    <t>+40mph</t>
  </si>
  <si>
    <t>2001-02</t>
  </si>
  <si>
    <t>2002-03</t>
  </si>
  <si>
    <t>monitoring</t>
  </si>
  <si>
    <t>surveyed</t>
  </si>
  <si>
    <t>network</t>
  </si>
  <si>
    <t>(km)</t>
  </si>
  <si>
    <t>close</t>
  </si>
  <si>
    <t>Dual carriageways</t>
  </si>
  <si>
    <t>%</t>
  </si>
  <si>
    <t>Requires</t>
  </si>
  <si>
    <t>NW</t>
  </si>
  <si>
    <t>NE</t>
  </si>
  <si>
    <t>SW</t>
  </si>
  <si>
    <t>SE</t>
  </si>
  <si>
    <t>Unclass-</t>
  </si>
  <si>
    <t>ified</t>
  </si>
  <si>
    <t>2003-04</t>
  </si>
  <si>
    <t xml:space="preserve">2002-03 </t>
  </si>
  <si>
    <t>Red</t>
  </si>
  <si>
    <t>Unclassified</t>
  </si>
  <si>
    <t>All roads</t>
  </si>
  <si>
    <t>Scotland</t>
  </si>
  <si>
    <t>1.</t>
  </si>
  <si>
    <t>The categories used to indicate the condition of the road are described in Section 3.7 of the text.  In brief:</t>
  </si>
  <si>
    <t>(a)</t>
  </si>
  <si>
    <t>2.</t>
  </si>
  <si>
    <t>Information for 2002-03 is available only for A roads - see Section 4.3 of the text.</t>
  </si>
  <si>
    <t xml:space="preserve">percentage </t>
  </si>
  <si>
    <t>Condition</t>
  </si>
  <si>
    <t>(b)</t>
  </si>
  <si>
    <t xml:space="preserve">2003-04 </t>
  </si>
  <si>
    <t>2004-05</t>
  </si>
  <si>
    <t>Trunk roads</t>
  </si>
  <si>
    <t>1. Residual life represents the number of years to elapse before the pavement reaches the stage when it may be necessary to</t>
  </si>
  <si>
    <t xml:space="preserve">    undertake relatively more expensive reconstruction rather than strengthening to restore its full life.</t>
  </si>
  <si>
    <t xml:space="preserve">    of complete survey coverage was achieved. Therefore, these figures may not represent the current position in each of the years,</t>
  </si>
  <si>
    <t xml:space="preserve">    and apparent year-to-year changes may be due to the expansion of the surveyed network - see paragraph 4.2.2.</t>
  </si>
  <si>
    <t>2005-06</t>
  </si>
  <si>
    <t>different basis in that year.</t>
  </si>
  <si>
    <t>-</t>
  </si>
  <si>
    <t xml:space="preserve"> </t>
  </si>
  <si>
    <t>2006-07</t>
  </si>
  <si>
    <t>(a)   Residual Life of Pavements (i.e. road surface) as percentage of Surveyed Network</t>
  </si>
  <si>
    <t>2. Surveyed network is the length of the network which has been surveyed and which was increasing year by year until the target</t>
  </si>
  <si>
    <t xml:space="preserve">3. The part of the network that requires close monitoring is that which has a residual life of less than zero. </t>
  </si>
  <si>
    <r>
      <t xml:space="preserve">Surveyed </t>
    </r>
    <r>
      <rPr>
        <b/>
        <vertAlign val="superscript"/>
        <sz val="12"/>
        <rFont val="Arial"/>
        <family val="2"/>
      </rPr>
      <t>2,4</t>
    </r>
  </si>
  <si>
    <r>
      <t xml:space="preserve">(b)   The proportion of the motorway/dual carriageway trunk road network, which require close monitoring </t>
    </r>
    <r>
      <rPr>
        <vertAlign val="superscript"/>
        <sz val="12"/>
        <rFont val="Arial"/>
        <family val="2"/>
      </rPr>
      <t xml:space="preserve">3  </t>
    </r>
  </si>
  <si>
    <r>
      <t xml:space="preserve">Length 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of</t>
    </r>
  </si>
  <si>
    <t>3.</t>
  </si>
  <si>
    <t>usually -999</t>
  </si>
  <si>
    <t>4.</t>
  </si>
  <si>
    <t>1. Motorway road lengths have been consolidated using a GIS system which means that there will be some changes to previously published figures.</t>
  </si>
  <si>
    <t xml:space="preserve">2006-07 </t>
  </si>
  <si>
    <t>2007-08</t>
  </si>
  <si>
    <t xml:space="preserve">Table 5.1   </t>
  </si>
  <si>
    <t>From 2007-08 the basis of the statutory road performance indicator in Scotland changed to the UK Standard RCI.</t>
  </si>
  <si>
    <t xml:space="preserve">Glasgow, City of </t>
  </si>
  <si>
    <t>The SPI figures for Scotland in 2004-05 exclude Glasgow, as the survey in Glasgow was undertaken on a</t>
  </si>
  <si>
    <t>Source: Transport Scotland - Not National Statistics</t>
  </si>
  <si>
    <t>Source: Scottish Road Maintenance Condition Survey - Not National Statistics</t>
  </si>
  <si>
    <r>
      <t xml:space="preserve">2005 </t>
    </r>
    <r>
      <rPr>
        <b/>
        <vertAlign val="superscript"/>
        <sz val="12"/>
        <rFont val="Arial"/>
        <family val="2"/>
      </rPr>
      <t>3</t>
    </r>
  </si>
  <si>
    <t>1. From 2000, motorway road lengths are derived from a GIS - see text.</t>
  </si>
  <si>
    <t xml:space="preserve">3. There is no change in the trunk road lengths for 2005 over 2004. This is due to new roads being opened after 1st April i.e. too late to be included. </t>
  </si>
  <si>
    <t>4.Trunk road lengths for these roads have now been derived more accurately using a GIS system from 2006.</t>
  </si>
  <si>
    <r>
      <t xml:space="preserve">Amber </t>
    </r>
    <r>
      <rPr>
        <i/>
        <sz val="10"/>
        <rFont val="Arial"/>
        <family val="2"/>
      </rPr>
      <t>or</t>
    </r>
    <r>
      <rPr>
        <b/>
        <sz val="10"/>
        <rFont val="Arial"/>
        <family val="2"/>
      </rPr>
      <t xml:space="preserve">  Red</t>
    </r>
  </si>
  <si>
    <r>
      <t xml:space="preserve"> Public road lengths (as at 1 April) by class, type and speed limit </t>
    </r>
    <r>
      <rPr>
        <vertAlign val="superscript"/>
        <sz val="12"/>
        <rFont val="Arial"/>
        <family val="2"/>
      </rPr>
      <t>1,2</t>
    </r>
  </si>
  <si>
    <t>2. Road lengths are physical length rather than carriageway length e.g. 10km of dual carriageway counts as 10km, not 20km.</t>
  </si>
  <si>
    <r>
      <t>Motorway</t>
    </r>
    <r>
      <rPr>
        <b/>
        <vertAlign val="superscript"/>
        <sz val="12"/>
        <rFont val="Arial"/>
        <family val="2"/>
      </rPr>
      <t xml:space="preserve"> 1</t>
    </r>
  </si>
  <si>
    <r>
      <t>Table 5.3</t>
    </r>
    <r>
      <rPr>
        <sz val="12"/>
        <rFont val="Arial"/>
        <family val="2"/>
      </rPr>
      <t xml:space="preserve">     Trunk road constructed/re-surfaced etc</t>
    </r>
  </si>
  <si>
    <t>New road constructed for traffic</t>
  </si>
  <si>
    <r>
      <t xml:space="preserve">Table 5.5 </t>
    </r>
    <r>
      <rPr>
        <sz val="12"/>
        <rFont val="Arial"/>
        <family val="2"/>
      </rPr>
      <t xml:space="preserve">    Trunk road network: Residual Life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(years)</t>
    </r>
  </si>
  <si>
    <t>4. Network length is carriageway kilometres, i.e. 10km of dual carriageway counts as 20km, hence the difference from Table 5.1.</t>
  </si>
  <si>
    <t>amber - further investigation should be undertaken to establish if treatment is required</t>
  </si>
  <si>
    <t>red - the road has deteriorated to the point at which it is likely repairs to prolong its future life should be undertaken.</t>
  </si>
  <si>
    <r>
      <t xml:space="preserve">2004-05 </t>
    </r>
    <r>
      <rPr>
        <vertAlign val="superscript"/>
        <sz val="12"/>
        <rFont val="Arial"/>
        <family val="2"/>
      </rPr>
      <t>4</t>
    </r>
  </si>
  <si>
    <t>http://scots.sharepoint.apptix.net/srmcs/General%20Publications/SCANNER%20RCI%20Explanatory%20Notes.pdf</t>
  </si>
  <si>
    <t xml:space="preserve">More detailed information on the changes can be found at the following web link  </t>
  </si>
  <si>
    <t>2. Triangulation with other sources of road length data has occurred to improve the quality of the informatin. Figures may not be comparable with previous editions.</t>
  </si>
  <si>
    <r>
      <t xml:space="preserve">Local Authority </t>
    </r>
    <r>
      <rPr>
        <b/>
        <vertAlign val="superscript"/>
        <sz val="12"/>
        <rFont val="Arial"/>
        <family val="2"/>
      </rPr>
      <t>2</t>
    </r>
  </si>
  <si>
    <r>
      <t>Table 5.2</t>
    </r>
    <r>
      <rPr>
        <sz val="12"/>
        <rFont val="Arial"/>
        <family val="2"/>
      </rPr>
      <t xml:space="preserve">     Public road lengths (as at 1 April) by council area and class, 2008</t>
    </r>
  </si>
  <si>
    <t xml:space="preserve">2007-08 </t>
  </si>
  <si>
    <r>
      <t>2008-09 (</t>
    </r>
    <r>
      <rPr>
        <b/>
        <i/>
        <sz val="12"/>
        <rFont val="Arial"/>
        <family val="2"/>
      </rPr>
      <t>prov</t>
    </r>
    <r>
      <rPr>
        <b/>
        <sz val="12"/>
        <rFont val="Arial"/>
        <family val="2"/>
      </rPr>
      <t>)</t>
    </r>
  </si>
  <si>
    <r>
      <t xml:space="preserve">Table 5.4 (a)  </t>
    </r>
    <r>
      <rPr>
        <sz val="12"/>
        <rFont val="Arial"/>
        <family val="2"/>
      </rPr>
      <t xml:space="preserve">   Trunk road constructed/re-surfaced etc, by unit, 2007-08</t>
    </r>
  </si>
  <si>
    <r>
      <t>Table 5.4 (b)</t>
    </r>
    <r>
      <rPr>
        <sz val="12"/>
        <rFont val="Arial"/>
        <family val="2"/>
      </rPr>
      <t xml:space="preserve">     Trunk road constructed/re-surfaced etc, by unit, 2008-09 (provisional)</t>
    </r>
  </si>
  <si>
    <t>2008-09</t>
  </si>
  <si>
    <t>in each Council area:  2008-09</t>
  </si>
  <si>
    <r>
      <t xml:space="preserve">for Scotland as a whole:  2002-03 </t>
    </r>
    <r>
      <rPr>
        <b/>
        <i/>
        <vertAlign val="superscript"/>
        <sz val="11"/>
        <rFont val="Arial"/>
        <family val="2"/>
      </rPr>
      <t xml:space="preserve">3 </t>
    </r>
    <r>
      <rPr>
        <b/>
        <i/>
        <sz val="11"/>
        <rFont val="Arial"/>
        <family val="2"/>
      </rPr>
      <t>to 2008-09 (Old SPI  Series)</t>
    </r>
  </si>
  <si>
    <r>
      <t xml:space="preserve">for Scotland as a whole:  2005-06 </t>
    </r>
    <r>
      <rPr>
        <b/>
        <i/>
        <vertAlign val="superscript"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to 2008-09 (New RCI  Series)</t>
    </r>
    <r>
      <rPr>
        <b/>
        <i/>
        <vertAlign val="superscript"/>
        <sz val="11"/>
        <rFont val="Arial"/>
        <family val="2"/>
      </rPr>
      <t xml:space="preserve"> 2</t>
    </r>
  </si>
  <si>
    <t xml:space="preserve">While it has been possible, following the change to the indicator, to calculate the equivalent RCI value for all classified roads from 2005-06, </t>
  </si>
  <si>
    <t>it has not been possible to do this in a reliable manner for unclassified roads, owing to a lack of cracking data for those years.</t>
  </si>
  <si>
    <t>As unclassified roads represent a significant part of the total road network, RCI data for the network is similarly not available for this period</t>
  </si>
  <si>
    <t>It is important to note that owing to the different formulation, no valid comparison can or should be made between the two series</t>
  </si>
  <si>
    <t>5.</t>
  </si>
  <si>
    <r>
      <t xml:space="preserve">Reconstructed </t>
    </r>
    <r>
      <rPr>
        <vertAlign val="superscript"/>
        <sz val="12"/>
        <rFont val="Arial"/>
        <family val="2"/>
      </rPr>
      <t>1</t>
    </r>
  </si>
  <si>
    <r>
      <t>Dual carriageway</t>
    </r>
    <r>
      <rPr>
        <vertAlign val="superscript"/>
        <sz val="12"/>
        <rFont val="Arial"/>
        <family val="2"/>
      </rPr>
      <t xml:space="preserve"> 5</t>
    </r>
  </si>
  <si>
    <r>
      <t xml:space="preserve">Single carriageway </t>
    </r>
    <r>
      <rPr>
        <vertAlign val="superscript"/>
        <sz val="12"/>
        <rFont val="Arial"/>
        <family val="2"/>
      </rPr>
      <t>5</t>
    </r>
  </si>
  <si>
    <t>5.From 2008 onwards single and dual carriageways figures are estimated.</t>
  </si>
  <si>
    <r>
      <t>Table 5.6</t>
    </r>
    <r>
      <rPr>
        <sz val="12"/>
        <rFont val="Arial"/>
        <family val="2"/>
      </rPr>
      <t xml:space="preserve">    Local authority road network condition  </t>
    </r>
    <r>
      <rPr>
        <vertAlign val="superscript"/>
        <sz val="12"/>
        <rFont val="Arial"/>
        <family val="2"/>
      </rPr>
      <t>1, 2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</si>
</sst>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_-* #,##0_-;\-* #,##0_-;_-* &quot;-&quot;??_-;_-@_-"/>
    <numFmt numFmtId="168" formatCode="0;\-"/>
    <numFmt numFmtId="169" formatCode="0;[Red]\-"/>
    <numFmt numFmtId="170" formatCode="#,##0_ ;\-#,##0\ "/>
    <numFmt numFmtId="171" formatCode="00000"/>
    <numFmt numFmtId="172" formatCode="_-* #,##0.0_-;\-* #,##0.0_-;_-* &quot;-&quot;_-;_-@_-"/>
    <numFmt numFmtId="173" formatCode="0.00000"/>
    <numFmt numFmtId="174" formatCode="0.0000"/>
    <numFmt numFmtId="175" formatCode="_-* #,##0.0_-;\-* #,##0.0_-;_-* &quot;-&quot;?_-;_-@_-"/>
    <numFmt numFmtId="176" formatCode="_-* #,##0.00_-;\-* #,##0.00_-;_-* &quot;-&quot;_-;_-@_-"/>
    <numFmt numFmtId="177" formatCode="_-* #,##0.0_-;\-* #,##0.0_-;_-* &quot;-&quot;??_-;_-@_-"/>
    <numFmt numFmtId="178" formatCode="#,##0.00_ ;\-#,##0.00\ "/>
    <numFmt numFmtId="179" formatCode="[$-809]dd\ mmmm\ yyyy"/>
    <numFmt numFmtId="180" formatCode="0.000000"/>
    <numFmt numFmtId="181" formatCode="0.0000000"/>
    <numFmt numFmtId="182" formatCode="0.00000000"/>
    <numFmt numFmtId="183" formatCode="#,##0.000_ ;\-#,##0.0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General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 wrapText="1"/>
    </xf>
    <xf numFmtId="3" fontId="5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4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41" fontId="5" fillId="0" borderId="0" xfId="0" applyNumberFormat="1" applyFont="1" applyAlignment="1" quotePrefix="1">
      <alignment horizontal="right"/>
    </xf>
    <xf numFmtId="0" fontId="0" fillId="0" borderId="0" xfId="0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Continuous" vertical="top"/>
    </xf>
    <xf numFmtId="1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0" fontId="15" fillId="0" borderId="0" xfId="0" applyFont="1" applyAlignment="1" applyProtection="1">
      <alignment/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Continuous" vertical="top" wrapText="1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13" fillId="0" borderId="0" xfId="0" applyFont="1" applyBorder="1" applyAlignment="1" quotePrefix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Alignment="1" quotePrefix="1">
      <alignment horizontal="right"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70" fontId="21" fillId="0" borderId="0" xfId="0" applyNumberFormat="1" applyFont="1" applyFill="1" applyAlignment="1">
      <alignment/>
    </xf>
    <xf numFmtId="170" fontId="21" fillId="0" borderId="0" xfId="0" applyNumberFormat="1" applyFont="1" applyAlignment="1">
      <alignment/>
    </xf>
    <xf numFmtId="170" fontId="21" fillId="0" borderId="0" xfId="0" applyNumberFormat="1" applyFont="1" applyFill="1" applyBorder="1" applyAlignment="1">
      <alignment/>
    </xf>
    <xf numFmtId="41" fontId="5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/>
    </xf>
    <xf numFmtId="164" fontId="22" fillId="0" borderId="0" xfId="0" applyNumberFormat="1" applyFont="1" applyBorder="1" applyAlignment="1">
      <alignment/>
    </xf>
    <xf numFmtId="170" fontId="5" fillId="0" borderId="3" xfId="0" applyNumberFormat="1" applyFont="1" applyBorder="1" applyAlignment="1">
      <alignment/>
    </xf>
    <xf numFmtId="170" fontId="21" fillId="0" borderId="3" xfId="0" applyNumberFormat="1" applyFont="1" applyBorder="1" applyAlignment="1">
      <alignment/>
    </xf>
    <xf numFmtId="41" fontId="21" fillId="0" borderId="0" xfId="0" applyNumberFormat="1" applyFont="1" applyFill="1" applyAlignment="1">
      <alignment horizontal="right"/>
    </xf>
    <xf numFmtId="166" fontId="21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right"/>
    </xf>
    <xf numFmtId="0" fontId="21" fillId="0" borderId="0" xfId="0" applyNumberFormat="1" applyFont="1" applyFill="1" applyAlignment="1">
      <alignment horizontal="right"/>
    </xf>
    <xf numFmtId="0" fontId="21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Border="1" applyAlignment="1">
      <alignment horizontal="right"/>
    </xf>
    <xf numFmtId="1" fontId="21" fillId="0" borderId="0" xfId="0" applyNumberFormat="1" applyFont="1" applyAlignment="1">
      <alignment horizontal="right"/>
    </xf>
    <xf numFmtId="3" fontId="23" fillId="0" borderId="0" xfId="15" applyNumberFormat="1" applyFont="1" applyBorder="1" applyAlignment="1">
      <alignment horizontal="right"/>
    </xf>
    <xf numFmtId="41" fontId="23" fillId="0" borderId="0" xfId="0" applyNumberFormat="1" applyFont="1" applyFill="1" applyBorder="1" applyAlignment="1">
      <alignment horizontal="right"/>
    </xf>
    <xf numFmtId="182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41" fontId="11" fillId="0" borderId="0" xfId="0" applyNumberFormat="1" applyFont="1" applyFill="1" applyBorder="1" applyAlignment="1">
      <alignment horizontal="right"/>
    </xf>
    <xf numFmtId="170" fontId="21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0" fontId="0" fillId="0" borderId="2" xfId="0" applyFont="1" applyFill="1" applyBorder="1" applyAlignment="1">
      <alignment/>
    </xf>
    <xf numFmtId="1" fontId="5" fillId="0" borderId="4" xfId="0" applyNumberFormat="1" applyFont="1" applyFill="1" applyBorder="1" applyAlignment="1">
      <alignment horizontal="right"/>
    </xf>
    <xf numFmtId="1" fontId="5" fillId="0" borderId="4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0" fontId="24" fillId="0" borderId="0" xfId="0" applyFont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6" xfId="0" applyFont="1" applyBorder="1" applyAlignment="1">
      <alignment/>
    </xf>
    <xf numFmtId="0" fontId="5" fillId="0" borderId="6" xfId="0" applyFont="1" applyBorder="1" applyAlignment="1" quotePrefix="1">
      <alignment horizontal="left"/>
    </xf>
    <xf numFmtId="170" fontId="21" fillId="0" borderId="6" xfId="0" applyNumberFormat="1" applyFont="1" applyBorder="1" applyAlignment="1">
      <alignment/>
    </xf>
    <xf numFmtId="170" fontId="21" fillId="0" borderId="6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41" fontId="21" fillId="0" borderId="0" xfId="0" applyNumberFormat="1" applyFont="1" applyFill="1" applyAlignment="1">
      <alignment/>
    </xf>
    <xf numFmtId="167" fontId="21" fillId="0" borderId="0" xfId="15" applyNumberFormat="1" applyFont="1" applyFill="1" applyAlignment="1">
      <alignment/>
    </xf>
    <xf numFmtId="41" fontId="2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1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6" xfId="0" applyFont="1" applyBorder="1" applyAlignment="1">
      <alignment horizontal="left"/>
    </xf>
    <xf numFmtId="164" fontId="21" fillId="0" borderId="6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 wrapText="1"/>
    </xf>
    <xf numFmtId="0" fontId="26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5" fillId="0" borderId="5" xfId="0" applyFont="1" applyBorder="1" applyAlignment="1">
      <alignment horizontal="centerContinuous" vertical="top"/>
    </xf>
    <xf numFmtId="0" fontId="4" fillId="0" borderId="5" xfId="0" applyFont="1" applyBorder="1" applyAlignment="1">
      <alignment horizontal="centerContinuous" vertical="top" wrapText="1"/>
    </xf>
    <xf numFmtId="0" fontId="5" fillId="0" borderId="7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right"/>
    </xf>
    <xf numFmtId="49" fontId="4" fillId="0" borderId="6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15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25" fillId="0" borderId="0" xfId="0" applyNumberFormat="1" applyFont="1" applyAlignment="1">
      <alignment horizontal="right"/>
    </xf>
    <xf numFmtId="1" fontId="25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19" fillId="0" borderId="0" xfId="20" applyAlignment="1">
      <alignment/>
    </xf>
    <xf numFmtId="167" fontId="5" fillId="0" borderId="0" xfId="15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Continuous" vertical="top"/>
    </xf>
    <xf numFmtId="0" fontId="5" fillId="0" borderId="5" xfId="0" applyFont="1" applyFill="1" applyBorder="1" applyAlignment="1">
      <alignment horizontal="centerContinuous" vertical="top"/>
    </xf>
    <xf numFmtId="0" fontId="4" fillId="0" borderId="5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centerContinuous" vertical="top"/>
    </xf>
    <xf numFmtId="0" fontId="1" fillId="0" borderId="0" xfId="0" applyFont="1" applyFill="1" applyBorder="1" applyAlignment="1">
      <alignment horizontal="centerContinuous" vertical="top" wrapText="1"/>
    </xf>
    <xf numFmtId="170" fontId="16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cots.sharepoint.apptix.net/srmcs/General%20Publications/SCANNER%20RCI%20Explanatory%20Notes.pdf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10" sqref="E10:E11"/>
    </sheetView>
  </sheetViews>
  <sheetFormatPr defaultColWidth="9.140625" defaultRowHeight="12.75"/>
  <sheetData>
    <row r="1" spans="1:2" ht="13.5" thickBot="1">
      <c r="A1" s="6">
        <v>999</v>
      </c>
      <c r="B1" s="7" t="s">
        <v>83</v>
      </c>
    </row>
    <row r="2" ht="12.75">
      <c r="B2" s="8" t="s">
        <v>84</v>
      </c>
    </row>
    <row r="3" ht="12.75">
      <c r="B3" t="s">
        <v>85</v>
      </c>
    </row>
    <row r="4" ht="12.75">
      <c r="B4" t="s">
        <v>86</v>
      </c>
    </row>
    <row r="6" spans="1:5" ht="12.75">
      <c r="A6" s="9">
        <v>3.5</v>
      </c>
      <c r="B6" s="9" t="s">
        <v>87</v>
      </c>
      <c r="E6" s="7"/>
    </row>
    <row r="8" ht="12.75">
      <c r="A8" t="s">
        <v>151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tabSelected="1" zoomScale="70" zoomScaleNormal="70" workbookViewId="0" topLeftCell="A1">
      <selection activeCell="A2" sqref="A2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2.00390625" style="1" customWidth="1"/>
    <col min="4" max="4" width="6.8515625" style="1" customWidth="1"/>
    <col min="5" max="5" width="14.28125" style="1" customWidth="1"/>
    <col min="6" max="9" width="9.7109375" style="1" customWidth="1"/>
    <col min="10" max="10" width="10.28125" style="1" customWidth="1"/>
    <col min="11" max="11" width="9.7109375" style="1" customWidth="1"/>
    <col min="12" max="12" width="11.00390625" style="1" customWidth="1"/>
    <col min="13" max="13" width="10.8515625" style="1" customWidth="1"/>
    <col min="14" max="15" width="10.8515625" style="40" customWidth="1"/>
    <col min="16" max="16" width="9.8515625" style="40" customWidth="1"/>
    <col min="17" max="17" width="1.8515625" style="1" customWidth="1"/>
    <col min="18" max="16384" width="9.140625" style="1" customWidth="1"/>
  </cols>
  <sheetData>
    <row r="1" spans="1:16" s="4" customFormat="1" ht="18.75">
      <c r="A1" s="126" t="s">
        <v>156</v>
      </c>
      <c r="B1" s="25"/>
      <c r="C1" s="25"/>
      <c r="D1" s="25"/>
      <c r="E1" s="125" t="s">
        <v>167</v>
      </c>
      <c r="F1" s="25"/>
      <c r="G1" s="25"/>
      <c r="H1" s="25"/>
      <c r="I1" s="25"/>
      <c r="J1" s="25"/>
      <c r="N1" s="18"/>
      <c r="O1" s="18"/>
      <c r="P1" s="18"/>
    </row>
    <row r="2" spans="1:16" ht="21" customHeight="1">
      <c r="A2" s="122"/>
      <c r="B2" s="122"/>
      <c r="C2" s="122"/>
      <c r="D2" s="122"/>
      <c r="E2" s="122"/>
      <c r="F2" s="123">
        <v>1998</v>
      </c>
      <c r="G2" s="123">
        <v>1999</v>
      </c>
      <c r="H2" s="123">
        <v>2000</v>
      </c>
      <c r="I2" s="123">
        <v>2001</v>
      </c>
      <c r="J2" s="124">
        <v>2002</v>
      </c>
      <c r="K2" s="124">
        <v>2003</v>
      </c>
      <c r="L2" s="124">
        <v>2004</v>
      </c>
      <c r="M2" s="124" t="s">
        <v>162</v>
      </c>
      <c r="N2" s="124">
        <v>2006</v>
      </c>
      <c r="O2" s="124">
        <v>2007</v>
      </c>
      <c r="P2" s="124">
        <v>2008</v>
      </c>
    </row>
    <row r="3" spans="11:16" ht="12.75">
      <c r="K3" s="3"/>
      <c r="L3" s="53"/>
      <c r="M3" s="53"/>
      <c r="O3" s="53"/>
      <c r="P3" s="53" t="s">
        <v>30</v>
      </c>
    </row>
    <row r="4" spans="1:16" ht="15.75">
      <c r="A4" s="118" t="s">
        <v>134</v>
      </c>
      <c r="B4" s="4"/>
      <c r="C4" s="4"/>
      <c r="D4" s="4"/>
      <c r="E4" s="4"/>
      <c r="L4" s="40"/>
      <c r="M4" s="40"/>
      <c r="O4" s="1"/>
      <c r="P4" s="1"/>
    </row>
    <row r="5" spans="1:16" ht="15">
      <c r="A5" s="4"/>
      <c r="B5" s="4" t="s">
        <v>0</v>
      </c>
      <c r="C5" s="4"/>
      <c r="D5" s="4"/>
      <c r="E5" s="4"/>
      <c r="L5" s="40"/>
      <c r="M5" s="40"/>
      <c r="O5" s="1"/>
      <c r="P5" s="1"/>
    </row>
    <row r="6" spans="1:16" ht="15">
      <c r="A6" s="4"/>
      <c r="B6" s="4"/>
      <c r="C6" s="4" t="s">
        <v>1</v>
      </c>
      <c r="D6" s="4"/>
      <c r="E6" s="4"/>
      <c r="F6" s="37">
        <v>369.1</v>
      </c>
      <c r="G6" s="84">
        <v>371</v>
      </c>
      <c r="H6" s="37">
        <v>378</v>
      </c>
      <c r="I6" s="37">
        <v>378</v>
      </c>
      <c r="J6" s="37">
        <v>378</v>
      </c>
      <c r="K6" s="37">
        <v>383</v>
      </c>
      <c r="L6" s="37">
        <v>383</v>
      </c>
      <c r="M6" s="37">
        <v>383</v>
      </c>
      <c r="N6" s="37">
        <v>391.227</v>
      </c>
      <c r="O6" s="37">
        <v>391.227</v>
      </c>
      <c r="P6" s="37">
        <v>391.227</v>
      </c>
    </row>
    <row r="7" spans="1:16" ht="15">
      <c r="A7" s="4"/>
      <c r="B7" s="4"/>
      <c r="C7" s="4" t="s">
        <v>2</v>
      </c>
      <c r="D7" s="4"/>
      <c r="E7" s="4"/>
      <c r="F7" s="37">
        <v>532.1</v>
      </c>
      <c r="G7" s="84">
        <v>543</v>
      </c>
      <c r="H7" s="37">
        <v>536.8</v>
      </c>
      <c r="I7" s="37">
        <v>536.8</v>
      </c>
      <c r="J7" s="37">
        <v>536.8</v>
      </c>
      <c r="K7" s="37">
        <v>539</v>
      </c>
      <c r="L7" s="37">
        <v>539</v>
      </c>
      <c r="M7" s="37">
        <v>539</v>
      </c>
      <c r="N7" s="37">
        <v>558.986</v>
      </c>
      <c r="O7" s="37">
        <v>558.986</v>
      </c>
      <c r="P7" s="37">
        <v>558.986</v>
      </c>
    </row>
    <row r="8" spans="1:16" ht="13.5" customHeight="1">
      <c r="A8" s="4"/>
      <c r="B8" s="4" t="s">
        <v>3</v>
      </c>
      <c r="C8" s="4"/>
      <c r="D8" s="4"/>
      <c r="E8" s="4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5">
      <c r="A9" s="4"/>
      <c r="B9" s="4"/>
      <c r="C9" s="4" t="s">
        <v>4</v>
      </c>
      <c r="D9" s="4"/>
      <c r="E9" s="4"/>
      <c r="F9" s="37">
        <v>475.3</v>
      </c>
      <c r="G9" s="37">
        <v>463.7</v>
      </c>
      <c r="H9" s="37">
        <v>481</v>
      </c>
      <c r="I9" s="37">
        <v>481</v>
      </c>
      <c r="J9" s="37">
        <v>481</v>
      </c>
      <c r="K9" s="37">
        <v>498</v>
      </c>
      <c r="L9" s="37">
        <v>512</v>
      </c>
      <c r="M9" s="37">
        <v>512</v>
      </c>
      <c r="N9" s="37">
        <v>526.35</v>
      </c>
      <c r="O9" s="37">
        <v>526.35</v>
      </c>
      <c r="P9" s="37">
        <v>526.35</v>
      </c>
    </row>
    <row r="10" spans="1:17" ht="15">
      <c r="A10" s="4"/>
      <c r="B10" s="4"/>
      <c r="C10" s="119" t="s">
        <v>5</v>
      </c>
      <c r="D10" s="4"/>
      <c r="E10" s="4"/>
      <c r="F10" s="37">
        <v>2460.3</v>
      </c>
      <c r="G10" s="37">
        <v>2472.7</v>
      </c>
      <c r="H10" s="37">
        <v>2470.2</v>
      </c>
      <c r="I10" s="37">
        <v>2470.2</v>
      </c>
      <c r="J10" s="37">
        <v>2470.2</v>
      </c>
      <c r="K10" s="37">
        <v>2395</v>
      </c>
      <c r="L10" s="37">
        <v>2381</v>
      </c>
      <c r="M10" s="37">
        <v>2381</v>
      </c>
      <c r="N10" s="37">
        <v>2320.151</v>
      </c>
      <c r="O10" s="37">
        <v>2320.151</v>
      </c>
      <c r="P10" s="37">
        <v>2320.151</v>
      </c>
      <c r="Q10" s="102">
        <v>4</v>
      </c>
    </row>
    <row r="11" spans="1:16" ht="15">
      <c r="A11" s="4"/>
      <c r="B11" s="4"/>
      <c r="C11" s="120" t="s">
        <v>6</v>
      </c>
      <c r="D11" s="4"/>
      <c r="E11" s="4"/>
      <c r="F11" s="99">
        <f aca="true" t="shared" si="0" ref="F11:P11">SUM(F9:F10)</f>
        <v>2935.6000000000004</v>
      </c>
      <c r="G11" s="79">
        <f t="shared" si="0"/>
        <v>2936.3999999999996</v>
      </c>
      <c r="H11" s="79">
        <f t="shared" si="0"/>
        <v>2951.2</v>
      </c>
      <c r="I11" s="79">
        <f t="shared" si="0"/>
        <v>2951.2</v>
      </c>
      <c r="J11" s="79">
        <f t="shared" si="0"/>
        <v>2951.2</v>
      </c>
      <c r="K11" s="79">
        <f t="shared" si="0"/>
        <v>2893</v>
      </c>
      <c r="L11" s="79">
        <f t="shared" si="0"/>
        <v>2893</v>
      </c>
      <c r="M11" s="79">
        <f t="shared" si="0"/>
        <v>2893</v>
      </c>
      <c r="N11" s="79">
        <f t="shared" si="0"/>
        <v>2846.5009999999997</v>
      </c>
      <c r="O11" s="79">
        <f t="shared" si="0"/>
        <v>2846.5009999999997</v>
      </c>
      <c r="P11" s="79">
        <f t="shared" si="0"/>
        <v>2846.5009999999997</v>
      </c>
    </row>
    <row r="12" spans="1:16" ht="15">
      <c r="A12" s="4"/>
      <c r="B12" s="4"/>
      <c r="C12" s="120" t="s">
        <v>7</v>
      </c>
      <c r="D12" s="4"/>
      <c r="E12" s="4"/>
      <c r="F12" s="100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5">
      <c r="A13" s="4"/>
      <c r="B13" s="4"/>
      <c r="C13" s="4"/>
      <c r="D13" s="4" t="s">
        <v>8</v>
      </c>
      <c r="E13" s="4"/>
      <c r="F13" s="37">
        <v>222.7</v>
      </c>
      <c r="G13" s="37">
        <v>247.9</v>
      </c>
      <c r="H13" s="37">
        <v>247.9</v>
      </c>
      <c r="I13" s="37">
        <v>247.9</v>
      </c>
      <c r="J13" s="37">
        <v>247.9</v>
      </c>
      <c r="K13" s="37">
        <v>264</v>
      </c>
      <c r="L13" s="37">
        <v>264</v>
      </c>
      <c r="M13" s="37">
        <v>264</v>
      </c>
      <c r="N13" s="43">
        <v>217.50099999999975</v>
      </c>
      <c r="O13" s="43">
        <v>217.50099999999975</v>
      </c>
      <c r="P13" s="43">
        <v>217.50099999999975</v>
      </c>
    </row>
    <row r="14" spans="1:17" ht="15">
      <c r="A14" s="4"/>
      <c r="B14" s="4"/>
      <c r="C14" s="4"/>
      <c r="D14" s="4" t="s">
        <v>9</v>
      </c>
      <c r="E14" s="4"/>
      <c r="F14" s="37">
        <v>2712.9</v>
      </c>
      <c r="G14" s="37">
        <v>2688.5</v>
      </c>
      <c r="H14" s="37">
        <v>2703.3</v>
      </c>
      <c r="I14" s="37">
        <v>2703.3</v>
      </c>
      <c r="J14" s="37">
        <v>2703.3</v>
      </c>
      <c r="K14" s="37">
        <v>2629</v>
      </c>
      <c r="L14" s="37">
        <v>2629</v>
      </c>
      <c r="M14" s="37">
        <v>2629</v>
      </c>
      <c r="N14" s="43">
        <v>2629</v>
      </c>
      <c r="O14" s="43">
        <v>2629</v>
      </c>
      <c r="P14" s="43">
        <v>2629</v>
      </c>
      <c r="Q14" s="97"/>
    </row>
    <row r="15" spans="1:16" ht="6" customHeight="1">
      <c r="A15" s="4"/>
      <c r="B15" s="4"/>
      <c r="C15" s="4"/>
      <c r="D15" s="4"/>
      <c r="E15" s="4"/>
      <c r="F15" s="100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5">
      <c r="A16" s="4"/>
      <c r="B16" s="119" t="s">
        <v>10</v>
      </c>
      <c r="C16" s="4"/>
      <c r="D16" s="4"/>
      <c r="E16" s="4"/>
      <c r="F16" s="99">
        <f aca="true" t="shared" si="1" ref="F16:O16">F7+F11</f>
        <v>3467.7000000000003</v>
      </c>
      <c r="G16" s="79">
        <f t="shared" si="1"/>
        <v>3479.3999999999996</v>
      </c>
      <c r="H16" s="79">
        <f t="shared" si="1"/>
        <v>3488</v>
      </c>
      <c r="I16" s="79">
        <f t="shared" si="1"/>
        <v>3488</v>
      </c>
      <c r="J16" s="79">
        <f t="shared" si="1"/>
        <v>3488</v>
      </c>
      <c r="K16" s="79">
        <f t="shared" si="1"/>
        <v>3432</v>
      </c>
      <c r="L16" s="79">
        <f t="shared" si="1"/>
        <v>3432</v>
      </c>
      <c r="M16" s="79">
        <f t="shared" si="1"/>
        <v>3432</v>
      </c>
      <c r="N16" s="79">
        <f t="shared" si="1"/>
        <v>3405.4869999999996</v>
      </c>
      <c r="O16" s="79">
        <f t="shared" si="1"/>
        <v>3405.4869999999996</v>
      </c>
      <c r="P16" s="79">
        <f>P7+P11</f>
        <v>3405.4869999999996</v>
      </c>
    </row>
    <row r="17" spans="1:16" ht="14.25" customHeight="1">
      <c r="A17" s="4"/>
      <c r="B17" s="4"/>
      <c r="C17" s="4"/>
      <c r="D17" s="4"/>
      <c r="E17" s="4"/>
      <c r="F17" s="82" t="str">
        <f>IF(ABS(F16-(F7+F11))&gt;comments!$A$1,F16-(F7+F11)," ")</f>
        <v> </v>
      </c>
      <c r="G17" s="82" t="str">
        <f>IF(ABS(G16-(G7+G11))&gt;comments!$A$1,G16-(G7+G11)," ")</f>
        <v> </v>
      </c>
      <c r="H17" s="82" t="str">
        <f>IF(ABS(H16-(H7+H11))&gt;comments!$A$1,H16-(H7+H11)," ")</f>
        <v> </v>
      </c>
      <c r="I17" s="82" t="str">
        <f>IF(ABS(I16-(I7+I11))&gt;comments!$A$1,I16-(I7+I11)," ")</f>
        <v> </v>
      </c>
      <c r="J17" s="82" t="str">
        <f>IF(ABS(J16-(J7+J11))&gt;comments!$A$1,J16-(J7+J11)," ")</f>
        <v> </v>
      </c>
      <c r="K17" s="82" t="str">
        <f>IF(ABS(K16-(K7+K11))&gt;comments!$A$1,K16-(K7+K11)," ")</f>
        <v> </v>
      </c>
      <c r="L17" s="82" t="str">
        <f>IF(ABS(L16-(L7+L11))&gt;comments!$A$1,L16-(L7+L11)," ")</f>
        <v> </v>
      </c>
      <c r="M17" s="82" t="str">
        <f>IF(ABS(M16-(M7+M11))&gt;comments!$A$1,M16-(M7+M11)," ")</f>
        <v> </v>
      </c>
      <c r="N17" s="82" t="str">
        <f>IF(ABS(N16-(N7+N11))&gt;comments!$A$1,N16-(N7+N11)," ")</f>
        <v> </v>
      </c>
      <c r="O17" s="82" t="str">
        <f>IF(ABS(O16-(O7+O11))&gt;comments!$A$1,O16-(O7+O11)," ")</f>
        <v> </v>
      </c>
      <c r="P17" s="82" t="str">
        <f>IF(ABS(P16-(P7+P11))&gt;comments!$A$1,P16-(P7+P11)," ")</f>
        <v> </v>
      </c>
    </row>
    <row r="18" spans="1:16" ht="15.75">
      <c r="A18" s="121" t="s">
        <v>11</v>
      </c>
      <c r="B18" s="4"/>
      <c r="C18" s="4"/>
      <c r="D18" s="4"/>
      <c r="E18" s="4"/>
      <c r="F18" s="39"/>
      <c r="G18" s="14"/>
      <c r="H18" s="14"/>
      <c r="J18" s="35"/>
      <c r="N18" s="1"/>
      <c r="O18" s="1"/>
      <c r="P18" s="1"/>
    </row>
    <row r="19" spans="1:16" ht="15">
      <c r="A19" s="4"/>
      <c r="B19" s="4" t="s">
        <v>0</v>
      </c>
      <c r="C19" s="4"/>
      <c r="D19" s="4"/>
      <c r="E19" s="4"/>
      <c r="F19" s="39"/>
      <c r="G19" s="14"/>
      <c r="H19" s="14"/>
      <c r="J19" s="35"/>
      <c r="N19" s="1"/>
      <c r="O19" s="1"/>
      <c r="P19" s="1"/>
    </row>
    <row r="20" spans="1:16" ht="15">
      <c r="A20" s="4"/>
      <c r="B20" s="4"/>
      <c r="C20" s="4" t="s">
        <v>1</v>
      </c>
      <c r="D20" s="4"/>
      <c r="E20" s="4"/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</row>
    <row r="21" spans="1:16" ht="15">
      <c r="A21" s="4"/>
      <c r="B21" s="4"/>
      <c r="C21" s="4" t="s">
        <v>2</v>
      </c>
      <c r="D21" s="4"/>
      <c r="E21" s="4"/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</row>
    <row r="22" spans="1:16" ht="15">
      <c r="A22" s="4"/>
      <c r="B22" s="4" t="s">
        <v>3</v>
      </c>
      <c r="C22" s="4"/>
      <c r="D22" s="4"/>
      <c r="E22" s="4"/>
      <c r="F22" s="14"/>
      <c r="H22" s="35"/>
      <c r="J22" s="40"/>
      <c r="K22" s="40"/>
      <c r="L22" s="40"/>
      <c r="N22" s="1"/>
      <c r="O22" s="1"/>
      <c r="P22" s="1"/>
    </row>
    <row r="23" spans="1:17" ht="18">
      <c r="A23" s="4"/>
      <c r="B23" s="4"/>
      <c r="C23" s="4" t="s">
        <v>196</v>
      </c>
      <c r="D23" s="4"/>
      <c r="E23" s="4"/>
      <c r="F23" s="37">
        <v>214.2</v>
      </c>
      <c r="G23" s="37">
        <v>218.68</v>
      </c>
      <c r="H23" s="37">
        <v>225.28</v>
      </c>
      <c r="I23" s="37">
        <v>225.26</v>
      </c>
      <c r="J23" s="43">
        <v>232.98</v>
      </c>
      <c r="K23" s="43">
        <v>227.69</v>
      </c>
      <c r="L23" s="43">
        <v>227.69</v>
      </c>
      <c r="M23" s="43">
        <f>140.49+105</f>
        <v>245.49</v>
      </c>
      <c r="N23" s="43">
        <v>241.69</v>
      </c>
      <c r="O23" s="43">
        <v>241.99</v>
      </c>
      <c r="P23" s="43">
        <v>250.49061542692937</v>
      </c>
      <c r="Q23" s="200"/>
    </row>
    <row r="24" spans="1:17" ht="18">
      <c r="A24" s="4"/>
      <c r="B24" s="4"/>
      <c r="C24" s="119" t="s">
        <v>197</v>
      </c>
      <c r="D24" s="4"/>
      <c r="E24" s="4"/>
      <c r="F24" s="37">
        <v>7168.5</v>
      </c>
      <c r="G24" s="37">
        <v>7171.05</v>
      </c>
      <c r="H24" s="37">
        <v>7188.34</v>
      </c>
      <c r="I24" s="37">
        <v>7181.78</v>
      </c>
      <c r="J24" s="43">
        <v>7184</v>
      </c>
      <c r="K24" s="43">
        <v>7190.04</v>
      </c>
      <c r="L24" s="43">
        <v>7190.04</v>
      </c>
      <c r="M24" s="43">
        <f>1312.48+5875.06</f>
        <v>7187.540000000001</v>
      </c>
      <c r="N24" s="43">
        <v>7182.35</v>
      </c>
      <c r="O24" s="43">
        <v>7138.74</v>
      </c>
      <c r="P24" s="78">
        <f>P25-P23</f>
        <v>7389.509384573071</v>
      </c>
      <c r="Q24" s="200"/>
    </row>
    <row r="25" spans="1:16" ht="15">
      <c r="A25" s="4"/>
      <c r="B25" s="4"/>
      <c r="C25" s="120" t="s">
        <v>6</v>
      </c>
      <c r="D25" s="4"/>
      <c r="E25" s="4"/>
      <c r="F25" s="79">
        <f aca="true" t="shared" si="2" ref="F25:O25">SUM(F23:F24)</f>
        <v>7382.7</v>
      </c>
      <c r="G25" s="79">
        <f t="shared" si="2"/>
        <v>7389.7300000000005</v>
      </c>
      <c r="H25" s="79">
        <f t="shared" si="2"/>
        <v>7413.62</v>
      </c>
      <c r="I25" s="78">
        <f t="shared" si="2"/>
        <v>7407.04</v>
      </c>
      <c r="J25" s="78">
        <f t="shared" si="2"/>
        <v>7416.98</v>
      </c>
      <c r="K25" s="78">
        <f t="shared" si="2"/>
        <v>7417.73</v>
      </c>
      <c r="L25" s="78">
        <f t="shared" si="2"/>
        <v>7417.73</v>
      </c>
      <c r="M25" s="78">
        <f t="shared" si="2"/>
        <v>7433.030000000001</v>
      </c>
      <c r="N25" s="78">
        <f t="shared" si="2"/>
        <v>7424.04</v>
      </c>
      <c r="O25" s="78">
        <f t="shared" si="2"/>
        <v>7380.73</v>
      </c>
      <c r="P25" s="43">
        <v>7640</v>
      </c>
    </row>
    <row r="26" spans="1:14" ht="15">
      <c r="A26" s="4"/>
      <c r="B26" s="4"/>
      <c r="C26" s="120" t="s">
        <v>7</v>
      </c>
      <c r="D26" s="4"/>
      <c r="E26" s="4"/>
      <c r="F26" s="37"/>
      <c r="G26" s="37"/>
      <c r="H26" s="37"/>
      <c r="I26" s="37"/>
      <c r="J26" s="37"/>
      <c r="K26" s="43"/>
      <c r="L26" s="43"/>
      <c r="M26" s="43"/>
      <c r="N26" s="1"/>
    </row>
    <row r="27" spans="1:16" ht="15">
      <c r="A27" s="4"/>
      <c r="B27" s="4"/>
      <c r="C27" s="4"/>
      <c r="D27" s="4" t="s">
        <v>8</v>
      </c>
      <c r="E27" s="4"/>
      <c r="F27" s="37">
        <v>1383.1</v>
      </c>
      <c r="G27" s="37">
        <v>1384.62</v>
      </c>
      <c r="H27" s="37">
        <v>1416.1</v>
      </c>
      <c r="I27" s="37">
        <v>1428.91</v>
      </c>
      <c r="J27" s="43">
        <v>1436.9</v>
      </c>
      <c r="K27" s="43">
        <v>1440.37</v>
      </c>
      <c r="L27" s="43">
        <v>1440.37</v>
      </c>
      <c r="M27" s="43">
        <f>140.49+1312.48</f>
        <v>1452.97</v>
      </c>
      <c r="N27" s="43">
        <v>1485.12</v>
      </c>
      <c r="O27" s="43">
        <v>1491.28</v>
      </c>
      <c r="P27" s="43">
        <v>1734</v>
      </c>
    </row>
    <row r="28" spans="1:16" ht="15">
      <c r="A28" s="4"/>
      <c r="B28" s="4"/>
      <c r="C28" s="4"/>
      <c r="D28" s="4" t="s">
        <v>9</v>
      </c>
      <c r="E28" s="4"/>
      <c r="F28" s="37">
        <v>5999.6</v>
      </c>
      <c r="G28" s="37">
        <v>6005.11</v>
      </c>
      <c r="H28" s="37">
        <v>5997.52</v>
      </c>
      <c r="I28" s="37">
        <v>5978.15</v>
      </c>
      <c r="J28" s="43">
        <v>5980.36</v>
      </c>
      <c r="K28" s="43">
        <v>5977.36</v>
      </c>
      <c r="L28" s="43">
        <v>5977.36</v>
      </c>
      <c r="M28" s="43">
        <f>105+5875.06</f>
        <v>5980.06</v>
      </c>
      <c r="N28" s="43">
        <v>5938.92</v>
      </c>
      <c r="O28" s="43">
        <v>5889.45</v>
      </c>
      <c r="P28" s="43">
        <v>5906</v>
      </c>
    </row>
    <row r="29" spans="1:14" ht="6" customHeight="1">
      <c r="A29" s="4"/>
      <c r="B29" s="4"/>
      <c r="C29" s="4"/>
      <c r="D29" s="4"/>
      <c r="E29" s="4"/>
      <c r="F29" s="37"/>
      <c r="G29" s="37"/>
      <c r="H29" s="37"/>
      <c r="I29" s="37"/>
      <c r="J29" s="37"/>
      <c r="K29" s="43"/>
      <c r="L29" s="43"/>
      <c r="M29" s="43"/>
      <c r="N29" s="1"/>
    </row>
    <row r="30" spans="1:16" ht="15">
      <c r="A30" s="4"/>
      <c r="B30" s="119" t="s">
        <v>12</v>
      </c>
      <c r="C30" s="4"/>
      <c r="D30" s="4"/>
      <c r="E30" s="4"/>
      <c r="F30" s="79">
        <f aca="true" t="shared" si="3" ref="F30:N30">SUM(F27:F28)</f>
        <v>7382.700000000001</v>
      </c>
      <c r="G30" s="79">
        <f t="shared" si="3"/>
        <v>7389.73</v>
      </c>
      <c r="H30" s="79">
        <f t="shared" si="3"/>
        <v>7413.620000000001</v>
      </c>
      <c r="I30" s="78">
        <f t="shared" si="3"/>
        <v>7407.0599999999995</v>
      </c>
      <c r="J30" s="78">
        <f t="shared" si="3"/>
        <v>7417.26</v>
      </c>
      <c r="K30" s="78">
        <f t="shared" si="3"/>
        <v>7417.73</v>
      </c>
      <c r="L30" s="78">
        <f t="shared" si="3"/>
        <v>7417.73</v>
      </c>
      <c r="M30" s="78">
        <f t="shared" si="3"/>
        <v>7433.030000000001</v>
      </c>
      <c r="N30" s="78">
        <f t="shared" si="3"/>
        <v>7424.04</v>
      </c>
      <c r="O30" s="78">
        <f>SUM(O27:O28)</f>
        <v>7380.73</v>
      </c>
      <c r="P30" s="78">
        <f>SUM(P27:P28)</f>
        <v>7640</v>
      </c>
    </row>
    <row r="31" spans="1:16" ht="15.75" customHeight="1">
      <c r="A31" s="4"/>
      <c r="B31" s="4"/>
      <c r="C31" s="4"/>
      <c r="D31" s="4"/>
      <c r="E31" s="4"/>
      <c r="F31" s="82" t="str">
        <f>IF(ABS(F30-(F21+F25))&gt;comments!$A$1,F30-(F21+F25)," ")</f>
        <v> </v>
      </c>
      <c r="G31" s="82" t="str">
        <f>IF(ABS(G30-(G21+G25))&gt;comments!$A$1,G30-(G21+G25)," ")</f>
        <v> </v>
      </c>
      <c r="H31" s="82" t="str">
        <f>IF(ABS(H30-(H21+H25))&gt;comments!$A$1,H30-(H21+H25)," ")</f>
        <v> </v>
      </c>
      <c r="I31" s="82" t="str">
        <f>IF(ABS(I30-(I21+I25))&gt;comments!$A$1,I30-(I21+I25)," ")</f>
        <v> </v>
      </c>
      <c r="J31" s="82" t="str">
        <f>IF(ABS(J30-(J21+J25))&gt;comments!$A$1,J30-(J21+J25)," ")</f>
        <v> </v>
      </c>
      <c r="K31" s="82" t="str">
        <f>IF(ABS(K30-(K21+K25))&gt;comments!$A$1,K30-(K21+K25)," ")</f>
        <v> </v>
      </c>
      <c r="L31" s="82" t="str">
        <f>IF(ABS(L30-(L21+L25))&gt;comments!$A$1,L30-(L21+L25)," ")</f>
        <v> </v>
      </c>
      <c r="M31" s="82" t="str">
        <f>IF(ABS(M30-(M21+M25))&gt;comments!$A$1,M30-(M21+M25)," ")</f>
        <v> </v>
      </c>
      <c r="N31" s="82" t="str">
        <f>IF(ABS(N30-(N21+N25))&gt;comments!$A$1,N30-(N21+N25)," ")</f>
        <v> </v>
      </c>
      <c r="O31" s="115" t="str">
        <f>IF(ABS(O30-(O21+O25))&gt;comments!$A$1,O30-(O21+O25)," ")</f>
        <v> </v>
      </c>
      <c r="P31" s="115" t="str">
        <f>IF(ABS(P30-(P21+P25))&gt;comments!$A$1,P30-(P21+P25)," ")</f>
        <v> </v>
      </c>
    </row>
    <row r="32" spans="1:13" ht="15.75">
      <c r="A32" s="118" t="s">
        <v>13</v>
      </c>
      <c r="B32" s="4"/>
      <c r="C32" s="4"/>
      <c r="D32" s="4"/>
      <c r="E32" s="4"/>
      <c r="F32" s="14"/>
      <c r="G32" s="14"/>
      <c r="H32" s="14"/>
      <c r="I32" s="14"/>
      <c r="J32" s="37"/>
      <c r="L32" s="40"/>
      <c r="M32" s="40"/>
    </row>
    <row r="33" spans="1:13" ht="15">
      <c r="A33" s="4"/>
      <c r="B33" s="119" t="s">
        <v>14</v>
      </c>
      <c r="C33" s="4"/>
      <c r="D33" s="4"/>
      <c r="E33" s="4"/>
      <c r="F33" s="14"/>
      <c r="G33" s="14"/>
      <c r="H33" s="14"/>
      <c r="I33" s="14"/>
      <c r="J33" s="37"/>
      <c r="L33" s="40"/>
      <c r="M33" s="40"/>
    </row>
    <row r="34" spans="1:16" ht="15">
      <c r="A34" s="4"/>
      <c r="B34" s="4"/>
      <c r="C34" s="119" t="s">
        <v>15</v>
      </c>
      <c r="D34" s="4"/>
      <c r="E34" s="4"/>
      <c r="F34" s="37">
        <v>1056.1</v>
      </c>
      <c r="G34" s="37">
        <v>1041.66</v>
      </c>
      <c r="H34" s="37">
        <v>1053.43</v>
      </c>
      <c r="I34" s="37">
        <v>1067.41</v>
      </c>
      <c r="J34" s="43">
        <v>1089.63</v>
      </c>
      <c r="K34" s="43">
        <v>1092.18</v>
      </c>
      <c r="L34" s="43">
        <v>1092.18</v>
      </c>
      <c r="M34" s="43">
        <f>26.9+1069.38</f>
        <v>1096.2800000000002</v>
      </c>
      <c r="N34" s="43">
        <v>1140.98</v>
      </c>
      <c r="O34" s="43">
        <v>1151.52</v>
      </c>
      <c r="P34" s="43">
        <v>1196</v>
      </c>
    </row>
    <row r="35" spans="1:16" ht="15">
      <c r="A35" s="4"/>
      <c r="B35" s="4"/>
      <c r="C35" s="119" t="s">
        <v>16</v>
      </c>
      <c r="D35" s="4"/>
      <c r="E35" s="4"/>
      <c r="F35" s="37">
        <v>6302.7</v>
      </c>
      <c r="G35" s="37">
        <v>6305.68</v>
      </c>
      <c r="H35" s="37">
        <v>6324.34</v>
      </c>
      <c r="I35" s="37">
        <v>6325.1</v>
      </c>
      <c r="J35" s="43">
        <v>6329.44</v>
      </c>
      <c r="K35" s="43">
        <v>6346.12</v>
      </c>
      <c r="L35" s="43">
        <v>6346.12</v>
      </c>
      <c r="M35" s="43">
        <f>39.2+6322.12</f>
        <v>6361.32</v>
      </c>
      <c r="N35" s="43">
        <v>6318.19</v>
      </c>
      <c r="O35" s="43">
        <v>6349.43</v>
      </c>
      <c r="P35" s="43">
        <v>6292</v>
      </c>
    </row>
    <row r="36" spans="1:16" ht="15">
      <c r="A36" s="4"/>
      <c r="B36" s="4"/>
      <c r="C36" s="119" t="s">
        <v>17</v>
      </c>
      <c r="D36" s="4"/>
      <c r="E36" s="4"/>
      <c r="F36" s="79">
        <f aca="true" t="shared" si="4" ref="F36:P36">SUM(F34:F35)</f>
        <v>7358.799999999999</v>
      </c>
      <c r="G36" s="79">
        <f t="shared" si="4"/>
        <v>7347.34</v>
      </c>
      <c r="H36" s="79">
        <f t="shared" si="4"/>
        <v>7377.77</v>
      </c>
      <c r="I36" s="79">
        <f t="shared" si="4"/>
        <v>7392.51</v>
      </c>
      <c r="J36" s="79">
        <f t="shared" si="4"/>
        <v>7419.07</v>
      </c>
      <c r="K36" s="78">
        <f t="shared" si="4"/>
        <v>7438.3</v>
      </c>
      <c r="L36" s="78">
        <f t="shared" si="4"/>
        <v>7438.3</v>
      </c>
      <c r="M36" s="78">
        <f t="shared" si="4"/>
        <v>7457.6</v>
      </c>
      <c r="N36" s="78">
        <f t="shared" si="4"/>
        <v>7459.17</v>
      </c>
      <c r="O36" s="78">
        <f t="shared" si="4"/>
        <v>7500.950000000001</v>
      </c>
      <c r="P36" s="78">
        <f t="shared" si="4"/>
        <v>7488</v>
      </c>
    </row>
    <row r="37" spans="1:13" ht="15">
      <c r="A37" s="4"/>
      <c r="B37" s="119" t="s">
        <v>18</v>
      </c>
      <c r="C37" s="4"/>
      <c r="D37" s="4"/>
      <c r="E37" s="4"/>
      <c r="F37" s="37"/>
      <c r="G37" s="37"/>
      <c r="H37" s="37"/>
      <c r="I37" s="37"/>
      <c r="J37" s="37"/>
      <c r="L37" s="40"/>
      <c r="M37" s="40"/>
    </row>
    <row r="38" spans="1:31" ht="15">
      <c r="A38" s="4"/>
      <c r="B38" s="4"/>
      <c r="C38" s="119" t="s">
        <v>15</v>
      </c>
      <c r="D38" s="4"/>
      <c r="E38" s="4"/>
      <c r="F38" s="37">
        <v>1131</v>
      </c>
      <c r="G38" s="37">
        <v>1176.24</v>
      </c>
      <c r="H38" s="37">
        <v>1204.88</v>
      </c>
      <c r="I38" s="37">
        <v>1219.01</v>
      </c>
      <c r="J38" s="43">
        <v>1241.78</v>
      </c>
      <c r="K38" s="43">
        <v>1273.5</v>
      </c>
      <c r="L38" s="43">
        <v>1273.5</v>
      </c>
      <c r="M38" s="43">
        <f>5.1+1271.23</f>
        <v>1276.33</v>
      </c>
      <c r="N38" s="43">
        <v>1353.42</v>
      </c>
      <c r="O38" s="43">
        <v>1266.47</v>
      </c>
      <c r="P38" s="43">
        <v>1767</v>
      </c>
      <c r="AB38" s="1" t="s">
        <v>98</v>
      </c>
      <c r="AC38" s="1" t="s">
        <v>99</v>
      </c>
      <c r="AD38" s="1" t="s">
        <v>100</v>
      </c>
      <c r="AE38" s="1" t="s">
        <v>101</v>
      </c>
    </row>
    <row r="39" spans="1:31" ht="15">
      <c r="A39" s="4"/>
      <c r="B39" s="4"/>
      <c r="C39" s="119" t="s">
        <v>16</v>
      </c>
      <c r="D39" s="4"/>
      <c r="E39" s="4"/>
      <c r="F39" s="37">
        <v>9209.1</v>
      </c>
      <c r="G39" s="37">
        <v>9152.83</v>
      </c>
      <c r="H39" s="37">
        <v>9094.09</v>
      </c>
      <c r="I39" s="37">
        <v>9103.59</v>
      </c>
      <c r="J39" s="43">
        <v>9079.49</v>
      </c>
      <c r="K39" s="43">
        <v>9051.8</v>
      </c>
      <c r="L39" s="43">
        <v>9051.8</v>
      </c>
      <c r="M39" s="43">
        <f>1.9+9057.52</f>
        <v>9059.42</v>
      </c>
      <c r="N39" s="43">
        <v>9065.3</v>
      </c>
      <c r="O39" s="43">
        <v>9104.16</v>
      </c>
      <c r="P39" s="43">
        <v>9091</v>
      </c>
      <c r="AB39" s="1">
        <v>25.1</v>
      </c>
      <c r="AC39" s="1">
        <v>13561.83</v>
      </c>
      <c r="AD39" s="1">
        <v>25.1</v>
      </c>
      <c r="AE39" s="1">
        <v>2.3</v>
      </c>
    </row>
    <row r="40" spans="1:31" ht="15">
      <c r="A40" s="4"/>
      <c r="B40" s="4"/>
      <c r="C40" s="119" t="s">
        <v>17</v>
      </c>
      <c r="D40" s="4"/>
      <c r="E40" s="4"/>
      <c r="F40" s="79">
        <f aca="true" t="shared" si="5" ref="F40:P40">SUM(F38:F39)</f>
        <v>10340.1</v>
      </c>
      <c r="G40" s="79">
        <f t="shared" si="5"/>
        <v>10329.07</v>
      </c>
      <c r="H40" s="79">
        <f t="shared" si="5"/>
        <v>10298.970000000001</v>
      </c>
      <c r="I40" s="79">
        <f t="shared" si="5"/>
        <v>10322.6</v>
      </c>
      <c r="J40" s="79">
        <f t="shared" si="5"/>
        <v>10321.27</v>
      </c>
      <c r="K40" s="78">
        <f t="shared" si="5"/>
        <v>10325.3</v>
      </c>
      <c r="L40" s="78">
        <f t="shared" si="5"/>
        <v>10325.3</v>
      </c>
      <c r="M40" s="78">
        <f t="shared" si="5"/>
        <v>10335.75</v>
      </c>
      <c r="N40" s="78">
        <f t="shared" si="5"/>
        <v>10418.72</v>
      </c>
      <c r="O40" s="78">
        <f t="shared" si="5"/>
        <v>10370.63</v>
      </c>
      <c r="P40" s="78">
        <f t="shared" si="5"/>
        <v>10858</v>
      </c>
      <c r="AB40" s="1">
        <v>2.3</v>
      </c>
      <c r="AC40" s="1">
        <v>11718.3</v>
      </c>
      <c r="AD40" s="1">
        <v>13561.83</v>
      </c>
      <c r="AE40" s="1">
        <v>11718.3</v>
      </c>
    </row>
    <row r="41" spans="1:29" ht="15">
      <c r="A41" s="4"/>
      <c r="B41" s="4" t="s">
        <v>19</v>
      </c>
      <c r="C41" s="4"/>
      <c r="D41" s="4"/>
      <c r="E41" s="4"/>
      <c r="F41" s="37"/>
      <c r="G41" s="37"/>
      <c r="H41" s="37"/>
      <c r="I41" s="37"/>
      <c r="J41" s="37"/>
      <c r="L41" s="40"/>
      <c r="M41" s="40"/>
      <c r="AB41" s="1">
        <v>27.4</v>
      </c>
      <c r="AC41" s="1">
        <v>25280.13</v>
      </c>
    </row>
    <row r="42" spans="1:16" ht="15">
      <c r="A42" s="4"/>
      <c r="B42" s="4"/>
      <c r="C42" s="119" t="s">
        <v>15</v>
      </c>
      <c r="D42" s="4"/>
      <c r="E42" s="4"/>
      <c r="F42" s="37">
        <v>13321</v>
      </c>
      <c r="G42" s="37">
        <v>13480.08</v>
      </c>
      <c r="H42" s="37">
        <v>13586.93</v>
      </c>
      <c r="I42" s="37">
        <v>13716.67</v>
      </c>
      <c r="J42" s="43">
        <v>14227.05</v>
      </c>
      <c r="K42" s="43">
        <v>14178.12</v>
      </c>
      <c r="L42" s="43">
        <v>14212.52</v>
      </c>
      <c r="M42" s="43">
        <f>41.21+14360.43</f>
        <v>14401.64</v>
      </c>
      <c r="N42" s="43">
        <v>14467.52</v>
      </c>
      <c r="O42" s="43">
        <v>14770.01</v>
      </c>
      <c r="P42" s="43">
        <v>14734</v>
      </c>
    </row>
    <row r="43" spans="1:16" ht="15">
      <c r="A43" s="4"/>
      <c r="B43" s="4"/>
      <c r="C43" s="119" t="s">
        <v>16</v>
      </c>
      <c r="D43" s="4"/>
      <c r="E43" s="4"/>
      <c r="F43" s="37">
        <v>11454.5</v>
      </c>
      <c r="G43" s="37">
        <v>11497.32</v>
      </c>
      <c r="H43" s="37">
        <v>11720.6</v>
      </c>
      <c r="I43" s="37">
        <v>11726.85</v>
      </c>
      <c r="J43" s="43">
        <v>11719.5</v>
      </c>
      <c r="K43" s="43">
        <v>11717.24</v>
      </c>
      <c r="L43" s="43">
        <v>11717.04</v>
      </c>
      <c r="M43" s="43">
        <f>2.3+11713.64</f>
        <v>11715.939999999999</v>
      </c>
      <c r="N43" s="43">
        <v>11683.34</v>
      </c>
      <c r="O43" s="43">
        <v>11660.97</v>
      </c>
      <c r="P43" s="43">
        <v>11712</v>
      </c>
    </row>
    <row r="44" spans="1:16" ht="12.75" customHeight="1">
      <c r="A44" s="4"/>
      <c r="B44" s="4"/>
      <c r="C44" s="119" t="s">
        <v>17</v>
      </c>
      <c r="D44" s="4"/>
      <c r="E44" s="4"/>
      <c r="F44" s="79">
        <f aca="true" t="shared" si="6" ref="F44:P44">SUM(F42:F43)</f>
        <v>24775.5</v>
      </c>
      <c r="G44" s="79">
        <f t="shared" si="6"/>
        <v>24977.4</v>
      </c>
      <c r="H44" s="79">
        <f t="shared" si="6"/>
        <v>25307.53</v>
      </c>
      <c r="I44" s="79">
        <f t="shared" si="6"/>
        <v>25443.52</v>
      </c>
      <c r="J44" s="79">
        <f t="shared" si="6"/>
        <v>25946.55</v>
      </c>
      <c r="K44" s="78">
        <f t="shared" si="6"/>
        <v>25895.36</v>
      </c>
      <c r="L44" s="78">
        <f t="shared" si="6"/>
        <v>25929.56</v>
      </c>
      <c r="M44" s="78">
        <f t="shared" si="6"/>
        <v>26117.579999999998</v>
      </c>
      <c r="N44" s="78">
        <f t="shared" si="6"/>
        <v>26150.86</v>
      </c>
      <c r="O44" s="78">
        <f t="shared" si="6"/>
        <v>26430.98</v>
      </c>
      <c r="P44" s="78">
        <f t="shared" si="6"/>
        <v>26446</v>
      </c>
    </row>
    <row r="45" spans="1:13" ht="6" customHeight="1">
      <c r="A45" s="4"/>
      <c r="B45" s="4"/>
      <c r="C45" s="119"/>
      <c r="D45" s="4"/>
      <c r="E45" s="4"/>
      <c r="F45" s="37"/>
      <c r="G45" s="37"/>
      <c r="H45" s="37"/>
      <c r="I45" s="37"/>
      <c r="J45" s="37"/>
      <c r="L45" s="40"/>
      <c r="M45" s="40"/>
    </row>
    <row r="46" spans="1:16" ht="12.75" customHeight="1">
      <c r="A46" s="4"/>
      <c r="B46" s="119" t="s">
        <v>20</v>
      </c>
      <c r="C46" s="4"/>
      <c r="D46" s="4"/>
      <c r="E46" s="4"/>
      <c r="F46" s="79">
        <f aca="true" t="shared" si="7" ref="F46:O46">F36+F40+F44</f>
        <v>42474.4</v>
      </c>
      <c r="G46" s="79">
        <f t="shared" si="7"/>
        <v>42653.81</v>
      </c>
      <c r="H46" s="79">
        <f t="shared" si="7"/>
        <v>42984.270000000004</v>
      </c>
      <c r="I46" s="79">
        <f t="shared" si="7"/>
        <v>43158.630000000005</v>
      </c>
      <c r="J46" s="79">
        <f t="shared" si="7"/>
        <v>43686.89</v>
      </c>
      <c r="K46" s="79">
        <f t="shared" si="7"/>
        <v>43658.96</v>
      </c>
      <c r="L46" s="78">
        <f t="shared" si="7"/>
        <v>43693.16</v>
      </c>
      <c r="M46" s="78">
        <f t="shared" si="7"/>
        <v>43910.92999999999</v>
      </c>
      <c r="N46" s="78">
        <f t="shared" si="7"/>
        <v>44028.75</v>
      </c>
      <c r="O46" s="78">
        <f t="shared" si="7"/>
        <v>44302.56</v>
      </c>
      <c r="P46" s="78">
        <f>P36+P40+P44</f>
        <v>44792</v>
      </c>
    </row>
    <row r="47" spans="1:16" ht="14.25" customHeight="1">
      <c r="A47" s="4"/>
      <c r="B47" s="4"/>
      <c r="C47" s="4"/>
      <c r="D47" s="4"/>
      <c r="E47" s="4"/>
      <c r="F47" s="82" t="str">
        <f>IF(ABS(F46-(F36+F40+F44))&gt;comments!$A$1,F46-(F36+F40+F44)," ")</f>
        <v> </v>
      </c>
      <c r="G47" s="82" t="str">
        <f>IF(ABS(G46-(G36+G40+G44))&gt;comments!$A$1,G46-(G36+G40+G44)," ")</f>
        <v> </v>
      </c>
      <c r="H47" s="82" t="str">
        <f>IF(ABS(H46-(H36+H40+H44))&gt;comments!$A$1,H46-(H36+H40+H44)," ")</f>
        <v> </v>
      </c>
      <c r="I47" s="82" t="str">
        <f>IF(ABS(I46-(I36+I40+I44))&gt;comments!$A$1,I46-(I36+I40+I44)," ")</f>
        <v> </v>
      </c>
      <c r="J47" s="82" t="str">
        <f>IF(ABS(J46-(J36+J40+J44))&gt;comments!$A$1,J46-(J36+J40+J44)," ")</f>
        <v> </v>
      </c>
      <c r="K47" s="82" t="str">
        <f>IF(ABS(K46-(K36+K40+K44))&gt;comments!$A$1,K46-(K36+K40+K44)," ")</f>
        <v> </v>
      </c>
      <c r="L47" s="82" t="str">
        <f>IF(ABS(L46-(L36+L40+L44))&gt;comments!$A$1,L46-(L36+L40+L44)," ")</f>
        <v> </v>
      </c>
      <c r="M47" s="82" t="str">
        <f>IF(ABS(M46-(M36+M40+M44))&gt;comments!$A$1,M46-(M36+M40+M44)," ")</f>
        <v> </v>
      </c>
      <c r="N47" s="82" t="str">
        <f>IF(ABS(N46-(N36+N40+N44))&gt;comments!$A$1,N46-(N36+N40+N44)," ")</f>
        <v> </v>
      </c>
      <c r="O47" s="115" t="str">
        <f>IF(ABS(O46-(O36+O40+O44))&gt;comments!$A$1,O46-(O36+O40+O44)," ")</f>
        <v> </v>
      </c>
      <c r="P47" s="115" t="str">
        <f>IF(ABS(P46-(P36+P40+P44))&gt;comments!$A$1,P46-(P36+P40+P44)," ")</f>
        <v> </v>
      </c>
    </row>
    <row r="48" spans="1:13" ht="12.75" customHeight="1">
      <c r="A48" s="121" t="s">
        <v>21</v>
      </c>
      <c r="B48" s="4"/>
      <c r="C48" s="4"/>
      <c r="D48" s="4"/>
      <c r="E48" s="4"/>
      <c r="F48" s="14"/>
      <c r="G48" s="14"/>
      <c r="H48" s="14"/>
      <c r="J48" s="37"/>
      <c r="L48" s="40"/>
      <c r="M48" s="40"/>
    </row>
    <row r="49" spans="1:13" ht="15">
      <c r="A49" s="4"/>
      <c r="B49" s="4" t="s">
        <v>0</v>
      </c>
      <c r="C49" s="4"/>
      <c r="D49" s="4"/>
      <c r="E49" s="4"/>
      <c r="F49" s="14"/>
      <c r="G49" s="14"/>
      <c r="H49" s="14"/>
      <c r="J49" s="37"/>
      <c r="L49" s="40"/>
      <c r="M49" s="40"/>
    </row>
    <row r="50" spans="1:16" ht="15">
      <c r="A50" s="4"/>
      <c r="B50" s="4"/>
      <c r="C50" s="4" t="s">
        <v>1</v>
      </c>
      <c r="D50" s="4"/>
      <c r="E50" s="4"/>
      <c r="F50" s="79">
        <f aca="true" t="shared" si="8" ref="F50:N50">F6</f>
        <v>369.1</v>
      </c>
      <c r="G50" s="79">
        <f t="shared" si="8"/>
        <v>371</v>
      </c>
      <c r="H50" s="85">
        <f t="shared" si="8"/>
        <v>378</v>
      </c>
      <c r="I50" s="99">
        <f t="shared" si="8"/>
        <v>378</v>
      </c>
      <c r="J50" s="80">
        <f t="shared" si="8"/>
        <v>378</v>
      </c>
      <c r="K50" s="80">
        <f t="shared" si="8"/>
        <v>383</v>
      </c>
      <c r="L50" s="80">
        <f t="shared" si="8"/>
        <v>383</v>
      </c>
      <c r="M50" s="80">
        <f t="shared" si="8"/>
        <v>383</v>
      </c>
      <c r="N50" s="80">
        <f t="shared" si="8"/>
        <v>391.227</v>
      </c>
      <c r="O50" s="80">
        <f>O6</f>
        <v>391.227</v>
      </c>
      <c r="P50" s="80">
        <f>P6</f>
        <v>391.227</v>
      </c>
    </row>
    <row r="51" spans="1:16" ht="15">
      <c r="A51" s="4"/>
      <c r="B51" s="4"/>
      <c r="C51" s="4" t="s">
        <v>2</v>
      </c>
      <c r="D51" s="4"/>
      <c r="E51" s="4"/>
      <c r="F51" s="79">
        <f aca="true" t="shared" si="9" ref="F51:N51">F7</f>
        <v>532.1</v>
      </c>
      <c r="G51" s="79">
        <f t="shared" si="9"/>
        <v>543</v>
      </c>
      <c r="H51" s="85">
        <f t="shared" si="9"/>
        <v>536.8</v>
      </c>
      <c r="I51" s="99">
        <f t="shared" si="9"/>
        <v>536.8</v>
      </c>
      <c r="J51" s="80">
        <f t="shared" si="9"/>
        <v>536.8</v>
      </c>
      <c r="K51" s="80">
        <f t="shared" si="9"/>
        <v>539</v>
      </c>
      <c r="L51" s="80">
        <f t="shared" si="9"/>
        <v>539</v>
      </c>
      <c r="M51" s="80">
        <f t="shared" si="9"/>
        <v>539</v>
      </c>
      <c r="N51" s="80">
        <f t="shared" si="9"/>
        <v>558.986</v>
      </c>
      <c r="O51" s="80">
        <f>O7</f>
        <v>558.986</v>
      </c>
      <c r="P51" s="80">
        <f>P7</f>
        <v>558.986</v>
      </c>
    </row>
    <row r="52" spans="1:13" ht="15">
      <c r="A52" s="4"/>
      <c r="B52" s="120" t="s">
        <v>22</v>
      </c>
      <c r="C52" s="4"/>
      <c r="D52" s="4"/>
      <c r="E52" s="4"/>
      <c r="F52" s="37"/>
      <c r="G52" s="37"/>
      <c r="H52" s="37"/>
      <c r="I52" s="37"/>
      <c r="J52" s="43"/>
      <c r="L52" s="40"/>
      <c r="M52" s="40"/>
    </row>
    <row r="53" spans="1:17" ht="18">
      <c r="A53" s="4"/>
      <c r="B53" s="4"/>
      <c r="C53" s="4" t="s">
        <v>196</v>
      </c>
      <c r="D53" s="4"/>
      <c r="E53" s="4"/>
      <c r="F53" s="37">
        <v>772.1</v>
      </c>
      <c r="G53" s="37">
        <v>768</v>
      </c>
      <c r="H53" s="37">
        <v>786.8</v>
      </c>
      <c r="I53" s="37">
        <v>787.1</v>
      </c>
      <c r="J53" s="37">
        <v>794.4</v>
      </c>
      <c r="K53" s="37">
        <v>798.39</v>
      </c>
      <c r="L53" s="37">
        <v>812.39</v>
      </c>
      <c r="M53" s="37">
        <v>830.59</v>
      </c>
      <c r="N53" s="37">
        <f>311.79+N9</f>
        <v>838.1400000000001</v>
      </c>
      <c r="O53" s="43">
        <f>315.63+O9</f>
        <v>841.98</v>
      </c>
      <c r="P53" s="43">
        <v>863.9799506107215</v>
      </c>
      <c r="Q53" s="97"/>
    </row>
    <row r="54" spans="1:16" ht="18">
      <c r="A54" s="4"/>
      <c r="B54" s="4"/>
      <c r="C54" s="119" t="s">
        <v>197</v>
      </c>
      <c r="D54" s="4"/>
      <c r="E54" s="4"/>
      <c r="F54" s="37">
        <v>27245.1</v>
      </c>
      <c r="G54" s="37">
        <v>27235</v>
      </c>
      <c r="H54" s="37">
        <v>27254.76</v>
      </c>
      <c r="I54" s="37">
        <v>27286.27</v>
      </c>
      <c r="J54" s="37">
        <v>27314.2</v>
      </c>
      <c r="K54" s="37">
        <v>27275.94</v>
      </c>
      <c r="L54" s="37">
        <v>27261.94</v>
      </c>
      <c r="M54" s="37">
        <v>27288.79</v>
      </c>
      <c r="N54" s="43">
        <f>24990.14+N10</f>
        <v>27310.290999999997</v>
      </c>
      <c r="O54" s="43">
        <v>27256.83</v>
      </c>
      <c r="P54" s="78">
        <f>P55-P53</f>
        <v>27969.020049389277</v>
      </c>
    </row>
    <row r="55" spans="1:16" ht="15">
      <c r="A55" s="4"/>
      <c r="B55" s="4"/>
      <c r="C55" s="120" t="s">
        <v>6</v>
      </c>
      <c r="D55" s="4"/>
      <c r="E55" s="4"/>
      <c r="F55" s="79">
        <f aca="true" t="shared" si="10" ref="F55:M55">F25+F36+F40+F11</f>
        <v>28017.199999999997</v>
      </c>
      <c r="G55" s="79">
        <f t="shared" si="10"/>
        <v>28002.54</v>
      </c>
      <c r="H55" s="79">
        <f t="shared" si="10"/>
        <v>28041.56</v>
      </c>
      <c r="I55" s="79">
        <f t="shared" si="10"/>
        <v>28073.350000000002</v>
      </c>
      <c r="J55" s="78">
        <f t="shared" si="10"/>
        <v>28108.52</v>
      </c>
      <c r="K55" s="78">
        <f t="shared" si="10"/>
        <v>28074.329999999998</v>
      </c>
      <c r="L55" s="78">
        <f t="shared" si="10"/>
        <v>28074.329999999998</v>
      </c>
      <c r="M55" s="78">
        <f t="shared" si="10"/>
        <v>28119.38</v>
      </c>
      <c r="N55" s="78">
        <f>N25+N36+N40+N11</f>
        <v>28148.431</v>
      </c>
      <c r="O55" s="78">
        <f>O25+O36+O40+O11</f>
        <v>28098.810999999998</v>
      </c>
      <c r="P55" s="43">
        <v>28833</v>
      </c>
    </row>
    <row r="56" spans="1:14" ht="15">
      <c r="A56" s="4"/>
      <c r="B56" s="4"/>
      <c r="C56" s="120" t="s">
        <v>7</v>
      </c>
      <c r="D56" s="4"/>
      <c r="E56" s="4"/>
      <c r="F56" s="37"/>
      <c r="G56" s="37"/>
      <c r="H56" s="37"/>
      <c r="I56" s="37"/>
      <c r="J56" s="43"/>
      <c r="K56" s="71"/>
      <c r="L56" s="72"/>
      <c r="M56" s="72"/>
      <c r="N56" s="72"/>
    </row>
    <row r="57" spans="1:16" ht="15">
      <c r="A57" s="4"/>
      <c r="B57" s="4"/>
      <c r="C57" s="4"/>
      <c r="D57" s="4" t="s">
        <v>8</v>
      </c>
      <c r="E57" s="4"/>
      <c r="F57" s="79">
        <f aca="true" t="shared" si="11" ref="F57:P57">F13+F27+F34+F38</f>
        <v>3792.8999999999996</v>
      </c>
      <c r="G57" s="79">
        <f t="shared" si="11"/>
        <v>3850.42</v>
      </c>
      <c r="H57" s="79">
        <f t="shared" si="11"/>
        <v>3922.3100000000004</v>
      </c>
      <c r="I57" s="79">
        <f t="shared" si="11"/>
        <v>3963.2300000000005</v>
      </c>
      <c r="J57" s="79">
        <f t="shared" si="11"/>
        <v>4016.21</v>
      </c>
      <c r="K57" s="79">
        <f t="shared" si="11"/>
        <v>4070.05</v>
      </c>
      <c r="L57" s="78">
        <f t="shared" si="11"/>
        <v>4070.05</v>
      </c>
      <c r="M57" s="78">
        <f t="shared" si="11"/>
        <v>4089.58</v>
      </c>
      <c r="N57" s="78">
        <f t="shared" si="11"/>
        <v>4197.021</v>
      </c>
      <c r="O57" s="78">
        <f t="shared" si="11"/>
        <v>4126.771</v>
      </c>
      <c r="P57" s="78">
        <f t="shared" si="11"/>
        <v>4914.501</v>
      </c>
    </row>
    <row r="58" spans="1:16" ht="15">
      <c r="A58" s="4"/>
      <c r="B58" s="4"/>
      <c r="C58" s="4"/>
      <c r="D58" s="4" t="s">
        <v>9</v>
      </c>
      <c r="E58" s="4"/>
      <c r="F58" s="79">
        <f aca="true" t="shared" si="12" ref="F58:P58">F14+F28+F35+F39</f>
        <v>24224.300000000003</v>
      </c>
      <c r="G58" s="79">
        <f t="shared" si="12"/>
        <v>24152.120000000003</v>
      </c>
      <c r="H58" s="79">
        <f t="shared" si="12"/>
        <v>24119.25</v>
      </c>
      <c r="I58" s="79">
        <f t="shared" si="12"/>
        <v>24110.14</v>
      </c>
      <c r="J58" s="79">
        <f t="shared" si="12"/>
        <v>24092.589999999997</v>
      </c>
      <c r="K58" s="79">
        <f t="shared" si="12"/>
        <v>24004.28</v>
      </c>
      <c r="L58" s="78">
        <f t="shared" si="12"/>
        <v>24004.28</v>
      </c>
      <c r="M58" s="78">
        <f t="shared" si="12"/>
        <v>24029.800000000003</v>
      </c>
      <c r="N58" s="78">
        <f t="shared" si="12"/>
        <v>23951.41</v>
      </c>
      <c r="O58" s="78">
        <f t="shared" si="12"/>
        <v>23972.04</v>
      </c>
      <c r="P58" s="78">
        <f t="shared" si="12"/>
        <v>23918</v>
      </c>
    </row>
    <row r="59" spans="1:13" ht="15">
      <c r="A59" s="4"/>
      <c r="B59" s="4" t="s">
        <v>19</v>
      </c>
      <c r="C59" s="4"/>
      <c r="D59" s="4"/>
      <c r="E59" s="4"/>
      <c r="F59" s="79"/>
      <c r="G59" s="79"/>
      <c r="H59" s="79"/>
      <c r="I59" s="79"/>
      <c r="J59" s="37"/>
      <c r="L59" s="40"/>
      <c r="M59" s="40"/>
    </row>
    <row r="60" spans="1:16" ht="15">
      <c r="A60" s="4"/>
      <c r="B60" s="4"/>
      <c r="C60" s="119" t="s">
        <v>15</v>
      </c>
      <c r="D60" s="4"/>
      <c r="E60" s="4"/>
      <c r="F60" s="79">
        <f aca="true" t="shared" si="13" ref="F60:N60">F42</f>
        <v>13321</v>
      </c>
      <c r="G60" s="79">
        <f t="shared" si="13"/>
        <v>13480.08</v>
      </c>
      <c r="H60" s="79">
        <f t="shared" si="13"/>
        <v>13586.93</v>
      </c>
      <c r="I60" s="79">
        <f t="shared" si="13"/>
        <v>13716.67</v>
      </c>
      <c r="J60" s="79">
        <f t="shared" si="13"/>
        <v>14227.05</v>
      </c>
      <c r="K60" s="79">
        <f t="shared" si="13"/>
        <v>14178.12</v>
      </c>
      <c r="L60" s="78">
        <f t="shared" si="13"/>
        <v>14212.52</v>
      </c>
      <c r="M60" s="78">
        <f t="shared" si="13"/>
        <v>14401.64</v>
      </c>
      <c r="N60" s="78">
        <f t="shared" si="13"/>
        <v>14467.52</v>
      </c>
      <c r="O60" s="78">
        <f aca="true" t="shared" si="14" ref="O60:P62">O42</f>
        <v>14770.01</v>
      </c>
      <c r="P60" s="78">
        <f t="shared" si="14"/>
        <v>14734</v>
      </c>
    </row>
    <row r="61" spans="1:16" ht="15">
      <c r="A61" s="4"/>
      <c r="B61" s="4"/>
      <c r="C61" s="119" t="s">
        <v>16</v>
      </c>
      <c r="D61" s="4"/>
      <c r="E61" s="4"/>
      <c r="F61" s="79">
        <f aca="true" t="shared" si="15" ref="F61:N61">F43</f>
        <v>11454.5</v>
      </c>
      <c r="G61" s="79">
        <f t="shared" si="15"/>
        <v>11497.32</v>
      </c>
      <c r="H61" s="79">
        <f t="shared" si="15"/>
        <v>11720.6</v>
      </c>
      <c r="I61" s="79">
        <f t="shared" si="15"/>
        <v>11726.85</v>
      </c>
      <c r="J61" s="79">
        <f t="shared" si="15"/>
        <v>11719.5</v>
      </c>
      <c r="K61" s="79">
        <f t="shared" si="15"/>
        <v>11717.24</v>
      </c>
      <c r="L61" s="78">
        <f t="shared" si="15"/>
        <v>11717.04</v>
      </c>
      <c r="M61" s="78">
        <f t="shared" si="15"/>
        <v>11715.939999999999</v>
      </c>
      <c r="N61" s="78">
        <f t="shared" si="15"/>
        <v>11683.34</v>
      </c>
      <c r="O61" s="78">
        <f t="shared" si="14"/>
        <v>11660.97</v>
      </c>
      <c r="P61" s="78">
        <f t="shared" si="14"/>
        <v>11712</v>
      </c>
    </row>
    <row r="62" spans="1:16" ht="15">
      <c r="A62" s="4"/>
      <c r="B62" s="4"/>
      <c r="C62" s="4" t="s">
        <v>6</v>
      </c>
      <c r="D62" s="4"/>
      <c r="E62" s="4"/>
      <c r="F62" s="79">
        <f aca="true" t="shared" si="16" ref="F62:N62">F44</f>
        <v>24775.5</v>
      </c>
      <c r="G62" s="79">
        <f t="shared" si="16"/>
        <v>24977.4</v>
      </c>
      <c r="H62" s="79">
        <f t="shared" si="16"/>
        <v>25307.53</v>
      </c>
      <c r="I62" s="79">
        <f t="shared" si="16"/>
        <v>25443.52</v>
      </c>
      <c r="J62" s="79">
        <f t="shared" si="16"/>
        <v>25946.55</v>
      </c>
      <c r="K62" s="79">
        <f t="shared" si="16"/>
        <v>25895.36</v>
      </c>
      <c r="L62" s="78">
        <f t="shared" si="16"/>
        <v>25929.56</v>
      </c>
      <c r="M62" s="78">
        <f t="shared" si="16"/>
        <v>26117.579999999998</v>
      </c>
      <c r="N62" s="78">
        <f t="shared" si="16"/>
        <v>26150.86</v>
      </c>
      <c r="O62" s="78">
        <f t="shared" si="14"/>
        <v>26430.98</v>
      </c>
      <c r="P62" s="78">
        <f t="shared" si="14"/>
        <v>26446</v>
      </c>
    </row>
    <row r="63" spans="1:13" ht="6" customHeight="1">
      <c r="A63" s="4"/>
      <c r="B63" s="4"/>
      <c r="C63" s="4"/>
      <c r="D63" s="4"/>
      <c r="E63" s="4"/>
      <c r="F63" s="79"/>
      <c r="G63" s="79"/>
      <c r="H63" s="79"/>
      <c r="I63" s="79"/>
      <c r="J63" s="37"/>
      <c r="L63" s="40"/>
      <c r="M63" s="40"/>
    </row>
    <row r="64" spans="1:16" ht="15">
      <c r="A64" s="127"/>
      <c r="B64" s="128" t="s">
        <v>23</v>
      </c>
      <c r="C64" s="127"/>
      <c r="D64" s="127"/>
      <c r="E64" s="127"/>
      <c r="F64" s="129">
        <f>F62+F55+F51</f>
        <v>53324.799999999996</v>
      </c>
      <c r="G64" s="129">
        <f>G62+G55+G51</f>
        <v>53522.94</v>
      </c>
      <c r="H64" s="129">
        <f>H62+H55+H51</f>
        <v>53885.89</v>
      </c>
      <c r="I64" s="129">
        <f aca="true" t="shared" si="17" ref="I64:N64">I62+I55+I51</f>
        <v>54053.670000000006</v>
      </c>
      <c r="J64" s="129">
        <f t="shared" si="17"/>
        <v>54591.87</v>
      </c>
      <c r="K64" s="129">
        <f t="shared" si="17"/>
        <v>54508.69</v>
      </c>
      <c r="L64" s="130">
        <f t="shared" si="17"/>
        <v>54542.89</v>
      </c>
      <c r="M64" s="130">
        <f t="shared" si="17"/>
        <v>54775.96</v>
      </c>
      <c r="N64" s="130">
        <f t="shared" si="17"/>
        <v>54858.276999999995</v>
      </c>
      <c r="O64" s="130">
        <f>O62+O55+O51</f>
        <v>55088.776999999995</v>
      </c>
      <c r="P64" s="130">
        <f>P62+P55+P51</f>
        <v>55837.986</v>
      </c>
    </row>
    <row r="65" spans="6:16" ht="8.25" customHeight="1">
      <c r="F65" s="83" t="str">
        <f>IF(ABS(F64-(F51+F55+F62))&gt;comments!$A$1,F64-(F51+F55+F62)," ")</f>
        <v> </v>
      </c>
      <c r="G65" s="83" t="str">
        <f>IF(ABS(G64-(G51+G55+G62))&gt;comments!$A$1,G64-(G51+G55+G62)," ")</f>
        <v> </v>
      </c>
      <c r="H65" s="83" t="str">
        <f>IF(ABS(H64-(H51+H55+H62))&gt;comments!$A$1,H64-(H51+H55+H62)," ")</f>
        <v> </v>
      </c>
      <c r="I65" s="83" t="str">
        <f>IF(ABS(I64-(I51+I55+I62))&gt;comments!$A$1,I64-(I51+I55+I62)," ")</f>
        <v> </v>
      </c>
      <c r="J65" s="83" t="str">
        <f>IF(ABS(J64-(J51+J55+J62))&gt;comments!$A$1,J64-(J51+J55+J62)," ")</f>
        <v> </v>
      </c>
      <c r="K65" s="83" t="str">
        <f>IF(ABS(K64-(K51+K55+K62))&gt;comments!$A$1,K64-(K51+K55+K62)," ")</f>
        <v> </v>
      </c>
      <c r="L65" s="83" t="str">
        <f>IF(ABS(L64-(L51+L55+L62))&gt;comments!$A$1,L64-(L51+L55+L62)," ")</f>
        <v> </v>
      </c>
      <c r="M65" s="83" t="str">
        <f>IF(ABS(M64-(M51+M55+M62))&gt;comments!$A$1,M64-(M51+M55+M62)," ")</f>
        <v> </v>
      </c>
      <c r="N65" s="83" t="str">
        <f>IF(ABS(N64-(N51+N55+N62))&gt;comments!$A$1,N64-(N51+N55+N62)," ")</f>
        <v> </v>
      </c>
      <c r="O65" s="83" t="str">
        <f>IF(ABS(O64-(O51+O55+O62))&gt;comments!$A$1,O64-(O51+O55+O62)," ")</f>
        <v> </v>
      </c>
      <c r="P65" s="83" t="str">
        <f>IF(ABS(P64-(P51+P55+P62))&gt;comments!$A$1,P64-(P51+P55+P62)," ")</f>
        <v> </v>
      </c>
    </row>
    <row r="66" spans="1:16" ht="16.5" customHeight="1">
      <c r="A66" s="1" t="s">
        <v>160</v>
      </c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</row>
    <row r="67" ht="12.75">
      <c r="B67" s="1" t="s">
        <v>24</v>
      </c>
    </row>
    <row r="68" ht="12.75">
      <c r="B68" s="1" t="s">
        <v>163</v>
      </c>
    </row>
    <row r="69" ht="12.75">
      <c r="B69" s="1" t="s">
        <v>168</v>
      </c>
    </row>
    <row r="70" ht="12.75">
      <c r="B70" s="1" t="s">
        <v>164</v>
      </c>
    </row>
    <row r="71" ht="12.75">
      <c r="B71" s="1" t="s">
        <v>165</v>
      </c>
    </row>
    <row r="72" ht="12.75">
      <c r="B72" s="1" t="s">
        <v>198</v>
      </c>
    </row>
    <row r="73" ht="408.75" customHeight="1"/>
  </sheetData>
  <printOptions/>
  <pageMargins left="0.75" right="0.75" top="1" bottom="1" header="0.5" footer="0.5"/>
  <pageSetup fitToHeight="1" fitToWidth="1" horizontalDpi="300" verticalDpi="300" orientation="portrait" paperSize="9" scale="61" r:id="rId1"/>
  <headerFooter alignWithMargins="0">
    <oddHeader>&amp;R&amp;"Arial,Bold"&amp;16ROAD NETWORK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75"/>
  <sheetViews>
    <sheetView zoomScale="75" zoomScaleNormal="75" workbookViewId="0" topLeftCell="A1">
      <selection activeCell="D47" sqref="D47"/>
    </sheetView>
  </sheetViews>
  <sheetFormatPr defaultColWidth="9.140625" defaultRowHeight="12.75"/>
  <cols>
    <col min="1" max="1" width="24.8515625" style="1" customWidth="1"/>
    <col min="2" max="2" width="13.28125" style="1" customWidth="1"/>
    <col min="3" max="3" width="12.28125" style="1" customWidth="1"/>
    <col min="4" max="4" width="11.00390625" style="1" customWidth="1"/>
    <col min="5" max="5" width="9.57421875" style="1" customWidth="1"/>
    <col min="6" max="6" width="1.57421875" style="1" customWidth="1"/>
    <col min="7" max="7" width="9.28125" style="1" customWidth="1"/>
    <col min="8" max="8" width="10.28125" style="1" customWidth="1"/>
    <col min="9" max="9" width="9.8515625" style="1" customWidth="1"/>
    <col min="10" max="10" width="10.421875" style="1" customWidth="1"/>
    <col min="11" max="11" width="10.140625" style="1" customWidth="1"/>
    <col min="12" max="12" width="12.421875" style="1" customWidth="1"/>
    <col min="13" max="16384" width="9.140625" style="1" customWidth="1"/>
  </cols>
  <sheetData>
    <row r="1" spans="1:17" s="4" customFormat="1" ht="24.75" customHeight="1">
      <c r="A1" s="126" t="s">
        <v>181</v>
      </c>
      <c r="B1" s="125"/>
      <c r="C1" s="25"/>
      <c r="D1" s="25"/>
      <c r="E1" s="1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249" s="4" customFormat="1" ht="18.75">
      <c r="A2" s="131" t="s">
        <v>25</v>
      </c>
      <c r="B2" s="132" t="s">
        <v>26</v>
      </c>
      <c r="C2" s="132"/>
      <c r="D2" s="132"/>
      <c r="E2" s="132"/>
      <c r="F2" s="131"/>
      <c r="G2" s="132" t="s">
        <v>180</v>
      </c>
      <c r="H2" s="132"/>
      <c r="I2" s="132"/>
      <c r="J2" s="132"/>
      <c r="K2" s="132"/>
      <c r="L2" s="133" t="s">
        <v>6</v>
      </c>
      <c r="M2" s="23"/>
      <c r="N2" s="23"/>
      <c r="O2" s="23"/>
      <c r="P2" s="23"/>
      <c r="Q2" s="23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</row>
    <row r="3" spans="1:249" ht="17.25" customHeight="1">
      <c r="A3" s="38"/>
      <c r="B3" s="24" t="s">
        <v>169</v>
      </c>
      <c r="C3" s="24" t="s">
        <v>27</v>
      </c>
      <c r="D3" s="24" t="s">
        <v>28</v>
      </c>
      <c r="E3" s="24" t="s">
        <v>6</v>
      </c>
      <c r="F3" s="24"/>
      <c r="G3" s="24" t="s">
        <v>93</v>
      </c>
      <c r="H3" s="24" t="s">
        <v>95</v>
      </c>
      <c r="I3" s="24" t="s">
        <v>92</v>
      </c>
      <c r="J3" s="24" t="s">
        <v>116</v>
      </c>
      <c r="K3" s="24" t="s">
        <v>6</v>
      </c>
      <c r="L3" s="25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</row>
    <row r="4" spans="1:12" ht="15.75">
      <c r="A4" s="134"/>
      <c r="B4" s="148"/>
      <c r="C4" s="148" t="s">
        <v>29</v>
      </c>
      <c r="D4" s="148"/>
      <c r="E4" s="148"/>
      <c r="F4" s="148"/>
      <c r="G4" s="148" t="s">
        <v>94</v>
      </c>
      <c r="H4" s="148" t="s">
        <v>94</v>
      </c>
      <c r="I4" s="148" t="s">
        <v>94</v>
      </c>
      <c r="J4" s="148" t="s">
        <v>117</v>
      </c>
      <c r="K4" s="148"/>
      <c r="L4" s="127"/>
    </row>
    <row r="5" spans="2:12" ht="15">
      <c r="B5" s="73"/>
      <c r="C5" s="73"/>
      <c r="D5" s="18"/>
      <c r="E5" s="18"/>
      <c r="F5" s="4"/>
      <c r="G5" s="4"/>
      <c r="H5" s="4"/>
      <c r="I5" s="4"/>
      <c r="J5" s="4"/>
      <c r="K5" s="4"/>
      <c r="L5" s="34" t="s">
        <v>30</v>
      </c>
    </row>
    <row r="6" spans="1:12" s="4" customFormat="1" ht="15">
      <c r="A6" s="18" t="s">
        <v>31</v>
      </c>
      <c r="B6" s="189">
        <v>0</v>
      </c>
      <c r="C6" s="189">
        <v>0</v>
      </c>
      <c r="D6" s="189">
        <v>29.235</v>
      </c>
      <c r="E6" s="137">
        <f aca="true" t="shared" si="0" ref="E6:E37">SUM(B6:D6)</f>
        <v>29.235</v>
      </c>
      <c r="F6" s="36" t="s">
        <v>142</v>
      </c>
      <c r="G6" s="188">
        <v>73.3</v>
      </c>
      <c r="H6" s="188">
        <v>42.2</v>
      </c>
      <c r="I6" s="188">
        <v>92.5</v>
      </c>
      <c r="J6" s="188">
        <v>699.4</v>
      </c>
      <c r="K6" s="138">
        <f aca="true" t="shared" si="1" ref="K6:K37">SUM(G6:J6)</f>
        <v>907.4</v>
      </c>
      <c r="L6" s="139">
        <f aca="true" t="shared" si="2" ref="L6:L37">E6+K6</f>
        <v>936.635</v>
      </c>
    </row>
    <row r="7" spans="1:12" s="4" customFormat="1" ht="15">
      <c r="A7" s="18" t="s">
        <v>32</v>
      </c>
      <c r="B7" s="189">
        <v>0</v>
      </c>
      <c r="C7" s="189">
        <v>0</v>
      </c>
      <c r="D7" s="189">
        <v>176.88</v>
      </c>
      <c r="E7" s="137">
        <f t="shared" si="0"/>
        <v>176.88</v>
      </c>
      <c r="F7" s="36" t="s">
        <v>142</v>
      </c>
      <c r="G7" s="188">
        <v>687.2</v>
      </c>
      <c r="H7" s="188">
        <v>800</v>
      </c>
      <c r="I7" s="188">
        <v>1536</v>
      </c>
      <c r="J7" s="188">
        <v>2385.4</v>
      </c>
      <c r="K7" s="138">
        <f t="shared" si="1"/>
        <v>5408.6</v>
      </c>
      <c r="L7" s="139">
        <f t="shared" si="2"/>
        <v>5585.4800000000005</v>
      </c>
    </row>
    <row r="8" spans="1:12" s="4" customFormat="1" ht="15">
      <c r="A8" s="18" t="s">
        <v>33</v>
      </c>
      <c r="B8" s="189">
        <v>0</v>
      </c>
      <c r="C8" s="189">
        <v>0</v>
      </c>
      <c r="D8" s="189">
        <v>40.397</v>
      </c>
      <c r="E8" s="137">
        <f t="shared" si="0"/>
        <v>40.397</v>
      </c>
      <c r="F8" s="36"/>
      <c r="G8" s="188">
        <v>193.8</v>
      </c>
      <c r="H8" s="188">
        <v>255.3</v>
      </c>
      <c r="I8" s="188">
        <v>488.4</v>
      </c>
      <c r="J8" s="188">
        <v>855.9</v>
      </c>
      <c r="K8" s="138">
        <f t="shared" si="1"/>
        <v>1793.4</v>
      </c>
      <c r="L8" s="139">
        <f t="shared" si="2"/>
        <v>1833.797</v>
      </c>
    </row>
    <row r="9" spans="1:16" s="4" customFormat="1" ht="15">
      <c r="A9" s="18" t="s">
        <v>34</v>
      </c>
      <c r="B9" s="189">
        <v>0</v>
      </c>
      <c r="C9" s="189">
        <v>0</v>
      </c>
      <c r="D9" s="189">
        <v>275.865</v>
      </c>
      <c r="E9" s="137">
        <f t="shared" si="0"/>
        <v>275.865</v>
      </c>
      <c r="F9" s="36"/>
      <c r="G9" s="188">
        <v>557.07</v>
      </c>
      <c r="H9" s="188">
        <v>611.3</v>
      </c>
      <c r="I9" s="188">
        <v>431</v>
      </c>
      <c r="J9" s="188">
        <v>715</v>
      </c>
      <c r="K9" s="138">
        <f t="shared" si="1"/>
        <v>2314.37</v>
      </c>
      <c r="L9" s="139">
        <f t="shared" si="2"/>
        <v>2590.2349999999997</v>
      </c>
      <c r="M9" s="140"/>
      <c r="N9" s="140"/>
      <c r="O9" s="140"/>
      <c r="P9" s="140"/>
    </row>
    <row r="10" spans="1:12" s="4" customFormat="1" ht="15">
      <c r="A10" s="18" t="s">
        <v>36</v>
      </c>
      <c r="B10" s="57">
        <v>0</v>
      </c>
      <c r="C10" s="57">
        <v>0</v>
      </c>
      <c r="D10" s="57">
        <v>0</v>
      </c>
      <c r="E10" s="137">
        <f t="shared" si="0"/>
        <v>0</v>
      </c>
      <c r="F10" s="36"/>
      <c r="G10" s="188">
        <v>50.2</v>
      </c>
      <c r="H10" s="188">
        <v>34.5</v>
      </c>
      <c r="I10" s="188">
        <v>28.2</v>
      </c>
      <c r="J10" s="188">
        <v>169.4</v>
      </c>
      <c r="K10" s="138">
        <f t="shared" si="1"/>
        <v>282.3</v>
      </c>
      <c r="L10" s="139">
        <f t="shared" si="2"/>
        <v>282.3</v>
      </c>
    </row>
    <row r="11" spans="1:12" s="4" customFormat="1" ht="15">
      <c r="A11" s="18" t="s">
        <v>37</v>
      </c>
      <c r="B11" s="189">
        <v>61.498</v>
      </c>
      <c r="C11" s="189">
        <v>16.132</v>
      </c>
      <c r="D11" s="189">
        <v>283.454</v>
      </c>
      <c r="E11" s="137">
        <f t="shared" si="0"/>
        <v>361.084</v>
      </c>
      <c r="F11" s="36"/>
      <c r="G11" s="188">
        <v>494.8</v>
      </c>
      <c r="H11" s="188">
        <v>733</v>
      </c>
      <c r="I11" s="188">
        <v>1175.6</v>
      </c>
      <c r="J11" s="188">
        <v>1728.8</v>
      </c>
      <c r="K11" s="138">
        <f t="shared" si="1"/>
        <v>4132.2</v>
      </c>
      <c r="L11" s="139">
        <f t="shared" si="2"/>
        <v>4493.284</v>
      </c>
    </row>
    <row r="12" spans="1:12" s="4" customFormat="1" ht="15">
      <c r="A12" s="18" t="s">
        <v>38</v>
      </c>
      <c r="B12" s="189">
        <v>0</v>
      </c>
      <c r="C12" s="189">
        <v>0</v>
      </c>
      <c r="D12" s="189">
        <v>20.13</v>
      </c>
      <c r="E12" s="137">
        <f t="shared" si="0"/>
        <v>20.13</v>
      </c>
      <c r="F12" s="36"/>
      <c r="G12" s="188">
        <v>43.3</v>
      </c>
      <c r="H12" s="188">
        <v>17.5</v>
      </c>
      <c r="I12" s="188">
        <v>98.5</v>
      </c>
      <c r="J12" s="188">
        <v>390.1</v>
      </c>
      <c r="K12" s="138">
        <f t="shared" si="1"/>
        <v>549.4000000000001</v>
      </c>
      <c r="L12" s="139">
        <f t="shared" si="2"/>
        <v>569.5300000000001</v>
      </c>
    </row>
    <row r="13" spans="1:12" s="4" customFormat="1" ht="15">
      <c r="A13" s="18" t="s">
        <v>39</v>
      </c>
      <c r="B13" s="189">
        <v>11.95</v>
      </c>
      <c r="C13" s="189">
        <v>3.656</v>
      </c>
      <c r="D13" s="189">
        <v>46.802</v>
      </c>
      <c r="E13" s="137">
        <f t="shared" si="0"/>
        <v>62.408</v>
      </c>
      <c r="F13" s="36"/>
      <c r="G13" s="188">
        <v>124.2</v>
      </c>
      <c r="H13" s="188">
        <v>194.3</v>
      </c>
      <c r="I13" s="188">
        <v>210.8</v>
      </c>
      <c r="J13" s="188">
        <v>604.8</v>
      </c>
      <c r="K13" s="138">
        <f t="shared" si="1"/>
        <v>1134.1</v>
      </c>
      <c r="L13" s="139">
        <f t="shared" si="2"/>
        <v>1196.5079999999998</v>
      </c>
    </row>
    <row r="14" spans="1:12" s="4" customFormat="1" ht="15">
      <c r="A14" s="18" t="s">
        <v>40</v>
      </c>
      <c r="B14" s="57">
        <v>0</v>
      </c>
      <c r="C14" s="57">
        <v>0</v>
      </c>
      <c r="D14" s="57">
        <v>0</v>
      </c>
      <c r="E14" s="137">
        <f t="shared" si="0"/>
        <v>0</v>
      </c>
      <c r="F14" s="36"/>
      <c r="G14" s="188">
        <v>58.1</v>
      </c>
      <c r="H14" s="188">
        <v>47.7</v>
      </c>
      <c r="I14" s="188">
        <v>60.4</v>
      </c>
      <c r="J14" s="188">
        <v>338.5</v>
      </c>
      <c r="K14" s="138">
        <f t="shared" si="1"/>
        <v>504.70000000000005</v>
      </c>
      <c r="L14" s="139">
        <f t="shared" si="2"/>
        <v>504.70000000000005</v>
      </c>
    </row>
    <row r="15" spans="1:12" s="4" customFormat="1" ht="15">
      <c r="A15" s="18" t="s">
        <v>41</v>
      </c>
      <c r="B15" s="189">
        <v>0</v>
      </c>
      <c r="C15" s="189">
        <v>0</v>
      </c>
      <c r="D15" s="189">
        <v>48.657</v>
      </c>
      <c r="E15" s="137">
        <f t="shared" si="0"/>
        <v>48.657</v>
      </c>
      <c r="F15" s="36"/>
      <c r="G15" s="188">
        <v>95.7</v>
      </c>
      <c r="H15" s="188">
        <v>169.4</v>
      </c>
      <c r="I15" s="188">
        <v>222.9</v>
      </c>
      <c r="J15" s="188">
        <v>443.8</v>
      </c>
      <c r="K15" s="138">
        <f t="shared" si="1"/>
        <v>931.8</v>
      </c>
      <c r="L15" s="139">
        <f t="shared" si="2"/>
        <v>980.457</v>
      </c>
    </row>
    <row r="16" spans="1:12" s="4" customFormat="1" ht="15">
      <c r="A16" s="18" t="s">
        <v>42</v>
      </c>
      <c r="B16" s="189">
        <v>8.153</v>
      </c>
      <c r="C16" s="189">
        <v>2.127</v>
      </c>
      <c r="D16" s="189">
        <v>8.639</v>
      </c>
      <c r="E16" s="137">
        <f t="shared" si="0"/>
        <v>18.919</v>
      </c>
      <c r="F16" s="36"/>
      <c r="G16" s="188">
        <v>39.2</v>
      </c>
      <c r="H16" s="188">
        <v>49.5</v>
      </c>
      <c r="I16" s="188">
        <v>82.8</v>
      </c>
      <c r="J16" s="188">
        <v>299.9</v>
      </c>
      <c r="K16" s="138">
        <f t="shared" si="1"/>
        <v>471.4</v>
      </c>
      <c r="L16" s="139">
        <f t="shared" si="2"/>
        <v>490.31899999999996</v>
      </c>
    </row>
    <row r="17" spans="1:12" s="4" customFormat="1" ht="15">
      <c r="A17" s="18" t="s">
        <v>43</v>
      </c>
      <c r="B17" s="189">
        <v>15.674</v>
      </c>
      <c r="C17" s="189">
        <v>11.906</v>
      </c>
      <c r="D17" s="189">
        <v>14.998</v>
      </c>
      <c r="E17" s="137">
        <f t="shared" si="0"/>
        <v>42.577999999999996</v>
      </c>
      <c r="F17" s="36"/>
      <c r="G17" s="188">
        <v>175.953105</v>
      </c>
      <c r="H17" s="188">
        <v>54.68315999999999</v>
      </c>
      <c r="I17" s="188">
        <v>125.98220099999996</v>
      </c>
      <c r="J17" s="188">
        <v>1067.59102</v>
      </c>
      <c r="K17" s="138">
        <f t="shared" si="1"/>
        <v>1424.209486</v>
      </c>
      <c r="L17" s="139">
        <f t="shared" si="2"/>
        <v>1466.787486</v>
      </c>
    </row>
    <row r="18" spans="1:12" s="4" customFormat="1" ht="15">
      <c r="A18" s="18" t="s">
        <v>91</v>
      </c>
      <c r="B18" s="57">
        <v>0</v>
      </c>
      <c r="C18" s="57">
        <v>0</v>
      </c>
      <c r="D18" s="57">
        <v>0</v>
      </c>
      <c r="E18" s="137">
        <f t="shared" si="0"/>
        <v>0</v>
      </c>
      <c r="F18" s="36"/>
      <c r="G18" s="188">
        <v>332.6</v>
      </c>
      <c r="H18" s="188">
        <v>181.5</v>
      </c>
      <c r="I18" s="188">
        <v>173.7</v>
      </c>
      <c r="J18" s="188">
        <v>502.4</v>
      </c>
      <c r="K18" s="138">
        <f t="shared" si="1"/>
        <v>1190.1999999999998</v>
      </c>
      <c r="L18" s="139">
        <f t="shared" si="2"/>
        <v>1190.1999999999998</v>
      </c>
    </row>
    <row r="19" spans="1:12" s="4" customFormat="1" ht="15">
      <c r="A19" s="18" t="s">
        <v>44</v>
      </c>
      <c r="B19" s="189">
        <v>34.7</v>
      </c>
      <c r="C19" s="189">
        <v>11.34</v>
      </c>
      <c r="D19" s="189">
        <v>1.18</v>
      </c>
      <c r="E19" s="137">
        <f t="shared" si="0"/>
        <v>47.220000000000006</v>
      </c>
      <c r="F19" s="36"/>
      <c r="G19" s="188">
        <v>108.2</v>
      </c>
      <c r="H19" s="188">
        <v>90.7</v>
      </c>
      <c r="I19" s="188">
        <v>115.1</v>
      </c>
      <c r="J19" s="188">
        <v>608.6</v>
      </c>
      <c r="K19" s="138">
        <f t="shared" si="1"/>
        <v>922.6</v>
      </c>
      <c r="L19" s="139">
        <f t="shared" si="2"/>
        <v>969.82</v>
      </c>
    </row>
    <row r="20" spans="1:12" s="4" customFormat="1" ht="15">
      <c r="A20" s="18" t="s">
        <v>45</v>
      </c>
      <c r="B20" s="189">
        <v>17.508</v>
      </c>
      <c r="C20" s="189">
        <v>5.795</v>
      </c>
      <c r="D20" s="189">
        <v>87.068</v>
      </c>
      <c r="E20" s="137">
        <f t="shared" si="0"/>
        <v>110.371</v>
      </c>
      <c r="F20" s="36"/>
      <c r="G20" s="188">
        <v>329.716</v>
      </c>
      <c r="H20" s="188">
        <v>338.685</v>
      </c>
      <c r="I20" s="188">
        <v>353.54900000000004</v>
      </c>
      <c r="J20" s="188">
        <v>1379.945</v>
      </c>
      <c r="K20" s="138">
        <f t="shared" si="1"/>
        <v>2401.895</v>
      </c>
      <c r="L20" s="139">
        <f t="shared" si="2"/>
        <v>2512.266</v>
      </c>
    </row>
    <row r="21" spans="1:12" s="4" customFormat="1" ht="15">
      <c r="A21" s="18" t="s">
        <v>46</v>
      </c>
      <c r="B21" s="189">
        <v>38.374</v>
      </c>
      <c r="C21" s="189">
        <v>43.948</v>
      </c>
      <c r="D21" s="189">
        <v>1.955</v>
      </c>
      <c r="E21" s="137">
        <f t="shared" si="0"/>
        <v>84.277</v>
      </c>
      <c r="F21" s="36"/>
      <c r="G21" s="188">
        <v>245.2</v>
      </c>
      <c r="H21" s="188">
        <v>72.1</v>
      </c>
      <c r="I21" s="188">
        <v>392</v>
      </c>
      <c r="J21" s="188">
        <v>1496.4</v>
      </c>
      <c r="K21" s="138">
        <f t="shared" si="1"/>
        <v>2205.7</v>
      </c>
      <c r="L21" s="139">
        <f t="shared" si="2"/>
        <v>2289.977</v>
      </c>
    </row>
    <row r="22" spans="1:12" s="4" customFormat="1" ht="15">
      <c r="A22" s="18" t="s">
        <v>47</v>
      </c>
      <c r="B22" s="189">
        <v>0</v>
      </c>
      <c r="C22" s="189">
        <v>0</v>
      </c>
      <c r="D22" s="189">
        <v>931.664</v>
      </c>
      <c r="E22" s="137">
        <f t="shared" si="0"/>
        <v>931.664</v>
      </c>
      <c r="F22" s="36"/>
      <c r="G22" s="188">
        <v>1388.1</v>
      </c>
      <c r="H22" s="188">
        <v>981.9</v>
      </c>
      <c r="I22" s="188">
        <v>1438.3</v>
      </c>
      <c r="J22" s="188">
        <v>2923.8</v>
      </c>
      <c r="K22" s="138">
        <f t="shared" si="1"/>
        <v>6732.1</v>
      </c>
      <c r="L22" s="139">
        <f t="shared" si="2"/>
        <v>7663.764</v>
      </c>
    </row>
    <row r="23" spans="1:12" s="4" customFormat="1" ht="15">
      <c r="A23" s="18" t="s">
        <v>48</v>
      </c>
      <c r="B23" s="189">
        <v>0</v>
      </c>
      <c r="C23" s="189">
        <v>0</v>
      </c>
      <c r="D23" s="189">
        <v>25.24</v>
      </c>
      <c r="E23" s="137">
        <f t="shared" si="0"/>
        <v>25.24</v>
      </c>
      <c r="F23" s="36"/>
      <c r="G23" s="188">
        <v>23.55</v>
      </c>
      <c r="H23" s="188">
        <v>22.68</v>
      </c>
      <c r="I23" s="188">
        <v>54.02</v>
      </c>
      <c r="J23" s="188">
        <v>262.02</v>
      </c>
      <c r="K23" s="138">
        <f t="shared" si="1"/>
        <v>362.27</v>
      </c>
      <c r="L23" s="139">
        <f t="shared" si="2"/>
        <v>387.51</v>
      </c>
    </row>
    <row r="24" spans="1:12" s="4" customFormat="1" ht="15">
      <c r="A24" s="18" t="s">
        <v>49</v>
      </c>
      <c r="B24" s="189">
        <v>0</v>
      </c>
      <c r="C24" s="189">
        <v>0</v>
      </c>
      <c r="D24" s="189">
        <v>35.807</v>
      </c>
      <c r="E24" s="137">
        <f t="shared" si="0"/>
        <v>35.807</v>
      </c>
      <c r="F24" s="36"/>
      <c r="G24" s="188">
        <v>86.3</v>
      </c>
      <c r="H24" s="188">
        <v>97.9</v>
      </c>
      <c r="I24" s="188">
        <v>101.2</v>
      </c>
      <c r="J24" s="188">
        <v>360.7</v>
      </c>
      <c r="K24" s="138">
        <f t="shared" si="1"/>
        <v>646.0999999999999</v>
      </c>
      <c r="L24" s="139">
        <f t="shared" si="2"/>
        <v>681.9069999999999</v>
      </c>
    </row>
    <row r="25" spans="1:12" s="4" customFormat="1" ht="15">
      <c r="A25" s="18" t="s">
        <v>50</v>
      </c>
      <c r="B25" s="189">
        <v>0</v>
      </c>
      <c r="C25" s="189">
        <v>0</v>
      </c>
      <c r="D25" s="189">
        <v>95.112</v>
      </c>
      <c r="E25" s="137">
        <f t="shared" si="0"/>
        <v>95.112</v>
      </c>
      <c r="F25" s="36"/>
      <c r="G25" s="188">
        <v>157.5</v>
      </c>
      <c r="H25" s="188">
        <v>292.2</v>
      </c>
      <c r="I25" s="188">
        <v>368.6</v>
      </c>
      <c r="J25" s="188">
        <v>717.2</v>
      </c>
      <c r="K25" s="138">
        <f t="shared" si="1"/>
        <v>1535.5</v>
      </c>
      <c r="L25" s="139">
        <f t="shared" si="2"/>
        <v>1630.612</v>
      </c>
    </row>
    <row r="26" spans="1:12" s="4" customFormat="1" ht="15">
      <c r="A26" s="18" t="s">
        <v>51</v>
      </c>
      <c r="B26" s="189">
        <v>0</v>
      </c>
      <c r="C26" s="189">
        <v>0</v>
      </c>
      <c r="D26" s="189">
        <v>63.708</v>
      </c>
      <c r="E26" s="137">
        <f t="shared" si="0"/>
        <v>63.708</v>
      </c>
      <c r="F26" s="36"/>
      <c r="G26" s="188">
        <v>102.6</v>
      </c>
      <c r="H26" s="188">
        <v>147.9</v>
      </c>
      <c r="I26" s="188">
        <v>213.5</v>
      </c>
      <c r="J26" s="188">
        <v>556.1</v>
      </c>
      <c r="K26" s="138">
        <f t="shared" si="1"/>
        <v>1020.1</v>
      </c>
      <c r="L26" s="139">
        <f t="shared" si="2"/>
        <v>1083.808</v>
      </c>
    </row>
    <row r="27" spans="1:12" s="4" customFormat="1" ht="15">
      <c r="A27" s="18" t="s">
        <v>52</v>
      </c>
      <c r="B27" s="189">
        <v>24.324</v>
      </c>
      <c r="C27" s="189">
        <v>5</v>
      </c>
      <c r="D27" s="189">
        <v>28.557</v>
      </c>
      <c r="E27" s="137">
        <f t="shared" si="0"/>
        <v>57.881</v>
      </c>
      <c r="F27" s="36"/>
      <c r="G27" s="188">
        <v>111.49</v>
      </c>
      <c r="H27" s="188">
        <v>128.1</v>
      </c>
      <c r="I27" s="188">
        <v>227.8</v>
      </c>
      <c r="J27" s="188">
        <v>1086.65</v>
      </c>
      <c r="K27" s="138">
        <f t="shared" si="1"/>
        <v>1554.04</v>
      </c>
      <c r="L27" s="139">
        <f t="shared" si="2"/>
        <v>1611.921</v>
      </c>
    </row>
    <row r="28" spans="1:12" s="4" customFormat="1" ht="15">
      <c r="A28" s="18" t="s">
        <v>53</v>
      </c>
      <c r="B28" s="57">
        <v>0</v>
      </c>
      <c r="C28" s="57">
        <v>0</v>
      </c>
      <c r="D28" s="57">
        <v>0</v>
      </c>
      <c r="E28" s="137">
        <f t="shared" si="0"/>
        <v>0</v>
      </c>
      <c r="F28" s="36"/>
      <c r="G28" s="188">
        <v>160.6</v>
      </c>
      <c r="H28" s="188">
        <v>204.7</v>
      </c>
      <c r="I28" s="188">
        <v>159.8</v>
      </c>
      <c r="J28" s="188">
        <v>454</v>
      </c>
      <c r="K28" s="138">
        <f t="shared" si="1"/>
        <v>979.0999999999999</v>
      </c>
      <c r="L28" s="139">
        <f t="shared" si="2"/>
        <v>979.0999999999999</v>
      </c>
    </row>
    <row r="29" spans="1:12" s="4" customFormat="1" ht="15">
      <c r="A29" s="18" t="s">
        <v>54</v>
      </c>
      <c r="B29" s="189">
        <v>39.58</v>
      </c>
      <c r="C29" s="189">
        <v>14.37</v>
      </c>
      <c r="D29" s="189">
        <v>189.952</v>
      </c>
      <c r="E29" s="137">
        <f t="shared" si="0"/>
        <v>243.902</v>
      </c>
      <c r="F29" s="36"/>
      <c r="G29" s="188">
        <v>436.3</v>
      </c>
      <c r="H29" s="188">
        <v>366.9</v>
      </c>
      <c r="I29" s="188">
        <v>637.8</v>
      </c>
      <c r="J29" s="188">
        <v>1007.7</v>
      </c>
      <c r="K29" s="138">
        <f t="shared" si="1"/>
        <v>2448.7</v>
      </c>
      <c r="L29" s="139">
        <f t="shared" si="2"/>
        <v>2692.602</v>
      </c>
    </row>
    <row r="30" spans="1:12" s="4" customFormat="1" ht="15">
      <c r="A30" s="18" t="s">
        <v>55</v>
      </c>
      <c r="B30" s="189">
        <v>18.21</v>
      </c>
      <c r="C30" s="189">
        <v>12.362</v>
      </c>
      <c r="D30" s="189">
        <v>19.276</v>
      </c>
      <c r="E30" s="137">
        <f t="shared" si="0"/>
        <v>49.848</v>
      </c>
      <c r="F30" s="36"/>
      <c r="G30" s="188">
        <v>76.6</v>
      </c>
      <c r="H30" s="188">
        <v>48.6</v>
      </c>
      <c r="I30" s="188">
        <v>117.5</v>
      </c>
      <c r="J30" s="188">
        <v>576.4</v>
      </c>
      <c r="K30" s="138">
        <f t="shared" si="1"/>
        <v>819.0999999999999</v>
      </c>
      <c r="L30" s="139">
        <f t="shared" si="2"/>
        <v>868.9479999999999</v>
      </c>
    </row>
    <row r="31" spans="1:12" s="4" customFormat="1" ht="15">
      <c r="A31" s="18" t="s">
        <v>35</v>
      </c>
      <c r="B31" s="189">
        <v>0</v>
      </c>
      <c r="C31" s="189">
        <v>0</v>
      </c>
      <c r="D31" s="189">
        <v>160.335</v>
      </c>
      <c r="E31" s="137">
        <f t="shared" si="0"/>
        <v>160.335</v>
      </c>
      <c r="F31" s="36"/>
      <c r="G31" s="188">
        <v>458.4</v>
      </c>
      <c r="H31" s="188">
        <v>598.7</v>
      </c>
      <c r="I31" s="188">
        <v>767.2</v>
      </c>
      <c r="J31" s="188">
        <v>1121.2</v>
      </c>
      <c r="K31" s="138">
        <f t="shared" si="1"/>
        <v>2945.5</v>
      </c>
      <c r="L31" s="139">
        <f t="shared" si="2"/>
        <v>3105.835</v>
      </c>
    </row>
    <row r="32" spans="1:12" s="4" customFormat="1" ht="15">
      <c r="A32" s="18" t="s">
        <v>56</v>
      </c>
      <c r="B32" s="57">
        <v>0</v>
      </c>
      <c r="C32" s="57">
        <v>0</v>
      </c>
      <c r="D32" s="57">
        <v>0</v>
      </c>
      <c r="E32" s="137">
        <f t="shared" si="0"/>
        <v>0</v>
      </c>
      <c r="F32" s="36"/>
      <c r="G32" s="188">
        <v>224.5</v>
      </c>
      <c r="H32" s="188">
        <v>161.7</v>
      </c>
      <c r="I32" s="188">
        <v>198.5</v>
      </c>
      <c r="J32" s="188">
        <v>462.3</v>
      </c>
      <c r="K32" s="138">
        <f t="shared" si="1"/>
        <v>1047</v>
      </c>
      <c r="L32" s="139">
        <f t="shared" si="2"/>
        <v>1047</v>
      </c>
    </row>
    <row r="33" spans="1:12" s="4" customFormat="1" ht="15">
      <c r="A33" s="18" t="s">
        <v>57</v>
      </c>
      <c r="B33" s="189">
        <v>0</v>
      </c>
      <c r="C33" s="189">
        <v>0</v>
      </c>
      <c r="D33" s="189">
        <v>91.167</v>
      </c>
      <c r="E33" s="137">
        <f t="shared" si="0"/>
        <v>91.167</v>
      </c>
      <c r="F33" s="36"/>
      <c r="G33" s="188">
        <v>107.42</v>
      </c>
      <c r="H33" s="188">
        <v>206.04</v>
      </c>
      <c r="I33" s="188">
        <v>232.23</v>
      </c>
      <c r="J33" s="188">
        <v>608.87</v>
      </c>
      <c r="K33" s="138">
        <f t="shared" si="1"/>
        <v>1154.56</v>
      </c>
      <c r="L33" s="139">
        <f t="shared" si="2"/>
        <v>1245.7269999999999</v>
      </c>
    </row>
    <row r="34" spans="1:12" s="4" customFormat="1" ht="15">
      <c r="A34" s="29" t="s">
        <v>58</v>
      </c>
      <c r="B34" s="189">
        <v>65.386</v>
      </c>
      <c r="C34" s="189">
        <v>23.673</v>
      </c>
      <c r="D34" s="189">
        <v>47.409</v>
      </c>
      <c r="E34" s="137">
        <f t="shared" si="0"/>
        <v>136.468</v>
      </c>
      <c r="F34" s="36"/>
      <c r="G34" s="188">
        <v>285.9</v>
      </c>
      <c r="H34" s="188">
        <v>251.1</v>
      </c>
      <c r="I34" s="188">
        <v>439.7</v>
      </c>
      <c r="J34" s="188">
        <v>1287.2</v>
      </c>
      <c r="K34" s="138">
        <f t="shared" si="1"/>
        <v>2263.9</v>
      </c>
      <c r="L34" s="139">
        <f t="shared" si="2"/>
        <v>2400.368</v>
      </c>
    </row>
    <row r="35" spans="1:17" s="4" customFormat="1" ht="15">
      <c r="A35" s="18" t="s">
        <v>59</v>
      </c>
      <c r="B35" s="189">
        <v>22.16</v>
      </c>
      <c r="C35" s="189">
        <v>6.78</v>
      </c>
      <c r="D35" s="189">
        <v>108.414</v>
      </c>
      <c r="E35" s="137">
        <f t="shared" si="0"/>
        <v>137.354</v>
      </c>
      <c r="F35" s="36"/>
      <c r="G35" s="188">
        <v>214.6</v>
      </c>
      <c r="H35" s="188">
        <v>161.7</v>
      </c>
      <c r="I35" s="188">
        <v>170.4</v>
      </c>
      <c r="J35" s="188">
        <v>462.1</v>
      </c>
      <c r="K35" s="138">
        <f t="shared" si="1"/>
        <v>1008.8</v>
      </c>
      <c r="L35" s="139">
        <f t="shared" si="2"/>
        <v>1146.154</v>
      </c>
      <c r="M35" s="140"/>
      <c r="N35" s="140"/>
      <c r="O35" s="140"/>
      <c r="P35" s="140"/>
      <c r="Q35" s="140"/>
    </row>
    <row r="36" spans="1:17" s="4" customFormat="1" ht="15">
      <c r="A36" s="18" t="s">
        <v>60</v>
      </c>
      <c r="B36" s="189">
        <v>0</v>
      </c>
      <c r="C36" s="189">
        <v>0</v>
      </c>
      <c r="D36" s="189">
        <v>14.6</v>
      </c>
      <c r="E36" s="137">
        <f t="shared" si="0"/>
        <v>14.6</v>
      </c>
      <c r="F36" s="36"/>
      <c r="G36" s="188">
        <v>46.1</v>
      </c>
      <c r="H36" s="188">
        <v>8.8</v>
      </c>
      <c r="I36" s="188">
        <v>26.9</v>
      </c>
      <c r="J36" s="188">
        <v>263.53</v>
      </c>
      <c r="K36" s="138">
        <f t="shared" si="1"/>
        <v>345.33</v>
      </c>
      <c r="L36" s="139">
        <f t="shared" si="2"/>
        <v>359.93</v>
      </c>
      <c r="M36" s="140"/>
      <c r="N36" s="140"/>
      <c r="O36" s="140"/>
      <c r="P36" s="140"/>
      <c r="Q36" s="140"/>
    </row>
    <row r="37" spans="1:17" s="4" customFormat="1" ht="15">
      <c r="A37" s="18" t="s">
        <v>61</v>
      </c>
      <c r="B37" s="57">
        <v>33.71</v>
      </c>
      <c r="C37" s="57">
        <v>10.67</v>
      </c>
      <c r="D37" s="57">
        <v>0</v>
      </c>
      <c r="E37" s="137">
        <f t="shared" si="0"/>
        <v>44.38</v>
      </c>
      <c r="F37" s="36"/>
      <c r="G37" s="188">
        <v>152</v>
      </c>
      <c r="H37" s="188">
        <v>117</v>
      </c>
      <c r="I37" s="188">
        <v>116.2</v>
      </c>
      <c r="J37" s="188">
        <v>610.7</v>
      </c>
      <c r="K37" s="138">
        <f t="shared" si="1"/>
        <v>995.9000000000001</v>
      </c>
      <c r="L37" s="139">
        <f t="shared" si="2"/>
        <v>1040.2800000000002</v>
      </c>
      <c r="M37" s="140"/>
      <c r="N37" s="140"/>
      <c r="O37" s="140"/>
      <c r="P37" s="140"/>
      <c r="Q37" s="140"/>
    </row>
    <row r="38" spans="1:17" s="4" customFormat="1" ht="15">
      <c r="A38" s="120" t="s">
        <v>6</v>
      </c>
      <c r="B38" s="86">
        <f>SUM(B6:B37)</f>
        <v>391.227</v>
      </c>
      <c r="C38" s="86">
        <f>SUM(C6:C37)</f>
        <v>167.759</v>
      </c>
      <c r="D38" s="86">
        <f>SUM(D6:D37)</f>
        <v>2846.501</v>
      </c>
      <c r="E38" s="86">
        <f>SUM(E6:E37)</f>
        <v>3405.4869999999996</v>
      </c>
      <c r="F38" s="86"/>
      <c r="G38" s="86">
        <f aca="true" t="shared" si="3" ref="G38:L38">SUM(G6:G37)</f>
        <v>7640.499105</v>
      </c>
      <c r="H38" s="86">
        <f t="shared" si="3"/>
        <v>7488.288159999999</v>
      </c>
      <c r="I38" s="86">
        <f t="shared" si="3"/>
        <v>10857.081201</v>
      </c>
      <c r="J38" s="86">
        <f t="shared" si="3"/>
        <v>26446.406020000002</v>
      </c>
      <c r="K38" s="86">
        <f t="shared" si="3"/>
        <v>52432.274485999995</v>
      </c>
      <c r="L38" s="86">
        <f t="shared" si="3"/>
        <v>55837.761485999996</v>
      </c>
      <c r="M38" s="140"/>
      <c r="N38" s="140"/>
      <c r="O38" s="140"/>
      <c r="P38" s="140"/>
      <c r="Q38" s="140"/>
    </row>
    <row r="39" spans="2:17" s="4" customFormat="1" ht="15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2" t="s">
        <v>62</v>
      </c>
      <c r="M39" s="141"/>
      <c r="N39" s="140"/>
      <c r="O39" s="140"/>
      <c r="P39" s="140"/>
      <c r="Q39" s="140"/>
    </row>
    <row r="40" spans="1:17" s="4" customFormat="1" ht="15">
      <c r="A40" s="4" t="s">
        <v>31</v>
      </c>
      <c r="B40" s="143" t="s">
        <v>141</v>
      </c>
      <c r="C40" s="143" t="s">
        <v>141</v>
      </c>
      <c r="D40" s="144">
        <f aca="true" t="shared" si="4" ref="D40:E43">D6/D$38*100</f>
        <v>1.027050403284594</v>
      </c>
      <c r="E40" s="144">
        <f t="shared" si="4"/>
        <v>0.858467526083641</v>
      </c>
      <c r="F40" s="144"/>
      <c r="G40" s="144">
        <f aca="true" t="shared" si="5" ref="G40:L49">G6/G$38*100</f>
        <v>0.9593614107229189</v>
      </c>
      <c r="H40" s="144">
        <f t="shared" si="5"/>
        <v>0.5635466891541205</v>
      </c>
      <c r="I40" s="144">
        <f t="shared" si="5"/>
        <v>0.8519785224732427</v>
      </c>
      <c r="J40" s="144">
        <f t="shared" si="5"/>
        <v>2.644593747335956</v>
      </c>
      <c r="K40" s="144">
        <f t="shared" si="5"/>
        <v>1.7306134606887706</v>
      </c>
      <c r="L40" s="144">
        <f t="shared" si="5"/>
        <v>1.6774221871964534</v>
      </c>
      <c r="M40" s="140"/>
      <c r="N40" s="140"/>
      <c r="O40" s="140"/>
      <c r="P40" s="140"/>
      <c r="Q40" s="140"/>
    </row>
    <row r="41" spans="1:17" s="4" customFormat="1" ht="15">
      <c r="A41" s="4" t="s">
        <v>32</v>
      </c>
      <c r="B41" s="143" t="s">
        <v>141</v>
      </c>
      <c r="C41" s="143" t="s">
        <v>141</v>
      </c>
      <c r="D41" s="144">
        <f t="shared" si="4"/>
        <v>6.21394476938529</v>
      </c>
      <c r="E41" s="144">
        <f t="shared" si="4"/>
        <v>5.193970788906257</v>
      </c>
      <c r="F41" s="144"/>
      <c r="G41" s="144">
        <f t="shared" si="5"/>
        <v>8.994176827405049</v>
      </c>
      <c r="H41" s="144">
        <f t="shared" si="5"/>
        <v>10.683349557424084</v>
      </c>
      <c r="I41" s="144">
        <f t="shared" si="5"/>
        <v>14.147448762366494</v>
      </c>
      <c r="J41" s="144">
        <f t="shared" si="5"/>
        <v>9.019751107942794</v>
      </c>
      <c r="K41" s="144">
        <f t="shared" si="5"/>
        <v>10.315402207936177</v>
      </c>
      <c r="L41" s="144">
        <f t="shared" si="5"/>
        <v>10.003051432139571</v>
      </c>
      <c r="M41" s="140"/>
      <c r="N41" s="140"/>
      <c r="O41" s="140"/>
      <c r="P41" s="140"/>
      <c r="Q41" s="140"/>
    </row>
    <row r="42" spans="1:17" s="4" customFormat="1" ht="15">
      <c r="A42" s="4" t="s">
        <v>33</v>
      </c>
      <c r="B42" s="143" t="s">
        <v>141</v>
      </c>
      <c r="C42" s="143" t="s">
        <v>141</v>
      </c>
      <c r="D42" s="144">
        <f t="shared" si="4"/>
        <v>1.4191809523341112</v>
      </c>
      <c r="E42" s="144">
        <f t="shared" si="4"/>
        <v>1.1862326885993104</v>
      </c>
      <c r="F42" s="144"/>
      <c r="G42" s="144">
        <f t="shared" si="5"/>
        <v>2.5364835115702826</v>
      </c>
      <c r="H42" s="144">
        <f t="shared" si="5"/>
        <v>3.409323927512961</v>
      </c>
      <c r="I42" s="144">
        <f t="shared" si="5"/>
        <v>4.498446598658721</v>
      </c>
      <c r="J42" s="144">
        <f t="shared" si="5"/>
        <v>3.236356574699521</v>
      </c>
      <c r="K42" s="144">
        <f t="shared" si="5"/>
        <v>3.4204123654388825</v>
      </c>
      <c r="L42" s="144">
        <f t="shared" si="5"/>
        <v>3.2841520705656895</v>
      </c>
      <c r="M42" s="140"/>
      <c r="N42" s="140"/>
      <c r="O42" s="140"/>
      <c r="P42" s="140"/>
      <c r="Q42" s="140"/>
    </row>
    <row r="43" spans="1:17" s="4" customFormat="1" ht="12.75" customHeight="1">
      <c r="A43" s="4" t="s">
        <v>34</v>
      </c>
      <c r="B43" s="143" t="s">
        <v>141</v>
      </c>
      <c r="C43" s="143" t="s">
        <v>141</v>
      </c>
      <c r="D43" s="144">
        <f t="shared" si="4"/>
        <v>9.691371968602857</v>
      </c>
      <c r="E43" s="144">
        <f t="shared" si="4"/>
        <v>8.100603526015517</v>
      </c>
      <c r="F43" s="144"/>
      <c r="G43" s="144">
        <f t="shared" si="5"/>
        <v>7.29101583999204</v>
      </c>
      <c r="H43" s="144">
        <f t="shared" si="5"/>
        <v>8.163414480566678</v>
      </c>
      <c r="I43" s="144">
        <f t="shared" si="5"/>
        <v>3.9697593857942444</v>
      </c>
      <c r="J43" s="144">
        <f t="shared" si="5"/>
        <v>2.703580968466126</v>
      </c>
      <c r="K43" s="144">
        <f t="shared" si="5"/>
        <v>4.414017935876427</v>
      </c>
      <c r="L43" s="144">
        <f t="shared" si="5"/>
        <v>4.6388589568538485</v>
      </c>
      <c r="M43" s="140"/>
      <c r="N43" s="140"/>
      <c r="O43" s="140"/>
      <c r="P43" s="140"/>
      <c r="Q43" s="140"/>
    </row>
    <row r="44" spans="1:17" s="4" customFormat="1" ht="12.75" customHeight="1">
      <c r="A44" s="4" t="s">
        <v>36</v>
      </c>
      <c r="B44" s="143" t="s">
        <v>141</v>
      </c>
      <c r="C44" s="143" t="s">
        <v>141</v>
      </c>
      <c r="D44" s="143" t="s">
        <v>141</v>
      </c>
      <c r="E44" s="144">
        <f aca="true" t="shared" si="6" ref="E44:E72">E10/E$38*100</f>
        <v>0</v>
      </c>
      <c r="F44" s="144"/>
      <c r="G44" s="144">
        <f t="shared" si="5"/>
        <v>0.6570251407679473</v>
      </c>
      <c r="H44" s="144">
        <f t="shared" si="5"/>
        <v>0.46071944966391365</v>
      </c>
      <c r="I44" s="144">
        <f t="shared" si="5"/>
        <v>0.25973831712157236</v>
      </c>
      <c r="J44" s="144">
        <f t="shared" si="5"/>
        <v>0.6405407217596669</v>
      </c>
      <c r="K44" s="144">
        <f t="shared" si="5"/>
        <v>0.538408838387084</v>
      </c>
      <c r="L44" s="144">
        <f t="shared" si="5"/>
        <v>0.5055718432960105</v>
      </c>
      <c r="M44" s="140"/>
      <c r="N44" s="140"/>
      <c r="O44" s="140"/>
      <c r="P44" s="140"/>
      <c r="Q44" s="140"/>
    </row>
    <row r="45" spans="1:17" s="4" customFormat="1" ht="12.75" customHeight="1">
      <c r="A45" s="4" t="s">
        <v>37</v>
      </c>
      <c r="B45" s="144">
        <f>B11/B$38*100</f>
        <v>15.719262729821818</v>
      </c>
      <c r="C45" s="144">
        <f>C11/C$38*100</f>
        <v>9.616175585214506</v>
      </c>
      <c r="D45" s="144">
        <f>D11/D$38*100</f>
        <v>9.957979990170388</v>
      </c>
      <c r="E45" s="144">
        <f t="shared" si="6"/>
        <v>10.603006266064149</v>
      </c>
      <c r="F45" s="144"/>
      <c r="G45" s="144">
        <f t="shared" si="5"/>
        <v>6.476016726135065</v>
      </c>
      <c r="H45" s="144">
        <f t="shared" si="5"/>
        <v>9.788619031989818</v>
      </c>
      <c r="I45" s="144">
        <f t="shared" si="5"/>
        <v>10.827956227238314</v>
      </c>
      <c r="J45" s="144">
        <f t="shared" si="5"/>
        <v>6.536994095502433</v>
      </c>
      <c r="K45" s="144">
        <f t="shared" si="5"/>
        <v>7.881023740641546</v>
      </c>
      <c r="L45" s="144">
        <f t="shared" si="5"/>
        <v>8.047034623919487</v>
      </c>
      <c r="M45" s="140"/>
      <c r="N45" s="140"/>
      <c r="O45" s="140"/>
      <c r="P45" s="140"/>
      <c r="Q45" s="140"/>
    </row>
    <row r="46" spans="1:12" s="4" customFormat="1" ht="15">
      <c r="A46" s="4" t="s">
        <v>38</v>
      </c>
      <c r="B46" s="143" t="s">
        <v>141</v>
      </c>
      <c r="C46" s="143" t="s">
        <v>141</v>
      </c>
      <c r="D46" s="144">
        <f>D12/D$38*100</f>
        <v>0.7071840129337736</v>
      </c>
      <c r="E46" s="144">
        <f t="shared" si="6"/>
        <v>0.5911048845583613</v>
      </c>
      <c r="F46" s="144"/>
      <c r="G46" s="144">
        <f t="shared" si="5"/>
        <v>0.5667169042878908</v>
      </c>
      <c r="H46" s="144">
        <f t="shared" si="5"/>
        <v>0.23369827156865183</v>
      </c>
      <c r="I46" s="144">
        <f t="shared" si="5"/>
        <v>0.9072419942012367</v>
      </c>
      <c r="J46" s="144">
        <f t="shared" si="5"/>
        <v>1.4750586514666235</v>
      </c>
      <c r="K46" s="144">
        <f t="shared" si="5"/>
        <v>1.047827898724279</v>
      </c>
      <c r="L46" s="144">
        <f t="shared" si="5"/>
        <v>1.019972837096624</v>
      </c>
    </row>
    <row r="47" spans="1:12" s="4" customFormat="1" ht="12.75" customHeight="1">
      <c r="A47" s="4" t="s">
        <v>39</v>
      </c>
      <c r="B47" s="144">
        <f>B13/B$38*100</f>
        <v>3.0544926602714026</v>
      </c>
      <c r="C47" s="144">
        <f>C13/C$38*100</f>
        <v>2.179316757968276</v>
      </c>
      <c r="D47" s="144">
        <f>D13/D$38*100</f>
        <v>1.6441940473584937</v>
      </c>
      <c r="E47" s="144">
        <f t="shared" si="6"/>
        <v>1.8325719640098468</v>
      </c>
      <c r="F47" s="144"/>
      <c r="G47" s="144">
        <f t="shared" si="5"/>
        <v>1.625548256641017</v>
      </c>
      <c r="H47" s="144">
        <f t="shared" si="5"/>
        <v>2.5947185237593744</v>
      </c>
      <c r="I47" s="144">
        <f t="shared" si="5"/>
        <v>1.9415899733768602</v>
      </c>
      <c r="J47" s="144">
        <f t="shared" si="5"/>
        <v>2.286889188431207</v>
      </c>
      <c r="K47" s="144">
        <f t="shared" si="5"/>
        <v>2.1629807425249448</v>
      </c>
      <c r="L47" s="144">
        <f t="shared" si="5"/>
        <v>2.1428294547588482</v>
      </c>
    </row>
    <row r="48" spans="1:12" s="4" customFormat="1" ht="15">
      <c r="A48" s="4" t="s">
        <v>40</v>
      </c>
      <c r="B48" s="143" t="s">
        <v>141</v>
      </c>
      <c r="C48" s="143" t="s">
        <v>141</v>
      </c>
      <c r="D48" s="143" t="s">
        <v>141</v>
      </c>
      <c r="E48" s="144">
        <f t="shared" si="6"/>
        <v>0</v>
      </c>
      <c r="F48" s="144"/>
      <c r="G48" s="144">
        <f t="shared" si="5"/>
        <v>0.7604215274625048</v>
      </c>
      <c r="H48" s="144">
        <f t="shared" si="5"/>
        <v>0.6369947173614111</v>
      </c>
      <c r="I48" s="144">
        <f t="shared" si="5"/>
        <v>0.5563189487284742</v>
      </c>
      <c r="J48" s="144">
        <f t="shared" si="5"/>
        <v>1.2799470738822152</v>
      </c>
      <c r="K48" s="144">
        <f t="shared" si="5"/>
        <v>0.9625750645907238</v>
      </c>
      <c r="L48" s="144">
        <f t="shared" si="5"/>
        <v>0.903868612509729</v>
      </c>
    </row>
    <row r="49" spans="1:12" s="4" customFormat="1" ht="15">
      <c r="A49" s="4" t="s">
        <v>41</v>
      </c>
      <c r="B49" s="143" t="s">
        <v>141</v>
      </c>
      <c r="C49" s="143" t="s">
        <v>141</v>
      </c>
      <c r="D49" s="144">
        <f>D15/D$38*100</f>
        <v>1.7093617743327683</v>
      </c>
      <c r="E49" s="144">
        <f t="shared" si="6"/>
        <v>1.4287824325860001</v>
      </c>
      <c r="F49" s="144"/>
      <c r="G49" s="144">
        <f t="shared" si="5"/>
        <v>1.25253597552774</v>
      </c>
      <c r="H49" s="144">
        <f t="shared" si="5"/>
        <v>2.26219926878455</v>
      </c>
      <c r="I49" s="144">
        <f t="shared" si="5"/>
        <v>2.0530379746949814</v>
      </c>
      <c r="J49" s="144">
        <f t="shared" si="5"/>
        <v>1.6781108165108627</v>
      </c>
      <c r="K49" s="144">
        <f t="shared" si="5"/>
        <v>1.7771496833478033</v>
      </c>
      <c r="L49" s="144">
        <f t="shared" si="5"/>
        <v>1.755903127036757</v>
      </c>
    </row>
    <row r="50" spans="1:12" s="4" customFormat="1" ht="15">
      <c r="A50" s="4" t="s">
        <v>42</v>
      </c>
      <c r="B50" s="144">
        <f>B16/B$38*100</f>
        <v>2.0839563731542046</v>
      </c>
      <c r="C50" s="144">
        <f>C16/C$38*100</f>
        <v>1.2678902473190707</v>
      </c>
      <c r="D50" s="144">
        <f>D16/D$38*100</f>
        <v>0.30349541419447945</v>
      </c>
      <c r="E50" s="144">
        <f t="shared" si="6"/>
        <v>0.5555446254823466</v>
      </c>
      <c r="F50" s="144"/>
      <c r="G50" s="144">
        <f aca="true" t="shared" si="7" ref="G50:L59">G16/G$38*100</f>
        <v>0.513055488408437</v>
      </c>
      <c r="H50" s="144">
        <f t="shared" si="7"/>
        <v>0.6610322538656151</v>
      </c>
      <c r="I50" s="144">
        <f t="shared" si="7"/>
        <v>0.7626359098463188</v>
      </c>
      <c r="J50" s="144">
        <f t="shared" si="7"/>
        <v>1.1339915139062815</v>
      </c>
      <c r="K50" s="144">
        <f t="shared" si="7"/>
        <v>0.8990645639945851</v>
      </c>
      <c r="L50" s="144">
        <f t="shared" si="7"/>
        <v>0.8781136402162826</v>
      </c>
    </row>
    <row r="51" spans="1:12" s="4" customFormat="1" ht="15">
      <c r="A51" s="4" t="s">
        <v>43</v>
      </c>
      <c r="B51" s="144">
        <f>B17/B$38*100</f>
        <v>4.006369703522507</v>
      </c>
      <c r="C51" s="144">
        <f>C17/C$38*100</f>
        <v>7.097085700320103</v>
      </c>
      <c r="D51" s="144">
        <f>D17/D$38*100</f>
        <v>0.5268924901133004</v>
      </c>
      <c r="E51" s="144">
        <f t="shared" si="6"/>
        <v>1.2502763921870794</v>
      </c>
      <c r="F51" s="144"/>
      <c r="G51" s="144">
        <f t="shared" si="7"/>
        <v>2.3029006689478564</v>
      </c>
      <c r="H51" s="144">
        <f t="shared" si="7"/>
        <v>0.7302491414806878</v>
      </c>
      <c r="I51" s="144">
        <f t="shared" si="7"/>
        <v>1.160368967198995</v>
      </c>
      <c r="J51" s="144">
        <f t="shared" si="7"/>
        <v>4.036809459828447</v>
      </c>
      <c r="K51" s="144">
        <f t="shared" si="7"/>
        <v>2.7162840062951683</v>
      </c>
      <c r="L51" s="144">
        <f t="shared" si="7"/>
        <v>2.626873726604822</v>
      </c>
    </row>
    <row r="52" spans="1:12" s="4" customFormat="1" ht="15">
      <c r="A52" s="4" t="s">
        <v>91</v>
      </c>
      <c r="B52" s="143" t="s">
        <v>141</v>
      </c>
      <c r="C52" s="143" t="s">
        <v>141</v>
      </c>
      <c r="D52" s="143" t="s">
        <v>141</v>
      </c>
      <c r="E52" s="144">
        <f t="shared" si="6"/>
        <v>0</v>
      </c>
      <c r="F52" s="144"/>
      <c r="G52" s="144">
        <f t="shared" si="7"/>
        <v>4.353118761343013</v>
      </c>
      <c r="H52" s="144">
        <f t="shared" si="7"/>
        <v>2.423784930840589</v>
      </c>
      <c r="I52" s="144">
        <f t="shared" si="7"/>
        <v>1.5998775065254298</v>
      </c>
      <c r="J52" s="144">
        <f t="shared" si="7"/>
        <v>1.8996910189613734</v>
      </c>
      <c r="K52" s="144">
        <f t="shared" si="7"/>
        <v>2.2699759101959165</v>
      </c>
      <c r="L52" s="144">
        <f t="shared" si="7"/>
        <v>2.131532440279531</v>
      </c>
    </row>
    <row r="53" spans="1:20" s="4" customFormat="1" ht="15">
      <c r="A53" s="4" t="s">
        <v>44</v>
      </c>
      <c r="B53" s="144">
        <f aca="true" t="shared" si="8" ref="B53:D55">B19/B$38*100</f>
        <v>8.869530988403152</v>
      </c>
      <c r="C53" s="144">
        <f t="shared" si="8"/>
        <v>6.759696946214511</v>
      </c>
      <c r="D53" s="144">
        <f t="shared" si="8"/>
        <v>0.041454403142665325</v>
      </c>
      <c r="E53" s="144">
        <f t="shared" si="6"/>
        <v>1.386585824582505</v>
      </c>
      <c r="F53" s="144"/>
      <c r="G53" s="144">
        <f t="shared" si="7"/>
        <v>1.4161378532090019</v>
      </c>
      <c r="H53" s="144">
        <f t="shared" si="7"/>
        <v>1.2112247560729557</v>
      </c>
      <c r="I53" s="144">
        <f t="shared" si="7"/>
        <v>1.060137599315354</v>
      </c>
      <c r="J53" s="144">
        <f t="shared" si="7"/>
        <v>2.301257870501377</v>
      </c>
      <c r="K53" s="144">
        <f t="shared" si="7"/>
        <v>1.75960323873866</v>
      </c>
      <c r="L53" s="144">
        <f t="shared" si="7"/>
        <v>1.7368532945991388</v>
      </c>
      <c r="T53" s="145"/>
    </row>
    <row r="54" spans="1:20" s="4" customFormat="1" ht="15">
      <c r="A54" s="4" t="s">
        <v>45</v>
      </c>
      <c r="B54" s="144">
        <f t="shared" si="8"/>
        <v>4.475151254898051</v>
      </c>
      <c r="C54" s="144">
        <f t="shared" si="8"/>
        <v>3.454360123748949</v>
      </c>
      <c r="D54" s="144">
        <f t="shared" si="8"/>
        <v>3.0587728583267664</v>
      </c>
      <c r="E54" s="144">
        <f t="shared" si="6"/>
        <v>3.2409755198008394</v>
      </c>
      <c r="F54" s="144"/>
      <c r="G54" s="144">
        <f t="shared" si="7"/>
        <v>4.315372536124393</v>
      </c>
      <c r="H54" s="144">
        <f t="shared" si="7"/>
        <v>4.52286280607022</v>
      </c>
      <c r="I54" s="144">
        <f t="shared" si="7"/>
        <v>3.2563908609934327</v>
      </c>
      <c r="J54" s="144">
        <f t="shared" si="7"/>
        <v>5.217892362979005</v>
      </c>
      <c r="K54" s="144">
        <f t="shared" si="7"/>
        <v>4.580947562443305</v>
      </c>
      <c r="L54" s="144">
        <f t="shared" si="7"/>
        <v>4.499224061175682</v>
      </c>
      <c r="M54" s="140"/>
      <c r="N54" s="140"/>
      <c r="O54" s="140"/>
      <c r="P54" s="140"/>
      <c r="T54" s="145"/>
    </row>
    <row r="55" spans="1:12" s="4" customFormat="1" ht="15">
      <c r="A55" s="4" t="s">
        <v>46</v>
      </c>
      <c r="B55" s="144">
        <f t="shared" si="8"/>
        <v>9.808627727636386</v>
      </c>
      <c r="C55" s="144">
        <f t="shared" si="8"/>
        <v>26.19710417920946</v>
      </c>
      <c r="D55" s="144">
        <f t="shared" si="8"/>
        <v>0.06868081198636501</v>
      </c>
      <c r="E55" s="144">
        <f t="shared" si="6"/>
        <v>2.4747414980588682</v>
      </c>
      <c r="F55" s="144"/>
      <c r="G55" s="144">
        <f t="shared" si="7"/>
        <v>3.2092144325956307</v>
      </c>
      <c r="H55" s="144">
        <f t="shared" si="7"/>
        <v>0.9628368788628454</v>
      </c>
      <c r="I55" s="144">
        <f t="shared" si="7"/>
        <v>3.6105468195622823</v>
      </c>
      <c r="J55" s="144">
        <f t="shared" si="7"/>
        <v>5.658235749947849</v>
      </c>
      <c r="K55" s="144">
        <f t="shared" si="7"/>
        <v>4.206760095042123</v>
      </c>
      <c r="L55" s="144">
        <f t="shared" si="7"/>
        <v>4.101126082166022</v>
      </c>
    </row>
    <row r="56" spans="1:16" s="4" customFormat="1" ht="15">
      <c r="A56" s="4" t="s">
        <v>47</v>
      </c>
      <c r="B56" s="143" t="s">
        <v>141</v>
      </c>
      <c r="C56" s="143" t="s">
        <v>141</v>
      </c>
      <c r="D56" s="144">
        <f aca="true" t="shared" si="9" ref="D56:D61">D22/D$38*100</f>
        <v>32.7301483470408</v>
      </c>
      <c r="E56" s="144">
        <f t="shared" si="6"/>
        <v>27.357731801648345</v>
      </c>
      <c r="F56" s="144"/>
      <c r="G56" s="144">
        <f t="shared" si="7"/>
        <v>18.167661312748756</v>
      </c>
      <c r="H56" s="144">
        <f t="shared" si="7"/>
        <v>13.112476163043386</v>
      </c>
      <c r="I56" s="144">
        <f t="shared" si="7"/>
        <v>13.247575231062322</v>
      </c>
      <c r="J56" s="144">
        <f t="shared" si="7"/>
        <v>11.055566483358406</v>
      </c>
      <c r="K56" s="144">
        <f t="shared" si="7"/>
        <v>12.839610842740662</v>
      </c>
      <c r="L56" s="144">
        <f t="shared" si="7"/>
        <v>13.725055940721242</v>
      </c>
      <c r="M56" s="140"/>
      <c r="N56" s="140"/>
      <c r="O56" s="140"/>
      <c r="P56" s="140"/>
    </row>
    <row r="57" spans="1:16" s="4" customFormat="1" ht="15">
      <c r="A57" s="4" t="s">
        <v>48</v>
      </c>
      <c r="B57" s="143" t="s">
        <v>141</v>
      </c>
      <c r="C57" s="143" t="s">
        <v>141</v>
      </c>
      <c r="D57" s="144">
        <f t="shared" si="9"/>
        <v>0.886702657051587</v>
      </c>
      <c r="E57" s="144">
        <f t="shared" si="6"/>
        <v>0.7411568448213135</v>
      </c>
      <c r="F57" s="144"/>
      <c r="G57" s="144">
        <f t="shared" si="7"/>
        <v>0.3082259375514972</v>
      </c>
      <c r="H57" s="144">
        <f t="shared" si="7"/>
        <v>0.3028729599529728</v>
      </c>
      <c r="I57" s="144">
        <f t="shared" si="7"/>
        <v>0.4975554571243737</v>
      </c>
      <c r="J57" s="144">
        <f t="shared" si="7"/>
        <v>0.9907584410594327</v>
      </c>
      <c r="K57" s="144">
        <f t="shared" si="7"/>
        <v>0.6909294009298226</v>
      </c>
      <c r="L57" s="144">
        <f t="shared" si="7"/>
        <v>0.6939927204946406</v>
      </c>
      <c r="M57" s="140"/>
      <c r="N57" s="140"/>
      <c r="O57" s="140"/>
      <c r="P57" s="140"/>
    </row>
    <row r="58" spans="1:12" s="4" customFormat="1" ht="15">
      <c r="A58" s="4" t="s">
        <v>49</v>
      </c>
      <c r="B58" s="143" t="s">
        <v>141</v>
      </c>
      <c r="C58" s="143" t="s">
        <v>141</v>
      </c>
      <c r="D58" s="144">
        <f t="shared" si="9"/>
        <v>1.2579303502791672</v>
      </c>
      <c r="E58" s="144">
        <f t="shared" si="6"/>
        <v>1.0514502037447215</v>
      </c>
      <c r="F58" s="144"/>
      <c r="G58" s="144">
        <f t="shared" si="7"/>
        <v>1.1295073635114312</v>
      </c>
      <c r="H58" s="144">
        <f t="shared" si="7"/>
        <v>1.3073749020897725</v>
      </c>
      <c r="I58" s="144">
        <f t="shared" si="7"/>
        <v>0.9321105564788342</v>
      </c>
      <c r="J58" s="144">
        <f t="shared" si="7"/>
        <v>1.3638904270289953</v>
      </c>
      <c r="K58" s="144">
        <f t="shared" si="7"/>
        <v>1.2322562893442965</v>
      </c>
      <c r="L58" s="144">
        <f t="shared" si="7"/>
        <v>1.221229114227604</v>
      </c>
    </row>
    <row r="59" spans="1:16" s="4" customFormat="1" ht="15">
      <c r="A59" s="4" t="s">
        <v>50</v>
      </c>
      <c r="B59" s="143" t="s">
        <v>141</v>
      </c>
      <c r="C59" s="143" t="s">
        <v>141</v>
      </c>
      <c r="D59" s="144">
        <f t="shared" si="9"/>
        <v>3.3413654166993085</v>
      </c>
      <c r="E59" s="144">
        <f t="shared" si="6"/>
        <v>2.79290450969274</v>
      </c>
      <c r="F59" s="144"/>
      <c r="G59" s="144">
        <f t="shared" si="7"/>
        <v>2.0613836587838983</v>
      </c>
      <c r="H59" s="144">
        <f t="shared" si="7"/>
        <v>3.9020934258491464</v>
      </c>
      <c r="I59" s="144">
        <f t="shared" si="7"/>
        <v>3.3950192798231056</v>
      </c>
      <c r="J59" s="144">
        <f t="shared" si="7"/>
        <v>2.71189967913833</v>
      </c>
      <c r="K59" s="144">
        <f t="shared" si="7"/>
        <v>2.9285397497108305</v>
      </c>
      <c r="L59" s="144">
        <f t="shared" si="7"/>
        <v>2.92026749748705</v>
      </c>
      <c r="M59" s="140"/>
      <c r="N59" s="140"/>
      <c r="O59" s="140"/>
      <c r="P59" s="140"/>
    </row>
    <row r="60" spans="1:16" s="4" customFormat="1" ht="15">
      <c r="A60" s="4" t="s">
        <v>51</v>
      </c>
      <c r="B60" s="143" t="s">
        <v>141</v>
      </c>
      <c r="C60" s="143" t="s">
        <v>141</v>
      </c>
      <c r="D60" s="144">
        <f t="shared" si="9"/>
        <v>2.2381161995024765</v>
      </c>
      <c r="E60" s="144">
        <f t="shared" si="6"/>
        <v>1.8707456525307542</v>
      </c>
      <c r="F60" s="144"/>
      <c r="G60" s="144">
        <f aca="true" t="shared" si="10" ref="G60:L69">G26/G$38*100</f>
        <v>1.3428442120077966</v>
      </c>
      <c r="H60" s="144">
        <f t="shared" si="10"/>
        <v>1.9750842494287775</v>
      </c>
      <c r="I60" s="144">
        <f t="shared" si="10"/>
        <v>1.9664585356544573</v>
      </c>
      <c r="J60" s="144">
        <f t="shared" si="10"/>
        <v>2.1027431840056123</v>
      </c>
      <c r="K60" s="144">
        <f t="shared" si="10"/>
        <v>1.945557407150777</v>
      </c>
      <c r="L60" s="144">
        <f t="shared" si="10"/>
        <v>1.9409947160430838</v>
      </c>
      <c r="M60" s="140"/>
      <c r="N60" s="140"/>
      <c r="O60" s="140"/>
      <c r="P60" s="140"/>
    </row>
    <row r="61" spans="1:16" s="4" customFormat="1" ht="15">
      <c r="A61" s="4" t="s">
        <v>52</v>
      </c>
      <c r="B61" s="144">
        <f>B27/B$38*100</f>
        <v>6.21736229861436</v>
      </c>
      <c r="C61" s="144">
        <f>C27/C$38*100</f>
        <v>2.980466025667774</v>
      </c>
      <c r="D61" s="144">
        <f t="shared" si="9"/>
        <v>1.0032316869026217</v>
      </c>
      <c r="E61" s="144">
        <f t="shared" si="6"/>
        <v>1.6996394348297323</v>
      </c>
      <c r="F61" s="144"/>
      <c r="G61" s="144">
        <f t="shared" si="10"/>
        <v>1.45919786741471</v>
      </c>
      <c r="H61" s="144">
        <f t="shared" si="10"/>
        <v>1.7106713478825315</v>
      </c>
      <c r="I61" s="144">
        <f t="shared" si="10"/>
        <v>2.0981698099395105</v>
      </c>
      <c r="J61" s="144">
        <f t="shared" si="10"/>
        <v>4.108875887249954</v>
      </c>
      <c r="K61" s="144">
        <f t="shared" si="10"/>
        <v>2.963899650042735</v>
      </c>
      <c r="L61" s="144">
        <f t="shared" si="10"/>
        <v>2.8867937343873487</v>
      </c>
      <c r="M61" s="140"/>
      <c r="N61" s="140"/>
      <c r="O61" s="140"/>
      <c r="P61" s="140"/>
    </row>
    <row r="62" spans="1:12" s="4" customFormat="1" ht="15">
      <c r="A62" s="4" t="s">
        <v>53</v>
      </c>
      <c r="B62" s="143" t="s">
        <v>141</v>
      </c>
      <c r="C62" s="143" t="s">
        <v>141</v>
      </c>
      <c r="D62" s="143" t="s">
        <v>141</v>
      </c>
      <c r="E62" s="144">
        <f t="shared" si="6"/>
        <v>0</v>
      </c>
      <c r="F62" s="144"/>
      <c r="G62" s="144">
        <f t="shared" si="10"/>
        <v>2.101956924448851</v>
      </c>
      <c r="H62" s="144">
        <f t="shared" si="10"/>
        <v>2.7336020680058875</v>
      </c>
      <c r="I62" s="144">
        <f t="shared" si="10"/>
        <v>1.4718504636889103</v>
      </c>
      <c r="J62" s="144">
        <f t="shared" si="10"/>
        <v>1.7166793841728971</v>
      </c>
      <c r="K62" s="144">
        <f t="shared" si="10"/>
        <v>1.8673612953056817</v>
      </c>
      <c r="L62" s="144">
        <f t="shared" si="10"/>
        <v>1.7534728720195674</v>
      </c>
    </row>
    <row r="63" spans="1:18" s="4" customFormat="1" ht="15">
      <c r="A63" s="4" t="s">
        <v>54</v>
      </c>
      <c r="B63" s="144">
        <f aca="true" t="shared" si="11" ref="B63:D64">B29/B$38*100</f>
        <v>10.116888660547458</v>
      </c>
      <c r="C63" s="144">
        <f t="shared" si="11"/>
        <v>8.565859357769181</v>
      </c>
      <c r="D63" s="144">
        <f t="shared" si="11"/>
        <v>6.673175242165732</v>
      </c>
      <c r="E63" s="144">
        <f t="shared" si="6"/>
        <v>7.16202998278954</v>
      </c>
      <c r="F63" s="144"/>
      <c r="G63" s="144">
        <f t="shared" si="10"/>
        <v>5.710359938586761</v>
      </c>
      <c r="H63" s="144">
        <f t="shared" si="10"/>
        <v>4.89965119077362</v>
      </c>
      <c r="I63" s="144">
        <f t="shared" si="10"/>
        <v>5.874507044685775</v>
      </c>
      <c r="J63" s="144">
        <f t="shared" si="10"/>
        <v>3.8103476110815606</v>
      </c>
      <c r="K63" s="144">
        <f t="shared" si="10"/>
        <v>4.670215099392322</v>
      </c>
      <c r="L63" s="144">
        <f t="shared" si="10"/>
        <v>4.822188297564734</v>
      </c>
      <c r="M63" s="25"/>
      <c r="N63" s="25"/>
      <c r="O63" s="25"/>
      <c r="P63" s="25"/>
      <c r="Q63" s="25"/>
      <c r="R63" s="25"/>
    </row>
    <row r="64" spans="1:12" s="4" customFormat="1" ht="15">
      <c r="A64" s="4" t="s">
        <v>55</v>
      </c>
      <c r="B64" s="144">
        <f t="shared" si="11"/>
        <v>4.654586723308975</v>
      </c>
      <c r="C64" s="144">
        <f t="shared" si="11"/>
        <v>7.368904201861004</v>
      </c>
      <c r="D64" s="144">
        <f t="shared" si="11"/>
        <v>0.6771822669305227</v>
      </c>
      <c r="E64" s="144">
        <f t="shared" si="6"/>
        <v>1.4637554041463088</v>
      </c>
      <c r="F64" s="144"/>
      <c r="G64" s="144">
        <f t="shared" si="10"/>
        <v>1.002552306430772</v>
      </c>
      <c r="H64" s="144">
        <f t="shared" si="10"/>
        <v>0.6490134856135131</v>
      </c>
      <c r="I64" s="144">
        <f t="shared" si="10"/>
        <v>1.0822429880065516</v>
      </c>
      <c r="J64" s="144">
        <f t="shared" si="10"/>
        <v>2.179502196117308</v>
      </c>
      <c r="K64" s="144">
        <f t="shared" si="10"/>
        <v>1.562205736885797</v>
      </c>
      <c r="L64" s="144">
        <f t="shared" si="10"/>
        <v>1.5562013534834633</v>
      </c>
    </row>
    <row r="65" spans="1:12" s="4" customFormat="1" ht="15">
      <c r="A65" s="4" t="s">
        <v>35</v>
      </c>
      <c r="B65" s="143" t="s">
        <v>141</v>
      </c>
      <c r="C65" s="143" t="s">
        <v>141</v>
      </c>
      <c r="D65" s="144">
        <f>D31/D$38*100</f>
        <v>5.632704854134954</v>
      </c>
      <c r="E65" s="144">
        <f t="shared" si="6"/>
        <v>4.708137191538245</v>
      </c>
      <c r="F65" s="144"/>
      <c r="G65" s="144">
        <f t="shared" si="10"/>
        <v>5.999608058327231</v>
      </c>
      <c r="H65" s="144">
        <f t="shared" si="10"/>
        <v>7.99515172503725</v>
      </c>
      <c r="I65" s="144">
        <f t="shared" si="10"/>
        <v>7.066355918286183</v>
      </c>
      <c r="J65" s="144">
        <f t="shared" si="10"/>
        <v>4.2395174571247844</v>
      </c>
      <c r="K65" s="144">
        <f t="shared" si="10"/>
        <v>5.617723108286064</v>
      </c>
      <c r="L65" s="144">
        <f t="shared" si="10"/>
        <v>5.562248409221625</v>
      </c>
    </row>
    <row r="66" spans="1:12" s="4" customFormat="1" ht="15">
      <c r="A66" s="4" t="s">
        <v>56</v>
      </c>
      <c r="B66" s="143" t="s">
        <v>141</v>
      </c>
      <c r="C66" s="143" t="s">
        <v>141</v>
      </c>
      <c r="D66" s="143" t="s">
        <v>141</v>
      </c>
      <c r="E66" s="144">
        <f t="shared" si="6"/>
        <v>0</v>
      </c>
      <c r="F66" s="144"/>
      <c r="G66" s="144">
        <f t="shared" si="10"/>
        <v>2.9382897231554614</v>
      </c>
      <c r="H66" s="144">
        <f t="shared" si="10"/>
        <v>2.159372029294343</v>
      </c>
      <c r="I66" s="144">
        <f t="shared" si="10"/>
        <v>1.8282998563344723</v>
      </c>
      <c r="J66" s="144">
        <f t="shared" si="10"/>
        <v>1.7480636107998464</v>
      </c>
      <c r="K66" s="144">
        <f t="shared" si="10"/>
        <v>1.9968616854101204</v>
      </c>
      <c r="L66" s="144">
        <f t="shared" si="10"/>
        <v>1.875075168016022</v>
      </c>
    </row>
    <row r="67" spans="1:12" s="4" customFormat="1" ht="15">
      <c r="A67" s="4" t="s">
        <v>57</v>
      </c>
      <c r="B67" s="143" t="s">
        <v>141</v>
      </c>
      <c r="C67" s="143" t="s">
        <v>141</v>
      </c>
      <c r="D67" s="144">
        <f>D33/D$38*100</f>
        <v>3.202774212972347</v>
      </c>
      <c r="E67" s="144">
        <f t="shared" si="6"/>
        <v>2.677062047219678</v>
      </c>
      <c r="F67" s="144"/>
      <c r="G67" s="144">
        <f t="shared" si="10"/>
        <v>1.405929096041691</v>
      </c>
      <c r="H67" s="144">
        <f t="shared" si="10"/>
        <v>2.751496678514573</v>
      </c>
      <c r="I67" s="144">
        <f t="shared" si="10"/>
        <v>2.1389726732320122</v>
      </c>
      <c r="J67" s="144">
        <f t="shared" si="10"/>
        <v>2.3022788031747834</v>
      </c>
      <c r="K67" s="144">
        <f t="shared" si="10"/>
        <v>2.2020025095578877</v>
      </c>
      <c r="L67" s="144">
        <f t="shared" si="10"/>
        <v>2.230975896682994</v>
      </c>
    </row>
    <row r="68" spans="1:12" s="4" customFormat="1" ht="15">
      <c r="A68" s="4" t="s">
        <v>58</v>
      </c>
      <c r="B68" s="144">
        <f>B34/B$38*100</f>
        <v>16.713059170251544</v>
      </c>
      <c r="C68" s="144">
        <f>C34/C$38*100</f>
        <v>14.111314445126641</v>
      </c>
      <c r="D68" s="144">
        <f>D34/D$38*100</f>
        <v>1.6655184733818817</v>
      </c>
      <c r="E68" s="144">
        <f t="shared" si="6"/>
        <v>4.0072976346701665</v>
      </c>
      <c r="F68" s="144"/>
      <c r="G68" s="144">
        <f t="shared" si="10"/>
        <v>3.7419021463258186</v>
      </c>
      <c r="H68" s="144">
        <f t="shared" si="10"/>
        <v>3.3532363423364844</v>
      </c>
      <c r="I68" s="144">
        <f t="shared" si="10"/>
        <v>4.0498914197998355</v>
      </c>
      <c r="J68" s="144">
        <f t="shared" si="10"/>
        <v>4.867201989663774</v>
      </c>
      <c r="K68" s="144">
        <f t="shared" si="10"/>
        <v>4.317760429417357</v>
      </c>
      <c r="L68" s="144">
        <f t="shared" si="10"/>
        <v>4.298825626456812</v>
      </c>
    </row>
    <row r="69" spans="1:12" s="4" customFormat="1" ht="15">
      <c r="A69" s="4" t="s">
        <v>59</v>
      </c>
      <c r="B69" s="144">
        <f>B35/B$38*100</f>
        <v>5.664230740720861</v>
      </c>
      <c r="C69" s="144">
        <f>C35/C$38*100</f>
        <v>4.041511930805501</v>
      </c>
      <c r="D69" s="144">
        <f>D35/D$38*100</f>
        <v>3.808675985007558</v>
      </c>
      <c r="E69" s="144">
        <f t="shared" si="6"/>
        <v>4.033314471615955</v>
      </c>
      <c r="F69" s="144"/>
      <c r="G69" s="144">
        <f t="shared" si="10"/>
        <v>2.808717036031902</v>
      </c>
      <c r="H69" s="144">
        <f t="shared" si="10"/>
        <v>2.159372029294343</v>
      </c>
      <c r="I69" s="144">
        <f t="shared" si="10"/>
        <v>1.569482597075033</v>
      </c>
      <c r="J69" s="144">
        <f t="shared" si="10"/>
        <v>1.7473073643751007</v>
      </c>
      <c r="K69" s="144">
        <f t="shared" si="10"/>
        <v>1.9240057958373729</v>
      </c>
      <c r="L69" s="144">
        <f t="shared" si="10"/>
        <v>2.052650338225631</v>
      </c>
    </row>
    <row r="70" spans="1:12" s="4" customFormat="1" ht="15">
      <c r="A70" s="4" t="s">
        <v>60</v>
      </c>
      <c r="B70" s="143" t="s">
        <v>141</v>
      </c>
      <c r="C70" s="143" t="s">
        <v>141</v>
      </c>
      <c r="D70" s="144">
        <f>D36/D$38*100</f>
        <v>0.5129104117651812</v>
      </c>
      <c r="E70" s="144">
        <f t="shared" si="6"/>
        <v>0.42871988646557746</v>
      </c>
      <c r="F70" s="144"/>
      <c r="G70" s="144">
        <f aca="true" t="shared" si="12" ref="G70:L72">G36/G$38*100</f>
        <v>0.6033637248884934</v>
      </c>
      <c r="H70" s="144">
        <f t="shared" si="12"/>
        <v>0.11751684513166492</v>
      </c>
      <c r="I70" s="144">
        <f t="shared" si="12"/>
        <v>0.24776456491384027</v>
      </c>
      <c r="J70" s="144">
        <f t="shared" si="12"/>
        <v>0.9964681015662632</v>
      </c>
      <c r="K70" s="144">
        <f t="shared" si="12"/>
        <v>0.6586210561821173</v>
      </c>
      <c r="L70" s="144">
        <f t="shared" si="12"/>
        <v>0.6445996229455653</v>
      </c>
    </row>
    <row r="71" spans="1:12" s="4" customFormat="1" ht="15">
      <c r="A71" s="4" t="s">
        <v>61</v>
      </c>
      <c r="B71" s="144">
        <f>B37/B$38*100</f>
        <v>8.616480968849288</v>
      </c>
      <c r="C71" s="144">
        <f>C37/C$38*100</f>
        <v>6.360314498775028</v>
      </c>
      <c r="D71" s="143" t="s">
        <v>141</v>
      </c>
      <c r="E71" s="144">
        <f t="shared" si="6"/>
        <v>1.3031909973522144</v>
      </c>
      <c r="F71" s="144"/>
      <c r="G71" s="144">
        <f t="shared" si="12"/>
        <v>1.9893988326041432</v>
      </c>
      <c r="H71" s="144">
        <f t="shared" si="12"/>
        <v>1.5624398727732722</v>
      </c>
      <c r="I71" s="144">
        <f t="shared" si="12"/>
        <v>1.0702692357988195</v>
      </c>
      <c r="J71" s="144">
        <f t="shared" si="12"/>
        <v>2.3091984579612075</v>
      </c>
      <c r="K71" s="144">
        <f t="shared" si="12"/>
        <v>1.8994026289397699</v>
      </c>
      <c r="L71" s="144">
        <f t="shared" si="12"/>
        <v>1.8630403016081258</v>
      </c>
    </row>
    <row r="72" spans="1:12" s="4" customFormat="1" ht="15">
      <c r="A72" s="146" t="s">
        <v>6</v>
      </c>
      <c r="B72" s="147">
        <f>B38/B$38*100</f>
        <v>100</v>
      </c>
      <c r="C72" s="147">
        <f>C38/C$38*100</f>
        <v>100</v>
      </c>
      <c r="D72" s="147">
        <f>D38/D$38*100</f>
        <v>100</v>
      </c>
      <c r="E72" s="147">
        <f t="shared" si="6"/>
        <v>100</v>
      </c>
      <c r="F72" s="147"/>
      <c r="G72" s="147">
        <f t="shared" si="12"/>
        <v>100</v>
      </c>
      <c r="H72" s="147">
        <f t="shared" si="12"/>
        <v>100</v>
      </c>
      <c r="I72" s="147">
        <f t="shared" si="12"/>
        <v>100</v>
      </c>
      <c r="J72" s="147">
        <f t="shared" si="12"/>
        <v>100</v>
      </c>
      <c r="K72" s="147">
        <f t="shared" si="12"/>
        <v>100</v>
      </c>
      <c r="L72" s="147">
        <f t="shared" si="12"/>
        <v>100</v>
      </c>
    </row>
    <row r="73" spans="1:12" ht="21" customHeight="1">
      <c r="A73" s="1" t="s">
        <v>160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</row>
    <row r="74" spans="1:5" ht="14.25" customHeight="1">
      <c r="A74" s="1" t="s">
        <v>153</v>
      </c>
      <c r="B74" s="74"/>
      <c r="C74" s="74"/>
      <c r="D74" s="74"/>
      <c r="E74" s="74"/>
    </row>
    <row r="75" ht="12.75">
      <c r="A75" s="1" t="s">
        <v>179</v>
      </c>
    </row>
  </sheetData>
  <printOptions/>
  <pageMargins left="0.7480314960629921" right="0.7480314960629921" top="0.984251968503937" bottom="0.7874015748031497" header="0.5118110236220472" footer="0.5118110236220472"/>
  <pageSetup fitToHeight="1" fitToWidth="1" horizontalDpi="300" verticalDpi="300" orientation="portrait" paperSize="9" scale="64" r:id="rId1"/>
  <headerFooter alignWithMargins="0">
    <oddHeader>&amp;R&amp;"Arial,Bold"&amp;16ROAD NETWORK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zoomScale="75" zoomScaleNormal="75" workbookViewId="0" topLeftCell="A1">
      <selection activeCell="O5" sqref="O5"/>
    </sheetView>
  </sheetViews>
  <sheetFormatPr defaultColWidth="9.140625" defaultRowHeight="12.75"/>
  <cols>
    <col min="1" max="1" width="26.7109375" style="1" customWidth="1"/>
    <col min="2" max="2" width="15.140625" style="1" customWidth="1"/>
    <col min="3" max="9" width="9.7109375" style="1" customWidth="1"/>
    <col min="10" max="10" width="11.28125" style="1" customWidth="1"/>
    <col min="11" max="12" width="9.7109375" style="1" customWidth="1"/>
    <col min="13" max="14" width="10.00390625" style="1" customWidth="1"/>
    <col min="15" max="16384" width="9.140625" style="1" customWidth="1"/>
  </cols>
  <sheetData>
    <row r="1" spans="1:10" s="20" customFormat="1" ht="20.25">
      <c r="A1" s="126" t="s">
        <v>170</v>
      </c>
      <c r="B1" s="4"/>
      <c r="C1" s="4"/>
      <c r="D1" s="4"/>
      <c r="E1" s="4"/>
      <c r="J1" s="152"/>
    </row>
    <row r="2" spans="1:12" s="27" customFormat="1" ht="14.25" customHeight="1">
      <c r="A2" s="26"/>
      <c r="B2" s="20"/>
      <c r="C2" s="20"/>
      <c r="D2" s="20"/>
      <c r="E2" s="20"/>
      <c r="F2" s="20"/>
      <c r="G2" s="20"/>
      <c r="H2" s="22"/>
      <c r="I2" s="22"/>
      <c r="J2" s="22"/>
      <c r="K2" s="20"/>
      <c r="L2" s="20"/>
    </row>
    <row r="3" spans="1:12" ht="31.5" customHeight="1">
      <c r="A3" s="123"/>
      <c r="B3" s="150" t="s">
        <v>81</v>
      </c>
      <c r="C3" s="150" t="s">
        <v>96</v>
      </c>
      <c r="D3" s="150" t="s">
        <v>97</v>
      </c>
      <c r="E3" s="150" t="s">
        <v>102</v>
      </c>
      <c r="F3" s="151" t="s">
        <v>119</v>
      </c>
      <c r="G3" s="151" t="s">
        <v>132</v>
      </c>
      <c r="H3" s="151" t="s">
        <v>133</v>
      </c>
      <c r="I3" s="151" t="s">
        <v>139</v>
      </c>
      <c r="J3" s="151" t="s">
        <v>154</v>
      </c>
      <c r="K3" s="151" t="s">
        <v>182</v>
      </c>
      <c r="L3" s="151" t="s">
        <v>183</v>
      </c>
    </row>
    <row r="4" spans="1:10" ht="12.75" customHeight="1">
      <c r="A4" s="5"/>
      <c r="B4" s="15"/>
      <c r="F4" s="10"/>
      <c r="G4" s="10"/>
      <c r="H4" s="10"/>
      <c r="I4" s="10"/>
      <c r="J4" s="4"/>
    </row>
    <row r="5" spans="1:12" ht="15.75">
      <c r="A5" s="118" t="s">
        <v>82</v>
      </c>
      <c r="B5" s="17"/>
      <c r="F5" s="3"/>
      <c r="G5" s="3"/>
      <c r="H5" s="3"/>
      <c r="K5" s="34"/>
      <c r="L5" s="34" t="s">
        <v>88</v>
      </c>
    </row>
    <row r="6" spans="1:10" ht="15">
      <c r="A6" s="4" t="s">
        <v>63</v>
      </c>
      <c r="B6" s="17"/>
      <c r="C6" s="17"/>
      <c r="J6" s="4"/>
    </row>
    <row r="7" spans="1:12" ht="15">
      <c r="A7" s="4" t="s">
        <v>64</v>
      </c>
      <c r="B7" s="36">
        <v>40</v>
      </c>
      <c r="C7" s="36">
        <v>23.7</v>
      </c>
      <c r="D7" s="36">
        <v>32</v>
      </c>
      <c r="E7" s="58">
        <v>5</v>
      </c>
      <c r="F7" s="58">
        <v>9</v>
      </c>
      <c r="G7" s="58">
        <v>24</v>
      </c>
      <c r="H7" s="58">
        <v>89.3</v>
      </c>
      <c r="I7" s="54">
        <v>108</v>
      </c>
      <c r="J7" s="54">
        <v>7.15</v>
      </c>
      <c r="K7" s="54">
        <v>0</v>
      </c>
      <c r="L7" s="54">
        <v>87</v>
      </c>
    </row>
    <row r="8" spans="1:12" ht="18">
      <c r="A8" s="4" t="s">
        <v>195</v>
      </c>
      <c r="B8" s="36">
        <v>28</v>
      </c>
      <c r="C8" s="36">
        <v>43</v>
      </c>
      <c r="D8" s="36">
        <v>31</v>
      </c>
      <c r="E8" s="58">
        <v>53</v>
      </c>
      <c r="F8" s="58">
        <v>58</v>
      </c>
      <c r="G8" s="58">
        <v>86</v>
      </c>
      <c r="H8" s="58">
        <v>105</v>
      </c>
      <c r="I8" s="54">
        <v>142</v>
      </c>
      <c r="J8" s="54">
        <v>114</v>
      </c>
      <c r="K8" s="54">
        <v>80</v>
      </c>
      <c r="L8" s="54">
        <v>56</v>
      </c>
    </row>
    <row r="9" spans="1:12" ht="15">
      <c r="A9" s="4" t="s">
        <v>66</v>
      </c>
      <c r="B9" s="36">
        <v>104</v>
      </c>
      <c r="C9" s="36">
        <v>165</v>
      </c>
      <c r="D9" s="36">
        <v>133</v>
      </c>
      <c r="E9" s="58">
        <v>209</v>
      </c>
      <c r="F9" s="58">
        <v>304</v>
      </c>
      <c r="G9" s="58">
        <v>319</v>
      </c>
      <c r="H9" s="58">
        <v>256</v>
      </c>
      <c r="I9" s="54">
        <v>280</v>
      </c>
      <c r="J9" s="54">
        <v>324</v>
      </c>
      <c r="K9" s="54">
        <v>170</v>
      </c>
      <c r="L9" s="54">
        <v>194</v>
      </c>
    </row>
    <row r="10" spans="1:12" ht="15">
      <c r="A10" s="4" t="s">
        <v>67</v>
      </c>
      <c r="B10" s="36">
        <v>67</v>
      </c>
      <c r="C10" s="36">
        <v>137</v>
      </c>
      <c r="D10" s="36">
        <v>191</v>
      </c>
      <c r="E10" s="58">
        <v>59</v>
      </c>
      <c r="F10" s="58">
        <v>178</v>
      </c>
      <c r="G10" s="58">
        <v>34</v>
      </c>
      <c r="H10" s="58">
        <v>121</v>
      </c>
      <c r="I10" s="54">
        <v>66</v>
      </c>
      <c r="J10" s="54">
        <v>88</v>
      </c>
      <c r="K10" s="54">
        <v>79</v>
      </c>
      <c r="L10" s="54">
        <v>123</v>
      </c>
    </row>
    <row r="11" spans="1:12" ht="15">
      <c r="A11" s="25" t="s">
        <v>6</v>
      </c>
      <c r="B11" s="94">
        <f aca="true" t="shared" si="0" ref="B11:L11">SUM(B7:B10)</f>
        <v>239</v>
      </c>
      <c r="C11" s="94">
        <f t="shared" si="0"/>
        <v>368.7</v>
      </c>
      <c r="D11" s="94">
        <f t="shared" si="0"/>
        <v>387</v>
      </c>
      <c r="E11" s="94">
        <f t="shared" si="0"/>
        <v>326</v>
      </c>
      <c r="F11" s="94">
        <f t="shared" si="0"/>
        <v>549</v>
      </c>
      <c r="G11" s="94">
        <f t="shared" si="0"/>
        <v>463</v>
      </c>
      <c r="H11" s="94">
        <f t="shared" si="0"/>
        <v>571.3</v>
      </c>
      <c r="I11" s="94">
        <f t="shared" si="0"/>
        <v>596</v>
      </c>
      <c r="J11" s="95">
        <f t="shared" si="0"/>
        <v>533.15</v>
      </c>
      <c r="K11" s="95">
        <f t="shared" si="0"/>
        <v>329</v>
      </c>
      <c r="L11" s="95">
        <f t="shared" si="0"/>
        <v>460</v>
      </c>
    </row>
    <row r="12" spans="1:14" ht="15">
      <c r="A12" s="25"/>
      <c r="B12" s="88" t="str">
        <f>IF(ABS(B11-SUM(B7:B10))&gt;comments!$A$1,B11-SUM(B7:B10)," ")</f>
        <v> </v>
      </c>
      <c r="C12" s="88" t="str">
        <f>IF(ABS(C11-SUM(C7:C10))&gt;comments!$A$1,C11-SUM(C7:C10)," ")</f>
        <v> </v>
      </c>
      <c r="D12" s="88" t="str">
        <f>IF(ABS(D11-SUM(D7:D10))&gt;comments!$A$1,D11-SUM(D7:D10)," ")</f>
        <v> </v>
      </c>
      <c r="E12" s="88" t="str">
        <f>IF(ABS(E11-SUM(E7:E10))&gt;comments!$A$1,E11-SUM(E7:E10)," ")</f>
        <v> </v>
      </c>
      <c r="F12" s="88" t="str">
        <f>IF(ABS(F11-SUM(F7:F10))&gt;comments!$A$1,F11-SUM(F7:F10)," ")</f>
        <v> </v>
      </c>
      <c r="G12" s="88" t="str">
        <f>IF(ABS(G11-SUM(G7:G10))&gt;comments!$A$1,G11-SUM(G7:G10)," ")</f>
        <v> </v>
      </c>
      <c r="H12" s="88" t="str">
        <f>IF(ABS(H11-SUM(H7:H10))&gt;comments!$A$1,H11-SUM(H7:H10)," ")</f>
        <v> </v>
      </c>
      <c r="I12" s="88" t="str">
        <f>IF(ABS(I11-SUM(I7:I10))&gt;comments!$A$1,I11-SUM(I7:I10)," ")</f>
        <v> </v>
      </c>
      <c r="J12" s="88" t="str">
        <f>IF(ABS(J11-SUM(J7:J10))&gt;comments!$A$1,J11-SUM(J7:J10)," ")</f>
        <v> </v>
      </c>
      <c r="K12" s="88" t="str">
        <f>IF(ABS(K11-SUM(K7:K10))&gt;comments!$A$1,K11-SUM(K7:K10)," ")</f>
        <v> </v>
      </c>
      <c r="L12" s="88" t="str">
        <f>IF(ABS(L11-SUM(L7:L10))&gt;comments!$A$1,L11-SUM(L7:L10)," ")</f>
        <v> </v>
      </c>
      <c r="N12" s="96"/>
    </row>
    <row r="13" spans="1:12" ht="12.75" customHeight="1">
      <c r="A13" s="23" t="s">
        <v>89</v>
      </c>
      <c r="B13" s="16"/>
      <c r="F13" s="3"/>
      <c r="G13" s="3"/>
      <c r="H13" s="3"/>
      <c r="K13" s="98"/>
      <c r="L13" s="98" t="s">
        <v>62</v>
      </c>
    </row>
    <row r="14" spans="1:10" ht="15">
      <c r="A14" s="4" t="s">
        <v>63</v>
      </c>
      <c r="B14" s="17"/>
      <c r="C14" s="17"/>
      <c r="J14" s="54"/>
    </row>
    <row r="15" spans="1:12" ht="15">
      <c r="A15" s="4" t="s">
        <v>64</v>
      </c>
      <c r="B15" s="93">
        <f aca="true" t="shared" si="1" ref="B15:K15">B7/B$11*100</f>
        <v>16.736401673640167</v>
      </c>
      <c r="C15" s="93">
        <f t="shared" si="1"/>
        <v>6.427990235964199</v>
      </c>
      <c r="D15" s="93">
        <f t="shared" si="1"/>
        <v>8.2687338501292</v>
      </c>
      <c r="E15" s="93">
        <f t="shared" si="1"/>
        <v>1.5337423312883436</v>
      </c>
      <c r="F15" s="93">
        <f t="shared" si="1"/>
        <v>1.639344262295082</v>
      </c>
      <c r="G15" s="93">
        <f t="shared" si="1"/>
        <v>5.183585313174946</v>
      </c>
      <c r="H15" s="93">
        <f t="shared" si="1"/>
        <v>15.631016978820236</v>
      </c>
      <c r="I15" s="93">
        <f t="shared" si="1"/>
        <v>18.120805369127517</v>
      </c>
      <c r="J15" s="91">
        <f t="shared" si="1"/>
        <v>1.3410859983119199</v>
      </c>
      <c r="K15" s="91">
        <f t="shared" si="1"/>
        <v>0</v>
      </c>
      <c r="L15" s="91">
        <f>L7/L$11*100</f>
        <v>18.913043478260867</v>
      </c>
    </row>
    <row r="16" spans="1:12" ht="18">
      <c r="A16" s="4" t="s">
        <v>195</v>
      </c>
      <c r="B16" s="93">
        <f aca="true" t="shared" si="2" ref="B16:K16">B8/B$11*100</f>
        <v>11.715481171548117</v>
      </c>
      <c r="C16" s="93">
        <f t="shared" si="2"/>
        <v>11.662598318416057</v>
      </c>
      <c r="D16" s="93">
        <f t="shared" si="2"/>
        <v>8.010335917312661</v>
      </c>
      <c r="E16" s="93">
        <f t="shared" si="2"/>
        <v>16.257668711656443</v>
      </c>
      <c r="F16" s="93">
        <f t="shared" si="2"/>
        <v>10.564663023679417</v>
      </c>
      <c r="G16" s="93">
        <f t="shared" si="2"/>
        <v>18.57451403887689</v>
      </c>
      <c r="H16" s="93">
        <f t="shared" si="2"/>
        <v>18.379135305443725</v>
      </c>
      <c r="I16" s="93">
        <f t="shared" si="2"/>
        <v>23.825503355704697</v>
      </c>
      <c r="J16" s="91">
        <f t="shared" si="2"/>
        <v>21.382350182875363</v>
      </c>
      <c r="K16" s="91">
        <f t="shared" si="2"/>
        <v>24.316109422492403</v>
      </c>
      <c r="L16" s="91">
        <f>L8/L$11*100</f>
        <v>12.173913043478262</v>
      </c>
    </row>
    <row r="17" spans="1:12" ht="15">
      <c r="A17" s="4" t="s">
        <v>66</v>
      </c>
      <c r="B17" s="93">
        <f aca="true" t="shared" si="3" ref="B17:K17">B9/B$11*100</f>
        <v>43.51464435146444</v>
      </c>
      <c r="C17" s="93">
        <f t="shared" si="3"/>
        <v>44.75183075671277</v>
      </c>
      <c r="D17" s="93">
        <f t="shared" si="3"/>
        <v>34.366925064599485</v>
      </c>
      <c r="E17" s="93">
        <f t="shared" si="3"/>
        <v>64.11042944785275</v>
      </c>
      <c r="F17" s="93">
        <f t="shared" si="3"/>
        <v>55.373406193078324</v>
      </c>
      <c r="G17" s="93">
        <f t="shared" si="3"/>
        <v>68.89848812095032</v>
      </c>
      <c r="H17" s="93">
        <f t="shared" si="3"/>
        <v>44.81008226851042</v>
      </c>
      <c r="I17" s="93">
        <f t="shared" si="3"/>
        <v>46.97986577181208</v>
      </c>
      <c r="J17" s="91">
        <f t="shared" si="3"/>
        <v>60.77088999343525</v>
      </c>
      <c r="K17" s="91">
        <f t="shared" si="3"/>
        <v>51.671732522796354</v>
      </c>
      <c r="L17" s="91">
        <f>L9/L$11*100</f>
        <v>42.173913043478265</v>
      </c>
    </row>
    <row r="18" spans="1:12" ht="15">
      <c r="A18" s="4" t="s">
        <v>67</v>
      </c>
      <c r="B18" s="93">
        <f aca="true" t="shared" si="4" ref="B18:K18">B10/B$11*100</f>
        <v>28.03347280334728</v>
      </c>
      <c r="C18" s="93">
        <f t="shared" si="4"/>
        <v>37.15758068890697</v>
      </c>
      <c r="D18" s="93">
        <f t="shared" si="4"/>
        <v>49.35400516795866</v>
      </c>
      <c r="E18" s="93">
        <f t="shared" si="4"/>
        <v>18.098159509202453</v>
      </c>
      <c r="F18" s="93">
        <f t="shared" si="4"/>
        <v>32.42258652094718</v>
      </c>
      <c r="G18" s="93">
        <f t="shared" si="4"/>
        <v>7.343412526997841</v>
      </c>
      <c r="H18" s="93">
        <f t="shared" si="4"/>
        <v>21.179765447225627</v>
      </c>
      <c r="I18" s="93">
        <f t="shared" si="4"/>
        <v>11.073825503355705</v>
      </c>
      <c r="J18" s="91">
        <f t="shared" si="4"/>
        <v>16.505673825377475</v>
      </c>
      <c r="K18" s="91">
        <f t="shared" si="4"/>
        <v>24.012158054711247</v>
      </c>
      <c r="L18" s="91">
        <f>L10/L$11*100</f>
        <v>26.73913043478261</v>
      </c>
    </row>
    <row r="19" spans="1:13" ht="15">
      <c r="A19" s="25" t="s">
        <v>6</v>
      </c>
      <c r="B19" s="93">
        <f aca="true" t="shared" si="5" ref="B19:K19">B11/B$11*100</f>
        <v>100</v>
      </c>
      <c r="C19" s="93">
        <f t="shared" si="5"/>
        <v>100</v>
      </c>
      <c r="D19" s="93">
        <f t="shared" si="5"/>
        <v>100</v>
      </c>
      <c r="E19" s="93">
        <f t="shared" si="5"/>
        <v>100</v>
      </c>
      <c r="F19" s="93">
        <f t="shared" si="5"/>
        <v>100</v>
      </c>
      <c r="G19" s="93">
        <f t="shared" si="5"/>
        <v>100</v>
      </c>
      <c r="H19" s="93">
        <f t="shared" si="5"/>
        <v>100</v>
      </c>
      <c r="I19" s="93">
        <f t="shared" si="5"/>
        <v>100</v>
      </c>
      <c r="J19" s="91">
        <f t="shared" si="5"/>
        <v>100</v>
      </c>
      <c r="K19" s="91">
        <f t="shared" si="5"/>
        <v>100</v>
      </c>
      <c r="L19" s="91">
        <f>L11/L$11*100</f>
        <v>100</v>
      </c>
      <c r="M19" s="38"/>
    </row>
    <row r="20" spans="1:12" ht="15">
      <c r="A20" s="136"/>
      <c r="B20" s="149"/>
      <c r="C20" s="149"/>
      <c r="D20" s="149"/>
      <c r="E20" s="149"/>
      <c r="F20" s="149"/>
      <c r="G20" s="149"/>
      <c r="H20" s="136"/>
      <c r="I20" s="136"/>
      <c r="J20" s="136"/>
      <c r="K20" s="127"/>
      <c r="L20" s="127"/>
    </row>
    <row r="21" ht="18" customHeight="1">
      <c r="A21" s="1" t="s">
        <v>160</v>
      </c>
    </row>
    <row r="22" ht="12.75">
      <c r="A22" s="1" t="s">
        <v>90</v>
      </c>
    </row>
    <row r="24" spans="13:14" ht="12.75">
      <c r="M24" s="38"/>
      <c r="N24" s="38"/>
    </row>
    <row r="25" spans="1:12" s="20" customFormat="1" ht="18">
      <c r="A25" s="1"/>
      <c r="B25" s="40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4" s="4" customFormat="1" ht="15.75">
      <c r="A26" s="126" t="s">
        <v>184</v>
      </c>
      <c r="B26" s="29"/>
      <c r="C26" s="25"/>
      <c r="D26" s="25"/>
      <c r="E26" s="25"/>
      <c r="F26" s="25"/>
      <c r="G26" s="25"/>
      <c r="H26" s="25"/>
      <c r="I26" s="25"/>
      <c r="J26" s="25"/>
      <c r="M26" s="153"/>
      <c r="N26" s="154"/>
    </row>
    <row r="27" spans="1:14" s="27" customFormat="1" ht="12" customHeight="1">
      <c r="A27" s="26"/>
      <c r="B27" s="56"/>
      <c r="C27" s="22"/>
      <c r="D27" s="22"/>
      <c r="E27" s="22"/>
      <c r="F27" s="22"/>
      <c r="G27" s="22"/>
      <c r="H27" s="22"/>
      <c r="I27" s="22"/>
      <c r="J27" s="22"/>
      <c r="K27" s="20"/>
      <c r="L27" s="20"/>
      <c r="M27" s="48"/>
      <c r="N27" s="51"/>
    </row>
    <row r="28" spans="1:14" ht="49.5" customHeight="1">
      <c r="A28" s="155" t="s">
        <v>69</v>
      </c>
      <c r="B28" s="156" t="s">
        <v>171</v>
      </c>
      <c r="C28" s="122"/>
      <c r="D28" s="157" t="s">
        <v>65</v>
      </c>
      <c r="E28" s="122"/>
      <c r="F28" s="158"/>
      <c r="G28" s="157" t="s">
        <v>66</v>
      </c>
      <c r="H28" s="122"/>
      <c r="I28" s="158"/>
      <c r="J28" s="159" t="s">
        <v>70</v>
      </c>
      <c r="K28" s="122"/>
      <c r="L28" s="159" t="s">
        <v>6</v>
      </c>
      <c r="M28" s="49"/>
      <c r="N28" s="52"/>
    </row>
    <row r="29" spans="1:14" ht="12.75" customHeight="1">
      <c r="A29" s="11"/>
      <c r="B29" s="44"/>
      <c r="C29" s="42"/>
      <c r="D29" s="45"/>
      <c r="E29" s="42"/>
      <c r="F29" s="75"/>
      <c r="G29" s="12"/>
      <c r="H29" s="38"/>
      <c r="I29" s="75"/>
      <c r="J29" s="13"/>
      <c r="K29" s="38"/>
      <c r="L29" s="10"/>
      <c r="M29" s="50"/>
      <c r="N29" s="50"/>
    </row>
    <row r="30" spans="1:14" ht="12.75" customHeight="1">
      <c r="A30" s="118" t="s">
        <v>82</v>
      </c>
      <c r="B30" s="55"/>
      <c r="C30" s="17"/>
      <c r="D30" s="17"/>
      <c r="E30" s="17"/>
      <c r="F30" s="17"/>
      <c r="G30" s="17"/>
      <c r="H30" s="17"/>
      <c r="I30" s="17"/>
      <c r="J30" s="17"/>
      <c r="K30" s="17"/>
      <c r="L30" s="3" t="s">
        <v>88</v>
      </c>
      <c r="M30" s="3"/>
      <c r="N30" s="3"/>
    </row>
    <row r="31" spans="1:14" ht="12.75" customHeight="1">
      <c r="A31" s="118"/>
      <c r="B31" s="55"/>
      <c r="C31" s="17"/>
      <c r="D31" s="17"/>
      <c r="E31" s="17"/>
      <c r="F31" s="17"/>
      <c r="G31" s="17"/>
      <c r="H31" s="17"/>
      <c r="I31" s="17"/>
      <c r="J31" s="17"/>
      <c r="K31" s="17"/>
      <c r="L31" s="54"/>
      <c r="M31" s="47"/>
      <c r="N31" s="47"/>
    </row>
    <row r="32" spans="1:14" ht="15">
      <c r="A32" s="4" t="s">
        <v>112</v>
      </c>
      <c r="B32" s="54">
        <v>0</v>
      </c>
      <c r="C32" s="46"/>
      <c r="D32" s="61">
        <v>2</v>
      </c>
      <c r="E32" s="61"/>
      <c r="F32" s="61"/>
      <c r="G32" s="61">
        <v>79</v>
      </c>
      <c r="H32" s="61"/>
      <c r="I32" s="61"/>
      <c r="J32" s="61">
        <v>40</v>
      </c>
      <c r="K32" s="54"/>
      <c r="L32" s="90">
        <f>B32+D32+G32+J32</f>
        <v>121</v>
      </c>
      <c r="M32" s="47"/>
      <c r="N32" s="47"/>
    </row>
    <row r="33" spans="1:14" ht="15">
      <c r="A33" s="4" t="s">
        <v>113</v>
      </c>
      <c r="B33" s="54">
        <v>0</v>
      </c>
      <c r="C33" s="46"/>
      <c r="D33" s="61">
        <v>11</v>
      </c>
      <c r="E33" s="61"/>
      <c r="F33" s="61"/>
      <c r="G33" s="61">
        <v>18</v>
      </c>
      <c r="H33" s="61"/>
      <c r="I33" s="61"/>
      <c r="J33" s="61">
        <v>22</v>
      </c>
      <c r="K33" s="54"/>
      <c r="L33" s="90">
        <f>B33+D33+G33+J33</f>
        <v>51</v>
      </c>
      <c r="M33" s="47"/>
      <c r="N33" s="47"/>
    </row>
    <row r="34" spans="1:15" ht="15.75">
      <c r="A34" s="4" t="s">
        <v>114</v>
      </c>
      <c r="B34" s="54">
        <v>0</v>
      </c>
      <c r="C34" s="46"/>
      <c r="D34" s="61">
        <v>32</v>
      </c>
      <c r="E34" s="61"/>
      <c r="F34" s="61"/>
      <c r="G34" s="61">
        <v>52</v>
      </c>
      <c r="H34" s="61"/>
      <c r="I34" s="61"/>
      <c r="J34" s="61">
        <v>6</v>
      </c>
      <c r="K34" s="54"/>
      <c r="L34" s="90">
        <f>B34+D34+G34+J34</f>
        <v>90</v>
      </c>
      <c r="M34" s="47"/>
      <c r="N34" s="47"/>
      <c r="O34" s="24"/>
    </row>
    <row r="35" spans="1:14" ht="15">
      <c r="A35" s="4" t="s">
        <v>115</v>
      </c>
      <c r="B35" s="54">
        <v>0</v>
      </c>
      <c r="C35" s="46"/>
      <c r="D35" s="61">
        <v>35</v>
      </c>
      <c r="E35" s="61"/>
      <c r="F35" s="61"/>
      <c r="G35" s="61">
        <v>21</v>
      </c>
      <c r="H35" s="61"/>
      <c r="I35" s="61"/>
      <c r="J35" s="61">
        <v>11</v>
      </c>
      <c r="K35" s="54"/>
      <c r="L35" s="90">
        <f>B35+D35+G35+J35</f>
        <v>67</v>
      </c>
      <c r="M35" s="47"/>
      <c r="N35" s="47"/>
    </row>
    <row r="36" spans="1:36" ht="15">
      <c r="A36" s="25" t="s">
        <v>6</v>
      </c>
      <c r="B36" s="54">
        <f>SUM(B32:B35)</f>
        <v>0</v>
      </c>
      <c r="C36" s="88"/>
      <c r="D36" s="89">
        <f>SUM(D32:D35)</f>
        <v>80</v>
      </c>
      <c r="E36" s="90"/>
      <c r="F36" s="90"/>
      <c r="G36" s="89">
        <f>SUM(G32:G35)</f>
        <v>170</v>
      </c>
      <c r="H36" s="90"/>
      <c r="I36" s="90"/>
      <c r="J36" s="89">
        <f>SUM(J32:J35)</f>
        <v>79</v>
      </c>
      <c r="K36" s="91"/>
      <c r="L36" s="89">
        <f>SUM(L32:L35)</f>
        <v>329</v>
      </c>
      <c r="M36" s="16"/>
      <c r="N36" s="16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</row>
    <row r="37" spans="1:36" ht="15">
      <c r="A37" s="4"/>
      <c r="B37" s="92" t="str">
        <f>IF(ABS(B36-SUM(B32:B35))&gt;comments!$A$1,B36-SUM(B32:B35)," ")</f>
        <v> </v>
      </c>
      <c r="C37" s="87"/>
      <c r="D37" s="90" t="str">
        <f>IF(ABS(D36-SUM(D32:D35))&gt;comments!$A$1,D36-SUM(D32:D35)," ")</f>
        <v> </v>
      </c>
      <c r="E37" s="90"/>
      <c r="F37" s="90"/>
      <c r="G37" s="90" t="str">
        <f>IF(ABS(G36-SUM(G32:G35))&gt;comments!$A$1,G36-SUM(G32:G35)," ")</f>
        <v> </v>
      </c>
      <c r="H37" s="90"/>
      <c r="I37" s="90"/>
      <c r="J37" s="90" t="str">
        <f>IF(ABS(J36-SUM(J32:J35))&gt;comments!$A$1,J36-SUM(J32:J35)," ")</f>
        <v> </v>
      </c>
      <c r="K37" s="87"/>
      <c r="L37" s="87" t="str">
        <f>IF(ABS(L36-SUM(L32:L35))&gt;comments!$A$1,L36-SUM(L32:L35)," ")</f>
        <v> </v>
      </c>
      <c r="M37" s="3"/>
      <c r="N37" s="3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</row>
    <row r="38" spans="1:14" ht="12.75" customHeight="1">
      <c r="A38" s="118" t="s">
        <v>89</v>
      </c>
      <c r="B38" s="81"/>
      <c r="C38" s="17"/>
      <c r="D38" s="192"/>
      <c r="E38" s="192"/>
      <c r="F38" s="192"/>
      <c r="G38" s="192"/>
      <c r="H38" s="192"/>
      <c r="I38" s="192"/>
      <c r="J38" s="192"/>
      <c r="K38" s="17"/>
      <c r="L38" s="3" t="s">
        <v>62</v>
      </c>
      <c r="M38" s="57"/>
      <c r="N38" s="57"/>
    </row>
    <row r="39" spans="1:14" ht="15.75">
      <c r="A39" s="4" t="s">
        <v>112</v>
      </c>
      <c r="B39" s="113" t="str">
        <f>IF(ISERR(B32/$B$57*100),"-",IF((B32/$B$57*100)=0,"-",(B32/$B$57)*100))</f>
        <v>-</v>
      </c>
      <c r="C39" s="113"/>
      <c r="D39" s="193">
        <f>IF(ISERR(D32/$D$57*100),"-",IF((D32/$D$57*100)=0,"-",(D32/$D$57)*100))</f>
        <v>3.571428571428571</v>
      </c>
      <c r="E39" s="193"/>
      <c r="F39" s="193"/>
      <c r="G39" s="193">
        <f>IF(ISERR(G32/$G$57*100),"-",IF((G32/$G$57*100)=0,"-",(G32/$G$57)*100))</f>
        <v>40.72164948453608</v>
      </c>
      <c r="H39" s="193"/>
      <c r="I39" s="193"/>
      <c r="J39" s="193">
        <f>IF(ISERR(J32/$J$57*100),"-",IF((J32/$J$57*100)=0,"-",(J32/$J$57)*100))</f>
        <v>32.52032520325203</v>
      </c>
      <c r="K39" s="114"/>
      <c r="L39" s="114">
        <f>IF(ISERR(L32/$L$57*100),"-",IF((L32/$L$57*100)=0,"-",(L32/$L$57)*100))</f>
        <v>26.287203997393004</v>
      </c>
      <c r="M39" s="57"/>
      <c r="N39" s="57"/>
    </row>
    <row r="40" spans="1:14" ht="15.75">
      <c r="A40" s="4" t="s">
        <v>113</v>
      </c>
      <c r="B40" s="113" t="str">
        <f>IF(ISERR(B33/$B$57*100),"-",IF((B33/$B$57*100)=0,"-",(B33/$B$57)*100))</f>
        <v>-</v>
      </c>
      <c r="C40" s="113"/>
      <c r="D40" s="193">
        <f>IF(ISERR(D33/$D$57*100),"-",IF((D33/$D$57*100)=0,"-",(D33/$D$57)*100))</f>
        <v>19.642857142857142</v>
      </c>
      <c r="E40" s="193"/>
      <c r="F40" s="193"/>
      <c r="G40" s="193">
        <f>IF(ISERR(G33/$G$57*100),"-",IF((G33/$G$57*100)=0,"-",(G33/$G$57)*100))</f>
        <v>9.278350515463918</v>
      </c>
      <c r="H40" s="193"/>
      <c r="I40" s="193"/>
      <c r="J40" s="193">
        <f>IF(ISERR(J33/$J$57*100),"-",IF((J33/$J$57*100)=0,"-",(J33/$J$57)*100))</f>
        <v>17.88617886178862</v>
      </c>
      <c r="K40" s="114"/>
      <c r="L40" s="114">
        <f>IF(ISERR(L33/$L$57*100),"-",IF((L33/$L$57*100)=0,"-",(L33/$L$57)*100))</f>
        <v>11.079730610471433</v>
      </c>
      <c r="M40" s="57"/>
      <c r="N40" s="57"/>
    </row>
    <row r="41" spans="1:14" ht="15.75">
      <c r="A41" s="4" t="s">
        <v>114</v>
      </c>
      <c r="B41" s="113" t="str">
        <f>IF(ISERR(B34/$B$57*100),"-",IF((B34/$B$57*100)=0,"-",(B34/$B$57)*100))</f>
        <v>-</v>
      </c>
      <c r="C41" s="113"/>
      <c r="D41" s="193">
        <f>IF(ISERR(D34/$D$57*100),"-",IF((D34/$D$57*100)=0,"-",(D34/$D$57)*100))</f>
        <v>57.14285714285714</v>
      </c>
      <c r="E41" s="193"/>
      <c r="F41" s="193"/>
      <c r="G41" s="193">
        <f>IF(ISERR(G34/$G$57*100),"-",IF((G34/$G$57*100)=0,"-",(G34/$G$57)*100))</f>
        <v>26.804123711340207</v>
      </c>
      <c r="H41" s="193"/>
      <c r="I41" s="193"/>
      <c r="J41" s="193">
        <f>IF(ISERR(J34/$J$57*100),"-",IF((J34/$J$57*100)=0,"-",(J34/$J$57)*100))</f>
        <v>4.878048780487805</v>
      </c>
      <c r="K41" s="114"/>
      <c r="L41" s="114">
        <f>IF(ISERR(L34/$L$57*100),"-",IF((L34/$L$57*100)=0,"-",(L34/$L$57)*100))</f>
        <v>19.55246578318488</v>
      </c>
      <c r="M41" s="57"/>
      <c r="N41" s="57"/>
    </row>
    <row r="42" spans="1:14" ht="15.75">
      <c r="A42" s="4" t="s">
        <v>115</v>
      </c>
      <c r="B42" s="113" t="str">
        <f>IF(ISERR(B35/$B$57*100),"-",IF((B35/$B$57*100)=0,"-",(B35/$B$57)*100))</f>
        <v>-</v>
      </c>
      <c r="C42" s="113"/>
      <c r="D42" s="193">
        <f>IF(ISERR(D35/$D$57*100),"-",IF((D35/$D$57*100)=0,"-",(D35/$D$57)*100))</f>
        <v>62.5</v>
      </c>
      <c r="E42" s="193"/>
      <c r="F42" s="193"/>
      <c r="G42" s="193">
        <f>IF(ISERR(G35/$G$57*100),"-",IF((G35/$G$57*100)=0,"-",(G35/$G$57)*100))</f>
        <v>10.824742268041238</v>
      </c>
      <c r="H42" s="193"/>
      <c r="I42" s="193"/>
      <c r="J42" s="193">
        <f>IF(ISERR(J35/$J$57*100),"-",IF((J35/$J$57*100)=0,"-",(J35/$J$57)*100))</f>
        <v>8.94308943089431</v>
      </c>
      <c r="K42" s="114"/>
      <c r="L42" s="114">
        <f>IF(ISERR(L35/$L$57*100),"-",IF((L35/$L$57*100)=0,"-",(L35/$L$57)*100))</f>
        <v>14.555724527482077</v>
      </c>
      <c r="M42" s="54"/>
      <c r="N42" s="54"/>
    </row>
    <row r="43" spans="1:14" ht="15.75">
      <c r="A43" s="25" t="s">
        <v>6</v>
      </c>
      <c r="B43" s="113" t="str">
        <f>IF(ISERR(B36/$B$57*100),"-",IF((B36/$B$57*100)=0,"-",(B36/$B$57)*100))</f>
        <v>-</v>
      </c>
      <c r="C43" s="113"/>
      <c r="D43" s="193">
        <f>IF(ISERR(D36/$D$57*100),"-",IF((D36/$D$57*100)=0,"-",(D36/$D$57)*100))</f>
        <v>142.85714285714286</v>
      </c>
      <c r="E43" s="193"/>
      <c r="F43" s="193"/>
      <c r="G43" s="193">
        <f>IF(ISERR(G36/$G$57*100),"-",IF((G36/$G$57*100)=0,"-",(G36/$G$57)*100))</f>
        <v>87.62886597938144</v>
      </c>
      <c r="H43" s="193"/>
      <c r="I43" s="193"/>
      <c r="J43" s="193">
        <f>IF(ISERR(J36/$J$57*100),"-",IF((J36/$J$57*100)=0,"-",(J36/$J$57)*100))</f>
        <v>64.22764227642277</v>
      </c>
      <c r="K43" s="114"/>
      <c r="L43" s="114">
        <f>IF(ISERR(L36/$L$57*100),"-",IF((L36/$L$57*100)=0,"-",(L36/$L$57)*100))</f>
        <v>71.47512491853139</v>
      </c>
      <c r="M43" s="59"/>
      <c r="N43" s="59"/>
    </row>
    <row r="44" spans="1:14" ht="15">
      <c r="A44" s="136"/>
      <c r="B44" s="149"/>
      <c r="C44" s="149"/>
      <c r="D44" s="194"/>
      <c r="E44" s="194"/>
      <c r="F44" s="194"/>
      <c r="G44" s="194"/>
      <c r="H44" s="194"/>
      <c r="I44" s="194"/>
      <c r="J44" s="194"/>
      <c r="K44" s="149"/>
      <c r="L44" s="149"/>
      <c r="M44" s="59"/>
      <c r="N44" s="59"/>
    </row>
    <row r="45" spans="1:14" ht="20.25" customHeight="1">
      <c r="A45" s="1" t="s">
        <v>160</v>
      </c>
      <c r="B45" s="59"/>
      <c r="C45" s="59"/>
      <c r="D45" s="33"/>
      <c r="E45" s="33"/>
      <c r="F45" s="33"/>
      <c r="G45" s="33"/>
      <c r="H45" s="33"/>
      <c r="I45" s="33"/>
      <c r="J45" s="33"/>
      <c r="K45" s="59"/>
      <c r="L45" s="59"/>
      <c r="M45" s="59"/>
      <c r="N45" s="59"/>
    </row>
    <row r="46" spans="1:14" ht="15">
      <c r="A46" s="38"/>
      <c r="B46" s="59"/>
      <c r="C46" s="59"/>
      <c r="D46" s="33"/>
      <c r="E46" s="33"/>
      <c r="F46" s="33"/>
      <c r="G46" s="33"/>
      <c r="H46" s="33"/>
      <c r="I46" s="33"/>
      <c r="J46" s="33"/>
      <c r="K46" s="59"/>
      <c r="L46" s="59"/>
      <c r="M46" s="38"/>
      <c r="N46" s="38"/>
    </row>
    <row r="47" spans="1:10" s="4" customFormat="1" ht="15.75">
      <c r="A47" s="126" t="s">
        <v>185</v>
      </c>
      <c r="B47" s="29"/>
      <c r="C47" s="25"/>
      <c r="D47" s="29"/>
      <c r="E47" s="29"/>
      <c r="F47" s="29"/>
      <c r="G47" s="29"/>
      <c r="H47" s="29"/>
      <c r="I47" s="29"/>
      <c r="J47" s="29"/>
    </row>
    <row r="48" spans="1:12" ht="18">
      <c r="A48" s="26"/>
      <c r="B48" s="56"/>
      <c r="C48" s="22"/>
      <c r="D48" s="56"/>
      <c r="E48" s="56"/>
      <c r="F48" s="56"/>
      <c r="G48" s="56"/>
      <c r="H48" s="56"/>
      <c r="I48" s="56"/>
      <c r="J48" s="56"/>
      <c r="K48" s="20"/>
      <c r="L48" s="20"/>
    </row>
    <row r="49" spans="1:12" ht="51.75" customHeight="1">
      <c r="A49" s="155" t="s">
        <v>69</v>
      </c>
      <c r="B49" s="156" t="s">
        <v>171</v>
      </c>
      <c r="C49" s="122"/>
      <c r="D49" s="195" t="s">
        <v>65</v>
      </c>
      <c r="E49" s="176"/>
      <c r="F49" s="196"/>
      <c r="G49" s="195" t="s">
        <v>66</v>
      </c>
      <c r="H49" s="176"/>
      <c r="I49" s="196"/>
      <c r="J49" s="197" t="s">
        <v>70</v>
      </c>
      <c r="K49" s="122"/>
      <c r="L49" s="159" t="s">
        <v>6</v>
      </c>
    </row>
    <row r="50" spans="1:12" ht="12.75">
      <c r="A50" s="11"/>
      <c r="B50" s="44"/>
      <c r="C50" s="42"/>
      <c r="D50" s="45"/>
      <c r="E50" s="42"/>
      <c r="F50" s="198"/>
      <c r="G50" s="45"/>
      <c r="H50" s="42"/>
      <c r="I50" s="198"/>
      <c r="J50" s="199"/>
      <c r="K50" s="38"/>
      <c r="L50" s="10"/>
    </row>
    <row r="51" spans="1:12" ht="15.75">
      <c r="A51" s="118" t="s">
        <v>82</v>
      </c>
      <c r="B51" s="55"/>
      <c r="C51" s="17"/>
      <c r="D51" s="55"/>
      <c r="E51" s="55"/>
      <c r="F51" s="55"/>
      <c r="G51" s="55"/>
      <c r="H51" s="55"/>
      <c r="I51" s="55"/>
      <c r="J51" s="55"/>
      <c r="K51" s="17"/>
      <c r="L51" s="3" t="s">
        <v>88</v>
      </c>
    </row>
    <row r="52" spans="1:12" ht="15.75">
      <c r="A52" s="118"/>
      <c r="B52" s="55"/>
      <c r="C52" s="17"/>
      <c r="D52" s="55"/>
      <c r="E52" s="55"/>
      <c r="F52" s="55"/>
      <c r="G52" s="55"/>
      <c r="H52" s="55"/>
      <c r="I52" s="55"/>
      <c r="J52" s="55"/>
      <c r="K52" s="17"/>
      <c r="L52" s="3"/>
    </row>
    <row r="53" spans="1:12" ht="15">
      <c r="A53" s="4" t="s">
        <v>112</v>
      </c>
      <c r="B53" s="54">
        <v>30</v>
      </c>
      <c r="C53" s="46"/>
      <c r="D53" s="61">
        <v>11</v>
      </c>
      <c r="E53" s="61"/>
      <c r="F53" s="61"/>
      <c r="G53" s="61">
        <v>109</v>
      </c>
      <c r="H53" s="61"/>
      <c r="I53" s="61"/>
      <c r="J53" s="61">
        <v>70</v>
      </c>
      <c r="K53" s="54"/>
      <c r="L53" s="90">
        <f>B53+D53+G53+J53</f>
        <v>220</v>
      </c>
    </row>
    <row r="54" spans="1:12" ht="15">
      <c r="A54" s="4" t="s">
        <v>113</v>
      </c>
      <c r="B54" s="54">
        <v>8.2</v>
      </c>
      <c r="C54" s="46"/>
      <c r="D54" s="61">
        <v>11</v>
      </c>
      <c r="E54" s="61"/>
      <c r="F54" s="61"/>
      <c r="G54" s="61">
        <v>23</v>
      </c>
      <c r="H54" s="61"/>
      <c r="I54" s="61"/>
      <c r="J54" s="61">
        <v>16</v>
      </c>
      <c r="K54" s="54"/>
      <c r="L54" s="90">
        <f>B54+D54+G54+J54</f>
        <v>58.2</v>
      </c>
    </row>
    <row r="55" spans="1:12" ht="15">
      <c r="A55" s="4" t="s">
        <v>114</v>
      </c>
      <c r="B55" s="54">
        <v>24.7</v>
      </c>
      <c r="C55" s="46"/>
      <c r="D55" s="61">
        <v>19</v>
      </c>
      <c r="E55" s="61"/>
      <c r="F55" s="61"/>
      <c r="G55" s="61">
        <v>31</v>
      </c>
      <c r="H55" s="61"/>
      <c r="I55" s="61"/>
      <c r="J55" s="61">
        <v>10</v>
      </c>
      <c r="K55" s="54"/>
      <c r="L55" s="90">
        <f>B55+D55+G55+J55</f>
        <v>84.7</v>
      </c>
    </row>
    <row r="56" spans="1:12" ht="15">
      <c r="A56" s="4" t="s">
        <v>115</v>
      </c>
      <c r="B56" s="54">
        <v>24.4</v>
      </c>
      <c r="C56" s="46"/>
      <c r="D56" s="61">
        <v>15</v>
      </c>
      <c r="E56" s="61"/>
      <c r="F56" s="61"/>
      <c r="G56" s="61">
        <v>31</v>
      </c>
      <c r="H56" s="61"/>
      <c r="I56" s="61"/>
      <c r="J56" s="61">
        <v>27</v>
      </c>
      <c r="K56" s="54"/>
      <c r="L56" s="90">
        <f>B56+D56+G56+J56</f>
        <v>97.4</v>
      </c>
    </row>
    <row r="57" spans="1:12" ht="15">
      <c r="A57" s="25" t="s">
        <v>6</v>
      </c>
      <c r="B57" s="54">
        <v>87.3</v>
      </c>
      <c r="C57" s="88"/>
      <c r="D57" s="89">
        <f>SUM(D53:D56)</f>
        <v>56</v>
      </c>
      <c r="E57" s="90"/>
      <c r="F57" s="90"/>
      <c r="G57" s="89">
        <f>SUM(G53:G56)</f>
        <v>194</v>
      </c>
      <c r="H57" s="90"/>
      <c r="I57" s="90"/>
      <c r="J57" s="89">
        <f>SUM(J53:J56)</f>
        <v>123</v>
      </c>
      <c r="K57" s="91"/>
      <c r="L57" s="89">
        <f>SUM(L53:L56)</f>
        <v>460.29999999999995</v>
      </c>
    </row>
    <row r="58" spans="1:12" ht="15">
      <c r="A58" s="4"/>
      <c r="B58" s="92" t="str">
        <f>IF(ABS(B57-SUM(B53:B56))&gt;comments!$A$1,B57-SUM(B53:B56)," ")</f>
        <v> </v>
      </c>
      <c r="C58" s="87"/>
      <c r="D58" s="92" t="str">
        <f>IF(ABS(D57-SUM(D53:D56))&gt;comments!$A$1,D57-SUM(D53:D56)," ")</f>
        <v> </v>
      </c>
      <c r="E58" s="92"/>
      <c r="F58" s="92"/>
      <c r="G58" s="92" t="str">
        <f>IF(ABS(G57-SUM(G53:G56))&gt;comments!$A$1,G57-SUM(G53:G56)," ")</f>
        <v> </v>
      </c>
      <c r="H58" s="92"/>
      <c r="I58" s="92"/>
      <c r="J58" s="92" t="str">
        <f>IF(ABS(J57-SUM(J53:J56))&gt;comments!$A$1,J57-SUM(J53:J56)," ")</f>
        <v> </v>
      </c>
      <c r="K58" s="87"/>
      <c r="L58" s="87" t="str">
        <f>IF(ABS(L57-SUM(L53:L56))&gt;comments!$A$1,L57-SUM(L53:L56)," ")</f>
        <v> </v>
      </c>
    </row>
    <row r="59" spans="1:12" ht="15.75">
      <c r="A59" s="118" t="s">
        <v>89</v>
      </c>
      <c r="B59" s="81"/>
      <c r="C59" s="17"/>
      <c r="D59" s="62"/>
      <c r="E59" s="62"/>
      <c r="F59" s="62"/>
      <c r="G59" s="62"/>
      <c r="H59" s="62"/>
      <c r="I59" s="62"/>
      <c r="J59" s="62"/>
      <c r="K59" s="17"/>
      <c r="L59" s="3" t="s">
        <v>62</v>
      </c>
    </row>
    <row r="60" spans="1:12" ht="15.75">
      <c r="A60" s="4" t="s">
        <v>112</v>
      </c>
      <c r="B60" s="114">
        <f>IF(ISERR(B53/$B$57*100),"-",IF((B53/$B$57*100)=0,"-",(B53/$B$57)*100))</f>
        <v>34.36426116838488</v>
      </c>
      <c r="C60" s="113"/>
      <c r="D60" s="114">
        <f>IF(ISERR(D53/$D$57*100),"-",IF((D53/$D$57*100)=0,"-",(D53/$D$57)*100))</f>
        <v>19.642857142857142</v>
      </c>
      <c r="E60" s="114"/>
      <c r="F60" s="114"/>
      <c r="G60" s="114">
        <f>IF(ISERR(G53/$G$57*100),"-",IF((G53/$G$57*100)=0,"-",(G53/$G$57)*100))</f>
        <v>56.18556701030928</v>
      </c>
      <c r="H60" s="114"/>
      <c r="I60" s="114"/>
      <c r="J60" s="114">
        <f>IF(ISERR(J53/$J$57*100),"-",IF((J53/$J$57*100)=0,"-",(J53/$J$57)*100))</f>
        <v>56.91056910569105</v>
      </c>
      <c r="K60" s="114"/>
      <c r="L60" s="114">
        <f>IF(ISERR(L53/$L$57*100),"-",IF((L53/$L$57*100)=0,"-",(L53/$L$57)*100))</f>
        <v>47.79491635889638</v>
      </c>
    </row>
    <row r="61" spans="1:12" ht="15.75">
      <c r="A61" s="4" t="s">
        <v>113</v>
      </c>
      <c r="B61" s="114">
        <f>IF(ISERR(B54/$B$57*100),"-",IF((B54/$B$57*100)=0,"-",(B54/$B$57)*100))</f>
        <v>9.392898052691868</v>
      </c>
      <c r="C61" s="113"/>
      <c r="D61" s="114">
        <f>IF(ISERR(D54/$D$57*100),"-",IF((D54/$D$57*100)=0,"-",(D54/$D$57)*100))</f>
        <v>19.642857142857142</v>
      </c>
      <c r="E61" s="114"/>
      <c r="F61" s="114"/>
      <c r="G61" s="114">
        <f>IF(ISERR(G54/$G$57*100),"-",IF((G54/$G$57*100)=0,"-",(G54/$G$57)*100))</f>
        <v>11.855670103092782</v>
      </c>
      <c r="H61" s="114"/>
      <c r="I61" s="114"/>
      <c r="J61" s="114">
        <f>IF(ISERR(J54/$J$57*100),"-",IF((J54/$J$57*100)=0,"-",(J54/$J$57)*100))</f>
        <v>13.008130081300814</v>
      </c>
      <c r="K61" s="114"/>
      <c r="L61" s="114">
        <f>IF(ISERR(L54/$L$57*100),"-",IF((L54/$L$57*100)=0,"-",(L54/$L$57)*100))</f>
        <v>12.643927873126223</v>
      </c>
    </row>
    <row r="62" spans="1:12" ht="15.75">
      <c r="A62" s="4" t="s">
        <v>114</v>
      </c>
      <c r="B62" s="114">
        <f>IF(ISERR(B55/$B$57*100),"-",IF((B55/$B$57*100)=0,"-",(B55/$B$57)*100))</f>
        <v>28.29324169530355</v>
      </c>
      <c r="C62" s="113"/>
      <c r="D62" s="114">
        <f>IF(ISERR(D55/$D$57*100),"-",IF((D55/$D$57*100)=0,"-",(D55/$D$57)*100))</f>
        <v>33.92857142857143</v>
      </c>
      <c r="E62" s="114"/>
      <c r="F62" s="114"/>
      <c r="G62" s="114">
        <f>IF(ISERR(G55/$G$57*100),"-",IF((G55/$G$57*100)=0,"-",(G55/$G$57)*100))</f>
        <v>15.979381443298967</v>
      </c>
      <c r="H62" s="114"/>
      <c r="I62" s="114"/>
      <c r="J62" s="114">
        <f>IF(ISERR(J55/$J$57*100),"-",IF((J55/$J$57*100)=0,"-",(J55/$J$57)*100))</f>
        <v>8.130081300813007</v>
      </c>
      <c r="K62" s="114"/>
      <c r="L62" s="114">
        <f>IF(ISERR(L55/$L$57*100),"-",IF((L55/$L$57*100)=0,"-",(L55/$L$57)*100))</f>
        <v>18.401042798175105</v>
      </c>
    </row>
    <row r="63" spans="1:12" ht="15.75">
      <c r="A63" s="4" t="s">
        <v>115</v>
      </c>
      <c r="B63" s="114">
        <f>IF(ISERR(B56/$B$57*100),"-",IF((B56/$B$57*100)=0,"-",(B56/$B$57)*100))</f>
        <v>27.949599083619702</v>
      </c>
      <c r="C63" s="113"/>
      <c r="D63" s="114">
        <f>IF(ISERR(D56/$D$57*100),"-",IF((D56/$D$57*100)=0,"-",(D56/$D$57)*100))</f>
        <v>26.785714285714285</v>
      </c>
      <c r="E63" s="114"/>
      <c r="F63" s="114"/>
      <c r="G63" s="114">
        <f>IF(ISERR(G56/$G$57*100),"-",IF((G56/$G$57*100)=0,"-",(G56/$G$57)*100))</f>
        <v>15.979381443298967</v>
      </c>
      <c r="H63" s="114"/>
      <c r="I63" s="114"/>
      <c r="J63" s="114">
        <f>IF(ISERR(J56/$J$57*100),"-",IF((J56/$J$57*100)=0,"-",(J56/$J$57)*100))</f>
        <v>21.951219512195124</v>
      </c>
      <c r="K63" s="114"/>
      <c r="L63" s="114">
        <f>IF(ISERR(L56/$L$57*100),"-",IF((L56/$L$57*100)=0,"-",(L56/$L$57)*100))</f>
        <v>21.160112969802306</v>
      </c>
    </row>
    <row r="64" spans="1:12" ht="15.75">
      <c r="A64" s="25" t="s">
        <v>6</v>
      </c>
      <c r="B64" s="191">
        <f>IF(ISERR(B57/$B$57*100),"-",IF((B57/$B$57*100)=0,"-",(B57/$B$57)*100))</f>
        <v>100</v>
      </c>
      <c r="C64" s="113"/>
      <c r="D64" s="114">
        <f>IF(ISERR(D57/$D$57*100),"-",IF((D57/$D$57*100)=0,"-",(D57/$D$57)*100))</f>
        <v>100</v>
      </c>
      <c r="E64" s="114"/>
      <c r="F64" s="114"/>
      <c r="G64" s="114">
        <f>IF(ISERR(G57/$G$57*100),"-",IF((G57/$G$57*100)=0,"-",(G57/$G$57)*100))</f>
        <v>100</v>
      </c>
      <c r="H64" s="114"/>
      <c r="I64" s="114"/>
      <c r="J64" s="114">
        <f>IF(ISERR(J57/$J$57*100),"-",IF((J57/$J$57*100)=0,"-",(J57/$J$57)*100))</f>
        <v>100</v>
      </c>
      <c r="K64" s="114"/>
      <c r="L64" s="114">
        <f>IF(ISERR(L57/$L$57*100),"-",IF((L57/$L$57*100)=0,"-",(L57/$L$57)*100))</f>
        <v>100</v>
      </c>
    </row>
    <row r="65" spans="1:12" ht="15">
      <c r="A65" s="136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</row>
    <row r="66" ht="19.5" customHeight="1">
      <c r="A66" s="1" t="s">
        <v>160</v>
      </c>
    </row>
  </sheetData>
  <printOptions/>
  <pageMargins left="0.7480314960629921" right="0.63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&amp;RROAD NETWORK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85" zoomScaleNormal="85" workbookViewId="0" topLeftCell="A1">
      <selection activeCell="Q33" sqref="Q33"/>
    </sheetView>
  </sheetViews>
  <sheetFormatPr defaultColWidth="9.140625" defaultRowHeight="12.75"/>
  <cols>
    <col min="1" max="1" width="11.140625" style="1" customWidth="1"/>
    <col min="2" max="2" width="4.8515625" style="1" customWidth="1"/>
    <col min="3" max="3" width="6.57421875" style="1" customWidth="1"/>
    <col min="4" max="4" width="6.421875" style="1" customWidth="1"/>
    <col min="5" max="5" width="6.57421875" style="1" customWidth="1"/>
    <col min="6" max="6" width="6.421875" style="1" customWidth="1"/>
    <col min="7" max="7" width="6.57421875" style="1" customWidth="1"/>
    <col min="8" max="8" width="6.7109375" style="1" customWidth="1"/>
    <col min="9" max="13" width="6.57421875" style="1" customWidth="1"/>
    <col min="14" max="14" width="5.421875" style="1" customWidth="1"/>
    <col min="15" max="15" width="13.421875" style="1" customWidth="1"/>
    <col min="16" max="16384" width="9.140625" style="1" customWidth="1"/>
  </cols>
  <sheetData>
    <row r="1" s="4" customFormat="1" ht="18.75">
      <c r="A1" s="126" t="s">
        <v>172</v>
      </c>
    </row>
    <row r="2" s="20" customFormat="1" ht="18">
      <c r="A2" s="26"/>
    </row>
    <row r="3" spans="1:15" s="4" customFormat="1" ht="16.5" customHeight="1">
      <c r="A3" s="25" t="s">
        <v>144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9"/>
      <c r="N3" s="25"/>
      <c r="O3" s="25"/>
    </row>
    <row r="4" spans="1:15" s="4" customFormat="1" ht="16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9"/>
      <c r="N4" s="25"/>
      <c r="O4" s="25"/>
    </row>
    <row r="5" spans="1:15" s="4" customFormat="1" ht="16.5" customHeight="1">
      <c r="A5" s="160"/>
      <c r="B5" s="160"/>
      <c r="C5" s="122"/>
      <c r="D5" s="122"/>
      <c r="E5" s="122"/>
      <c r="F5" s="122"/>
      <c r="G5" s="132" t="s">
        <v>79</v>
      </c>
      <c r="H5" s="175"/>
      <c r="I5" s="175"/>
      <c r="J5" s="122"/>
      <c r="K5" s="122"/>
      <c r="L5" s="122"/>
      <c r="M5" s="176"/>
      <c r="N5" s="160"/>
      <c r="O5" s="133" t="s">
        <v>147</v>
      </c>
    </row>
    <row r="6" spans="1:15" s="4" customFormat="1" ht="16.5" customHeight="1">
      <c r="A6" s="25"/>
      <c r="B6" s="25"/>
      <c r="C6" s="161" t="s">
        <v>71</v>
      </c>
      <c r="D6" s="161"/>
      <c r="E6" s="161" t="s">
        <v>72</v>
      </c>
      <c r="F6" s="161"/>
      <c r="G6" s="162" t="s">
        <v>73</v>
      </c>
      <c r="H6" s="162"/>
      <c r="I6" s="162" t="s">
        <v>74</v>
      </c>
      <c r="J6" s="161"/>
      <c r="K6" s="162" t="s">
        <v>75</v>
      </c>
      <c r="L6" s="161"/>
      <c r="M6" s="163" t="s">
        <v>76</v>
      </c>
      <c r="N6" s="164"/>
      <c r="O6" s="169" t="s">
        <v>77</v>
      </c>
    </row>
    <row r="7" spans="1:15" s="4" customFormat="1" ht="16.5" customHeight="1">
      <c r="A7" s="127"/>
      <c r="B7" s="127"/>
      <c r="C7" s="165"/>
      <c r="D7" s="165"/>
      <c r="E7" s="165"/>
      <c r="F7" s="165"/>
      <c r="G7" s="166"/>
      <c r="H7" s="166"/>
      <c r="I7" s="166"/>
      <c r="J7" s="165"/>
      <c r="K7" s="166"/>
      <c r="L7" s="165"/>
      <c r="M7" s="166"/>
      <c r="N7" s="167"/>
      <c r="O7" s="165" t="s">
        <v>78</v>
      </c>
    </row>
    <row r="8" spans="12:13" ht="16.5" customHeight="1">
      <c r="L8" s="2" t="s">
        <v>62</v>
      </c>
      <c r="M8" s="76"/>
    </row>
    <row r="9" spans="1:15" ht="16.5" customHeight="1">
      <c r="A9" s="25" t="s">
        <v>80</v>
      </c>
      <c r="C9" s="4">
        <v>11</v>
      </c>
      <c r="D9" s="4"/>
      <c r="E9" s="4">
        <v>8</v>
      </c>
      <c r="F9" s="4"/>
      <c r="G9" s="4">
        <v>11</v>
      </c>
      <c r="H9" s="4"/>
      <c r="I9" s="4">
        <v>8</v>
      </c>
      <c r="J9" s="4"/>
      <c r="K9" s="4">
        <v>8</v>
      </c>
      <c r="L9" s="19"/>
      <c r="M9" s="17">
        <v>54</v>
      </c>
      <c r="N9" s="4"/>
      <c r="O9" s="14">
        <v>1285</v>
      </c>
    </row>
    <row r="10" spans="1:15" ht="16.5" customHeight="1">
      <c r="A10" s="25" t="s">
        <v>81</v>
      </c>
      <c r="B10" s="38"/>
      <c r="C10" s="29">
        <v>10</v>
      </c>
      <c r="D10" s="29"/>
      <c r="E10" s="29">
        <v>9</v>
      </c>
      <c r="F10" s="29"/>
      <c r="G10" s="29">
        <v>9</v>
      </c>
      <c r="H10" s="29"/>
      <c r="I10" s="29">
        <v>8</v>
      </c>
      <c r="J10" s="29"/>
      <c r="K10" s="29">
        <v>7</v>
      </c>
      <c r="L10" s="29"/>
      <c r="M10" s="33">
        <v>57</v>
      </c>
      <c r="N10" s="29"/>
      <c r="O10" s="31">
        <v>1461</v>
      </c>
    </row>
    <row r="11" spans="1:15" ht="16.5" customHeight="1">
      <c r="A11" s="25" t="s">
        <v>96</v>
      </c>
      <c r="B11" s="25"/>
      <c r="C11" s="25">
        <v>10</v>
      </c>
      <c r="D11" s="25"/>
      <c r="E11" s="25">
        <v>8</v>
      </c>
      <c r="F11" s="25"/>
      <c r="G11" s="25">
        <v>10</v>
      </c>
      <c r="H11" s="25"/>
      <c r="I11" s="25">
        <v>9</v>
      </c>
      <c r="J11" s="25"/>
      <c r="K11" s="25">
        <v>10</v>
      </c>
      <c r="L11" s="25"/>
      <c r="M11" s="25">
        <v>53</v>
      </c>
      <c r="N11" s="25"/>
      <c r="O11" s="39">
        <v>2123</v>
      </c>
    </row>
    <row r="12" spans="1:15" s="38" customFormat="1" ht="16.5" customHeight="1">
      <c r="A12" s="25" t="s">
        <v>97</v>
      </c>
      <c r="B12" s="25"/>
      <c r="C12" s="25">
        <v>9</v>
      </c>
      <c r="D12" s="25"/>
      <c r="E12" s="25">
        <v>7</v>
      </c>
      <c r="F12" s="25"/>
      <c r="G12" s="25">
        <v>9</v>
      </c>
      <c r="H12" s="25"/>
      <c r="I12" s="25">
        <v>8</v>
      </c>
      <c r="J12" s="25"/>
      <c r="K12" s="25">
        <v>8</v>
      </c>
      <c r="L12" s="25"/>
      <c r="M12" s="25">
        <v>59</v>
      </c>
      <c r="N12" s="25"/>
      <c r="O12" s="39">
        <v>2545</v>
      </c>
    </row>
    <row r="13" spans="1:15" s="38" customFormat="1" ht="16.5" customHeight="1">
      <c r="A13" s="25" t="s">
        <v>102</v>
      </c>
      <c r="B13" s="25"/>
      <c r="C13" s="29">
        <v>4</v>
      </c>
      <c r="D13" s="29"/>
      <c r="E13" s="29">
        <v>4</v>
      </c>
      <c r="F13" s="29"/>
      <c r="G13" s="29">
        <v>7</v>
      </c>
      <c r="H13" s="29"/>
      <c r="I13" s="29">
        <v>7</v>
      </c>
      <c r="J13" s="29"/>
      <c r="K13" s="29">
        <v>10</v>
      </c>
      <c r="L13" s="29"/>
      <c r="M13" s="29">
        <v>68</v>
      </c>
      <c r="N13" s="29"/>
      <c r="O13" s="31">
        <v>3617</v>
      </c>
    </row>
    <row r="14" spans="1:15" s="38" customFormat="1" ht="16.5" customHeight="1">
      <c r="A14" s="25" t="s">
        <v>103</v>
      </c>
      <c r="B14" s="25"/>
      <c r="C14" s="29">
        <v>4</v>
      </c>
      <c r="D14" s="29"/>
      <c r="E14" s="29">
        <v>4</v>
      </c>
      <c r="F14" s="29"/>
      <c r="G14" s="29">
        <v>7</v>
      </c>
      <c r="H14" s="29"/>
      <c r="I14" s="29">
        <v>7</v>
      </c>
      <c r="J14" s="29"/>
      <c r="K14" s="29">
        <v>11</v>
      </c>
      <c r="L14" s="29"/>
      <c r="M14" s="29">
        <v>67</v>
      </c>
      <c r="N14" s="29"/>
      <c r="O14" s="31">
        <v>4048</v>
      </c>
    </row>
    <row r="15" spans="1:15" s="38" customFormat="1" ht="16.5" customHeight="1">
      <c r="A15" s="29" t="s">
        <v>118</v>
      </c>
      <c r="B15" s="25"/>
      <c r="C15" s="29">
        <v>4</v>
      </c>
      <c r="D15" s="29"/>
      <c r="E15" s="29">
        <v>4</v>
      </c>
      <c r="F15" s="29"/>
      <c r="G15" s="29">
        <v>6</v>
      </c>
      <c r="H15" s="29"/>
      <c r="I15" s="29">
        <v>7</v>
      </c>
      <c r="J15" s="29"/>
      <c r="K15" s="29">
        <v>12</v>
      </c>
      <c r="L15" s="29"/>
      <c r="M15" s="29">
        <v>67</v>
      </c>
      <c r="N15" s="29"/>
      <c r="O15" s="31">
        <v>4048</v>
      </c>
    </row>
    <row r="16" spans="1:15" s="38" customFormat="1" ht="16.5" customHeight="1">
      <c r="A16" s="29" t="s">
        <v>133</v>
      </c>
      <c r="B16" s="25"/>
      <c r="C16" s="29">
        <v>4</v>
      </c>
      <c r="D16" s="29"/>
      <c r="E16" s="29">
        <v>5</v>
      </c>
      <c r="F16" s="29"/>
      <c r="G16" s="29">
        <v>6</v>
      </c>
      <c r="H16" s="29"/>
      <c r="I16" s="29">
        <v>7</v>
      </c>
      <c r="J16" s="29"/>
      <c r="K16" s="29">
        <v>13</v>
      </c>
      <c r="L16" s="29"/>
      <c r="M16" s="29">
        <v>65</v>
      </c>
      <c r="N16" s="29"/>
      <c r="O16" s="31">
        <v>4048</v>
      </c>
    </row>
    <row r="17" spans="1:15" s="38" customFormat="1" ht="16.5" customHeight="1">
      <c r="A17" s="29" t="s">
        <v>139</v>
      </c>
      <c r="B17" s="25"/>
      <c r="C17" s="29">
        <v>4</v>
      </c>
      <c r="D17" s="29"/>
      <c r="E17" s="29">
        <v>4</v>
      </c>
      <c r="F17" s="29"/>
      <c r="G17" s="29">
        <v>6</v>
      </c>
      <c r="H17" s="29"/>
      <c r="I17" s="29">
        <v>7</v>
      </c>
      <c r="J17" s="29"/>
      <c r="K17" s="29">
        <v>15</v>
      </c>
      <c r="L17" s="29"/>
      <c r="M17" s="29">
        <v>63</v>
      </c>
      <c r="N17" s="29"/>
      <c r="O17" s="31">
        <v>4048</v>
      </c>
    </row>
    <row r="18" spans="1:15" s="38" customFormat="1" ht="16.5" customHeight="1">
      <c r="A18" s="29" t="s">
        <v>143</v>
      </c>
      <c r="B18" s="25"/>
      <c r="C18" s="29">
        <v>5</v>
      </c>
      <c r="D18" s="29"/>
      <c r="E18" s="29">
        <v>4</v>
      </c>
      <c r="F18" s="29"/>
      <c r="G18" s="29">
        <v>6</v>
      </c>
      <c r="H18" s="29"/>
      <c r="I18" s="29">
        <v>7</v>
      </c>
      <c r="J18" s="29"/>
      <c r="K18" s="29">
        <v>15</v>
      </c>
      <c r="L18" s="29"/>
      <c r="M18" s="29">
        <v>63</v>
      </c>
      <c r="N18" s="29"/>
      <c r="O18" s="31">
        <v>4048</v>
      </c>
    </row>
    <row r="19" spans="1:15" s="38" customFormat="1" ht="16.5" customHeight="1">
      <c r="A19" s="29" t="s">
        <v>155</v>
      </c>
      <c r="B19" s="25"/>
      <c r="C19" s="29">
        <v>4</v>
      </c>
      <c r="D19" s="29"/>
      <c r="E19" s="29">
        <v>4</v>
      </c>
      <c r="F19" s="29"/>
      <c r="G19" s="29">
        <v>7</v>
      </c>
      <c r="H19" s="29"/>
      <c r="I19" s="29">
        <v>7</v>
      </c>
      <c r="J19" s="29"/>
      <c r="K19" s="29">
        <v>13</v>
      </c>
      <c r="L19" s="29"/>
      <c r="M19" s="29">
        <v>65</v>
      </c>
      <c r="N19" s="29"/>
      <c r="O19" s="31">
        <v>4048</v>
      </c>
    </row>
    <row r="20" spans="1:15" s="38" customFormat="1" ht="16.5" customHeight="1">
      <c r="A20" s="29" t="s">
        <v>186</v>
      </c>
      <c r="B20" s="25"/>
      <c r="C20" s="29">
        <v>4</v>
      </c>
      <c r="D20" s="29"/>
      <c r="E20" s="29">
        <v>4</v>
      </c>
      <c r="F20" s="29"/>
      <c r="G20" s="29">
        <v>6</v>
      </c>
      <c r="H20" s="29"/>
      <c r="I20" s="29">
        <v>7</v>
      </c>
      <c r="J20" s="29"/>
      <c r="K20" s="29">
        <v>11</v>
      </c>
      <c r="L20" s="29"/>
      <c r="M20" s="29">
        <v>68</v>
      </c>
      <c r="N20" s="29"/>
      <c r="O20" s="31">
        <v>4048</v>
      </c>
    </row>
    <row r="21" spans="1:15" s="38" customFormat="1" ht="16.5" customHeight="1">
      <c r="A21" s="13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68"/>
    </row>
    <row r="22" spans="1:15" s="38" customFormat="1" ht="22.5" customHeight="1">
      <c r="A22" s="1" t="s">
        <v>160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9"/>
    </row>
    <row r="23" spans="1:15" s="38" customFormat="1" ht="18" customHeight="1">
      <c r="A23" s="25" t="s">
        <v>148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9"/>
    </row>
    <row r="24" spans="2:15" s="38" customFormat="1" ht="16.5" customHeight="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s="38" customFormat="1" ht="15">
      <c r="A25" s="17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71"/>
    </row>
    <row r="26" spans="2:15" s="38" customFormat="1" ht="15.75">
      <c r="B26" s="67"/>
      <c r="C26" s="173"/>
      <c r="D26" s="172" t="s">
        <v>0</v>
      </c>
      <c r="E26" s="136"/>
      <c r="F26" s="172"/>
      <c r="G26" s="136"/>
      <c r="J26" s="172"/>
      <c r="K26" s="172" t="s">
        <v>109</v>
      </c>
      <c r="L26" s="174"/>
      <c r="M26" s="174"/>
      <c r="N26" s="174"/>
      <c r="O26" s="39"/>
    </row>
    <row r="27" spans="2:15" s="38" customFormat="1" ht="18.75">
      <c r="B27" s="25"/>
      <c r="C27" s="23" t="s">
        <v>111</v>
      </c>
      <c r="D27" s="23"/>
      <c r="F27" s="23" t="s">
        <v>149</v>
      </c>
      <c r="J27" s="23" t="s">
        <v>111</v>
      </c>
      <c r="M27" s="23" t="s">
        <v>149</v>
      </c>
      <c r="O27" s="39"/>
    </row>
    <row r="28" spans="2:15" s="38" customFormat="1" ht="15.75">
      <c r="B28" s="25"/>
      <c r="C28" s="23" t="s">
        <v>108</v>
      </c>
      <c r="D28" s="23"/>
      <c r="F28" s="23" t="s">
        <v>106</v>
      </c>
      <c r="J28" s="23" t="s">
        <v>108</v>
      </c>
      <c r="M28" s="23" t="s">
        <v>106</v>
      </c>
      <c r="O28" s="39"/>
    </row>
    <row r="29" spans="2:15" s="38" customFormat="1" ht="15.75">
      <c r="B29" s="25"/>
      <c r="C29" s="23" t="s">
        <v>104</v>
      </c>
      <c r="D29" s="23"/>
      <c r="F29" s="23" t="s">
        <v>105</v>
      </c>
      <c r="J29" s="23" t="s">
        <v>104</v>
      </c>
      <c r="M29" s="23" t="s">
        <v>105</v>
      </c>
      <c r="O29" s="39"/>
    </row>
    <row r="30" spans="1:15" s="38" customFormat="1" ht="15.75">
      <c r="A30" s="136"/>
      <c r="B30" s="127"/>
      <c r="C30" s="148" t="s">
        <v>110</v>
      </c>
      <c r="D30" s="172"/>
      <c r="E30" s="136"/>
      <c r="F30" s="165" t="s">
        <v>107</v>
      </c>
      <c r="G30" s="136"/>
      <c r="H30" s="136"/>
      <c r="I30" s="136"/>
      <c r="J30" s="165" t="s">
        <v>110</v>
      </c>
      <c r="K30" s="136"/>
      <c r="L30" s="136"/>
      <c r="M30" s="148" t="s">
        <v>107</v>
      </c>
      <c r="N30" s="136"/>
      <c r="O30" s="168"/>
    </row>
    <row r="31" spans="1:15" s="38" customFormat="1" ht="15">
      <c r="A31" s="25" t="s">
        <v>103</v>
      </c>
      <c r="B31" s="25"/>
      <c r="C31" s="63">
        <v>7.5</v>
      </c>
      <c r="D31" s="29"/>
      <c r="F31" s="29">
        <v>631.5</v>
      </c>
      <c r="J31" s="29">
        <v>5.2</v>
      </c>
      <c r="M31" s="101">
        <v>949.4</v>
      </c>
      <c r="O31" s="39"/>
    </row>
    <row r="32" spans="1:15" s="38" customFormat="1" ht="15">
      <c r="A32" s="25" t="s">
        <v>118</v>
      </c>
      <c r="B32" s="25"/>
      <c r="C32" s="64">
        <v>9</v>
      </c>
      <c r="D32" s="29"/>
      <c r="F32" s="29">
        <v>631.5</v>
      </c>
      <c r="J32" s="29">
        <v>5.1</v>
      </c>
      <c r="M32" s="101">
        <v>949.4</v>
      </c>
      <c r="O32" s="39"/>
    </row>
    <row r="33" spans="1:15" s="38" customFormat="1" ht="15">
      <c r="A33" s="25" t="s">
        <v>133</v>
      </c>
      <c r="B33" s="25"/>
      <c r="C33" s="64">
        <v>9.2</v>
      </c>
      <c r="D33" s="29"/>
      <c r="F33" s="29">
        <v>631.5</v>
      </c>
      <c r="J33" s="29">
        <v>3.9</v>
      </c>
      <c r="M33" s="101">
        <v>949.4</v>
      </c>
      <c r="O33" s="39"/>
    </row>
    <row r="34" spans="1:15" s="38" customFormat="1" ht="15">
      <c r="A34" s="25" t="s">
        <v>139</v>
      </c>
      <c r="B34" s="25"/>
      <c r="C34" s="64">
        <v>6.7</v>
      </c>
      <c r="D34" s="29"/>
      <c r="F34" s="29">
        <v>632</v>
      </c>
      <c r="J34" s="29">
        <v>3.2</v>
      </c>
      <c r="M34" s="29">
        <v>949</v>
      </c>
      <c r="O34" s="39"/>
    </row>
    <row r="35" spans="1:15" s="38" customFormat="1" ht="15">
      <c r="A35" s="25" t="s">
        <v>143</v>
      </c>
      <c r="B35" s="25"/>
      <c r="C35" s="64">
        <v>6.1</v>
      </c>
      <c r="D35" s="29"/>
      <c r="E35" s="42"/>
      <c r="F35" s="29">
        <v>632</v>
      </c>
      <c r="G35" s="42"/>
      <c r="H35" s="42"/>
      <c r="I35" s="42"/>
      <c r="J35" s="29">
        <v>2.7</v>
      </c>
      <c r="K35" s="42"/>
      <c r="L35" s="42"/>
      <c r="M35" s="29">
        <v>949</v>
      </c>
      <c r="O35" s="39"/>
    </row>
    <row r="36" spans="1:15" s="38" customFormat="1" ht="15">
      <c r="A36" s="25" t="s">
        <v>155</v>
      </c>
      <c r="B36" s="25"/>
      <c r="C36" s="64">
        <v>8.2</v>
      </c>
      <c r="D36" s="29"/>
      <c r="E36" s="42"/>
      <c r="F36" s="29">
        <v>632</v>
      </c>
      <c r="G36" s="42"/>
      <c r="H36" s="42"/>
      <c r="I36" s="42"/>
      <c r="J36" s="29">
        <v>3.9</v>
      </c>
      <c r="K36" s="42"/>
      <c r="L36" s="42"/>
      <c r="M36" s="29">
        <v>949</v>
      </c>
      <c r="O36" s="39"/>
    </row>
    <row r="37" spans="1:15" s="38" customFormat="1" ht="15">
      <c r="A37" s="25" t="s">
        <v>186</v>
      </c>
      <c r="B37" s="25"/>
      <c r="C37" s="64">
        <v>4.3</v>
      </c>
      <c r="D37" s="29"/>
      <c r="E37" s="42"/>
      <c r="F37" s="29">
        <v>632</v>
      </c>
      <c r="G37" s="42"/>
      <c r="H37" s="42"/>
      <c r="I37" s="42"/>
      <c r="J37" s="29">
        <v>4.1</v>
      </c>
      <c r="K37" s="42"/>
      <c r="L37" s="42"/>
      <c r="M37" s="29">
        <v>949</v>
      </c>
      <c r="O37" s="39"/>
    </row>
    <row r="38" spans="1:15" s="38" customFormat="1" ht="15">
      <c r="A38" s="13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</row>
    <row r="39" ht="18.75" customHeight="1">
      <c r="A39" s="1" t="s">
        <v>160</v>
      </c>
    </row>
    <row r="40" ht="12.75">
      <c r="A40" s="1" t="s">
        <v>135</v>
      </c>
    </row>
    <row r="41" spans="1:13" ht="12.75">
      <c r="A41" s="1" t="s">
        <v>136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ht="12.75">
      <c r="A42" s="1" t="s">
        <v>145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2.75">
      <c r="A43" s="1" t="s">
        <v>137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 ht="12.75">
      <c r="A44" s="1" t="s">
        <v>138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3" ht="12.75">
      <c r="A45" s="1" t="s">
        <v>146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ht="12.75">
      <c r="A46" s="1" t="s">
        <v>173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</row>
    <row r="47" spans="4:13" ht="12.75">
      <c r="D47" s="77"/>
      <c r="E47" s="77"/>
      <c r="F47" s="77"/>
      <c r="G47" s="77"/>
      <c r="H47" s="77"/>
      <c r="I47" s="77"/>
      <c r="J47" s="77"/>
      <c r="K47" s="77"/>
      <c r="L47" s="77"/>
      <c r="M47" s="77"/>
    </row>
    <row r="48" spans="4:13" ht="12.75"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4:13" ht="12.75">
      <c r="D49" s="77"/>
      <c r="E49" s="77"/>
      <c r="F49" s="77"/>
      <c r="G49" s="77"/>
      <c r="H49" s="77"/>
      <c r="I49" s="77"/>
      <c r="J49" s="77"/>
      <c r="K49" s="77"/>
      <c r="L49" s="77"/>
      <c r="M49" s="77"/>
    </row>
    <row r="50" spans="4:13" ht="12.75"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spans="4:13" ht="12.75">
      <c r="D51" s="77"/>
      <c r="E51" s="77"/>
      <c r="F51" s="77"/>
      <c r="G51" s="77"/>
      <c r="H51" s="77"/>
      <c r="I51" s="77"/>
      <c r="J51" s="77"/>
      <c r="K51" s="77"/>
      <c r="L51" s="77"/>
      <c r="M51" s="77"/>
    </row>
    <row r="52" spans="4:13" ht="12.75">
      <c r="D52" s="77"/>
      <c r="E52" s="77"/>
      <c r="F52" s="77"/>
      <c r="G52" s="77"/>
      <c r="H52" s="77"/>
      <c r="I52" s="77"/>
      <c r="J52" s="77"/>
      <c r="K52" s="77"/>
      <c r="L52" s="77"/>
      <c r="M52" s="77"/>
    </row>
    <row r="53" spans="4:13" ht="12.75"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pans="4:13" ht="12.75"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4:13" ht="12.75">
      <c r="D55" s="77"/>
      <c r="E55" s="77"/>
      <c r="F55" s="77"/>
      <c r="G55" s="77"/>
      <c r="H55" s="77"/>
      <c r="I55" s="77"/>
      <c r="J55" s="77"/>
      <c r="K55" s="77"/>
      <c r="L55" s="77"/>
      <c r="M55" s="77"/>
    </row>
    <row r="56" spans="4:13" ht="12.75">
      <c r="D56" s="77"/>
      <c r="E56" s="77"/>
      <c r="F56" s="77"/>
      <c r="G56" s="77"/>
      <c r="H56" s="77"/>
      <c r="I56" s="77"/>
      <c r="J56" s="77"/>
      <c r="K56" s="77"/>
      <c r="L56" s="77"/>
      <c r="M56" s="77"/>
    </row>
    <row r="57" spans="4:13" ht="12.75">
      <c r="D57" s="77"/>
      <c r="E57" s="77"/>
      <c r="F57" s="77"/>
      <c r="G57" s="77"/>
      <c r="H57" s="77"/>
      <c r="I57" s="77"/>
      <c r="J57" s="77"/>
      <c r="K57" s="77"/>
      <c r="L57" s="77"/>
      <c r="M57" s="77"/>
    </row>
    <row r="58" spans="4:13" ht="12.75">
      <c r="D58" s="77"/>
      <c r="E58" s="77"/>
      <c r="F58" s="77"/>
      <c r="G58" s="77"/>
      <c r="H58" s="77"/>
      <c r="I58" s="77"/>
      <c r="J58" s="77"/>
      <c r="K58" s="77"/>
      <c r="L58" s="77"/>
      <c r="M58" s="77"/>
    </row>
    <row r="59" spans="4:13" ht="12.75">
      <c r="D59" s="77"/>
      <c r="E59" s="77"/>
      <c r="F59" s="77"/>
      <c r="G59" s="77"/>
      <c r="H59" s="77"/>
      <c r="I59" s="77"/>
      <c r="J59" s="77"/>
      <c r="K59" s="77"/>
      <c r="L59" s="77"/>
      <c r="M59" s="77"/>
    </row>
    <row r="60" spans="4:13" ht="12.75"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4:13" ht="12.75"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4:13" ht="12.75"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4:13" ht="12.75">
      <c r="D63" s="77"/>
      <c r="E63" s="77"/>
      <c r="F63" s="77"/>
      <c r="G63" s="77"/>
      <c r="H63" s="77"/>
      <c r="I63" s="77"/>
      <c r="J63" s="77"/>
      <c r="K63" s="77"/>
      <c r="L63" s="77"/>
      <c r="M63" s="77"/>
    </row>
  </sheetData>
  <printOptions/>
  <pageMargins left="0.75" right="0.75" top="1" bottom="1" header="0.5" footer="0.5"/>
  <pageSetup fitToHeight="1" fitToWidth="1" horizontalDpi="600" verticalDpi="600" orientation="portrait" paperSize="9" scale="82" r:id="rId1"/>
  <headerFooter alignWithMargins="0">
    <oddHeader>&amp;R&amp;"Arial,Bold"&amp;16ROAD NETWORK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K71"/>
  <sheetViews>
    <sheetView zoomScale="90" zoomScaleNormal="90" workbookViewId="0" topLeftCell="A1">
      <selection activeCell="S4" sqref="S4"/>
    </sheetView>
  </sheetViews>
  <sheetFormatPr defaultColWidth="9.140625" defaultRowHeight="12.75"/>
  <cols>
    <col min="1" max="1" width="1.421875" style="1" customWidth="1"/>
    <col min="2" max="2" width="4.00390625" style="1" customWidth="1"/>
    <col min="3" max="3" width="16.421875" style="1" customWidth="1"/>
    <col min="4" max="5" width="7.7109375" style="1" customWidth="1"/>
    <col min="6" max="6" width="1.57421875" style="1" customWidth="1"/>
    <col min="7" max="8" width="7.7109375" style="1" customWidth="1"/>
    <col min="9" max="9" width="0.9921875" style="1" customWidth="1"/>
    <col min="10" max="11" width="7.7109375" style="1" customWidth="1"/>
    <col min="12" max="12" width="1.1484375" style="1" customWidth="1"/>
    <col min="13" max="14" width="7.7109375" style="1" customWidth="1"/>
    <col min="15" max="15" width="1.28515625" style="1" customWidth="1"/>
    <col min="16" max="17" width="7.7109375" style="1" customWidth="1"/>
    <col min="18" max="18" width="0.9921875" style="1" customWidth="1"/>
    <col min="19" max="19" width="21.00390625" style="1" customWidth="1"/>
    <col min="20" max="16384" width="9.140625" style="1" customWidth="1"/>
  </cols>
  <sheetData>
    <row r="1" ht="4.5" customHeight="1"/>
    <row r="2" spans="2:13" s="4" customFormat="1" ht="18.75">
      <c r="B2" s="126" t="s">
        <v>199</v>
      </c>
      <c r="D2" s="125"/>
      <c r="E2" s="25"/>
      <c r="F2" s="25"/>
      <c r="I2" s="25"/>
      <c r="J2" s="25"/>
      <c r="K2" s="25"/>
      <c r="L2" s="25"/>
      <c r="M2" s="25"/>
    </row>
    <row r="3" spans="2:17" s="20" customFormat="1" ht="12.75" customHeight="1">
      <c r="B3" s="26"/>
      <c r="C3" s="26"/>
      <c r="D3" s="6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245" s="4" customFormat="1" ht="15.75">
      <c r="A4" s="160"/>
      <c r="B4" s="160"/>
      <c r="C4" s="131"/>
      <c r="D4" s="132" t="s">
        <v>3</v>
      </c>
      <c r="E4" s="132"/>
      <c r="F4" s="131"/>
      <c r="G4" s="132" t="s">
        <v>14</v>
      </c>
      <c r="H4" s="132"/>
      <c r="I4" s="131"/>
      <c r="J4" s="132" t="s">
        <v>18</v>
      </c>
      <c r="K4" s="132"/>
      <c r="L4" s="131"/>
      <c r="M4" s="132" t="s">
        <v>121</v>
      </c>
      <c r="N4" s="132"/>
      <c r="O4" s="131"/>
      <c r="P4" s="132" t="s">
        <v>122</v>
      </c>
      <c r="Q4" s="13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s="4" customFormat="1" ht="15.75">
      <c r="A5" s="25"/>
      <c r="B5" s="25"/>
      <c r="C5" s="23"/>
      <c r="D5" s="28" t="s">
        <v>130</v>
      </c>
      <c r="E5" s="28"/>
      <c r="F5" s="23"/>
      <c r="G5" s="28" t="s">
        <v>130</v>
      </c>
      <c r="H5" s="28"/>
      <c r="I5" s="23"/>
      <c r="J5" s="28" t="s">
        <v>130</v>
      </c>
      <c r="K5" s="28"/>
      <c r="L5" s="23"/>
      <c r="M5" s="28" t="s">
        <v>130</v>
      </c>
      <c r="N5" s="28"/>
      <c r="O5" s="23"/>
      <c r="P5" s="28" t="s">
        <v>130</v>
      </c>
      <c r="Q5" s="28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26.25" customHeight="1">
      <c r="A6" s="136"/>
      <c r="B6" s="172"/>
      <c r="C6" s="136"/>
      <c r="D6" s="177" t="s">
        <v>120</v>
      </c>
      <c r="E6" s="178" t="s">
        <v>166</v>
      </c>
      <c r="F6" s="135"/>
      <c r="G6" s="177" t="s">
        <v>120</v>
      </c>
      <c r="H6" s="178" t="s">
        <v>166</v>
      </c>
      <c r="I6" s="135"/>
      <c r="J6" s="177" t="s">
        <v>120</v>
      </c>
      <c r="K6" s="178" t="s">
        <v>166</v>
      </c>
      <c r="L6" s="135"/>
      <c r="M6" s="177" t="s">
        <v>120</v>
      </c>
      <c r="N6" s="178" t="s">
        <v>166</v>
      </c>
      <c r="O6" s="135"/>
      <c r="P6" s="177" t="s">
        <v>120</v>
      </c>
      <c r="Q6" s="178" t="s">
        <v>166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2:17" ht="24.75" customHeight="1">
      <c r="B7" s="65" t="s">
        <v>126</v>
      </c>
      <c r="C7" s="179" t="s">
        <v>187</v>
      </c>
      <c r="D7" s="180"/>
      <c r="E7" s="180"/>
      <c r="F7" s="4"/>
      <c r="G7" s="4"/>
      <c r="H7" s="4"/>
      <c r="Q7" s="3" t="s">
        <v>129</v>
      </c>
    </row>
    <row r="8" spans="2:17" ht="22.5" customHeight="1">
      <c r="B8" s="18" t="s">
        <v>31</v>
      </c>
      <c r="C8" s="4"/>
      <c r="D8" s="108">
        <v>4.184303247817297</v>
      </c>
      <c r="E8" s="108">
        <v>22.14723524038514</v>
      </c>
      <c r="F8" s="108"/>
      <c r="G8" s="108">
        <v>3.9420988859064754</v>
      </c>
      <c r="H8" s="108">
        <v>22.853605973528058</v>
      </c>
      <c r="I8" s="108"/>
      <c r="J8" s="108">
        <v>5.07596447132434</v>
      </c>
      <c r="K8" s="108">
        <v>26.41126875103105</v>
      </c>
      <c r="L8" s="108"/>
      <c r="M8" s="108">
        <v>4.151540360994506</v>
      </c>
      <c r="N8" s="108">
        <v>24.6788684447045</v>
      </c>
      <c r="O8" s="70"/>
      <c r="P8" s="70">
        <v>4.2381871041815975</v>
      </c>
      <c r="Q8" s="70">
        <v>24.5508485932139</v>
      </c>
    </row>
    <row r="9" spans="2:17" ht="16.5" customHeight="1">
      <c r="B9" s="18" t="s">
        <v>32</v>
      </c>
      <c r="C9" s="4"/>
      <c r="D9" s="108">
        <v>3.2489648086429233</v>
      </c>
      <c r="E9" s="108">
        <v>21.330114022265555</v>
      </c>
      <c r="F9" s="108"/>
      <c r="G9" s="108">
        <v>2.9549692845131252</v>
      </c>
      <c r="H9" s="108">
        <v>21.03352706170232</v>
      </c>
      <c r="I9" s="108"/>
      <c r="J9" s="108">
        <v>2.69514720099308</v>
      </c>
      <c r="K9" s="108">
        <v>19.391285850296338</v>
      </c>
      <c r="L9" s="108"/>
      <c r="M9" s="108">
        <v>4.1353268719991325</v>
      </c>
      <c r="N9" s="108">
        <v>25.93640050408372</v>
      </c>
      <c r="O9" s="70"/>
      <c r="P9" s="70">
        <v>3.4306625287352666</v>
      </c>
      <c r="Q9" s="70">
        <v>22.728486309791585</v>
      </c>
    </row>
    <row r="10" spans="2:17" ht="16.5" customHeight="1">
      <c r="B10" s="18" t="s">
        <v>33</v>
      </c>
      <c r="C10" s="4"/>
      <c r="D10" s="108">
        <v>2.9740423351932326</v>
      </c>
      <c r="E10" s="108">
        <v>18.923662314810308</v>
      </c>
      <c r="F10" s="108"/>
      <c r="G10" s="108">
        <v>3.6452734327343173</v>
      </c>
      <c r="H10" s="108">
        <v>29.431160529341266</v>
      </c>
      <c r="I10" s="108"/>
      <c r="J10" s="108">
        <v>2.9460410451156793</v>
      </c>
      <c r="K10" s="108">
        <v>24.078014980131165</v>
      </c>
      <c r="L10" s="108"/>
      <c r="M10" s="108">
        <v>4.96492168596229</v>
      </c>
      <c r="N10" s="108">
        <v>29.06346973217881</v>
      </c>
      <c r="O10" s="70"/>
      <c r="P10" s="70">
        <v>4.006225375794302</v>
      </c>
      <c r="Q10" s="70">
        <v>26.645358333425694</v>
      </c>
    </row>
    <row r="11" spans="2:17" ht="16.5" customHeight="1">
      <c r="B11" s="18" t="s">
        <v>34</v>
      </c>
      <c r="C11" s="4"/>
      <c r="D11" s="108">
        <v>8.446893496571333</v>
      </c>
      <c r="E11" s="108">
        <v>40.07437189066225</v>
      </c>
      <c r="F11" s="108"/>
      <c r="G11" s="108">
        <v>12.179072428494766</v>
      </c>
      <c r="H11" s="108">
        <v>57.491172875980794</v>
      </c>
      <c r="I11" s="108"/>
      <c r="J11" s="108">
        <v>15.072358513224168</v>
      </c>
      <c r="K11" s="108">
        <v>59.350585264109185</v>
      </c>
      <c r="L11" s="108"/>
      <c r="M11" s="108">
        <v>13.23023881442741</v>
      </c>
      <c r="N11" s="108">
        <v>52.610842688039796</v>
      </c>
      <c r="O11" s="70"/>
      <c r="P11" s="70">
        <v>12.153131578805366</v>
      </c>
      <c r="Q11" s="70">
        <v>52.19231240462486</v>
      </c>
    </row>
    <row r="12" spans="2:17" ht="16.5" customHeight="1">
      <c r="B12" s="18" t="s">
        <v>36</v>
      </c>
      <c r="C12" s="4"/>
      <c r="D12" s="108">
        <v>4.228174032027441</v>
      </c>
      <c r="E12" s="108">
        <v>22.80312764404058</v>
      </c>
      <c r="F12" s="108"/>
      <c r="G12" s="108">
        <v>5.110298944388508</v>
      </c>
      <c r="H12" s="108">
        <v>30.842729157993517</v>
      </c>
      <c r="I12" s="108"/>
      <c r="J12" s="108">
        <v>7.69725154929275</v>
      </c>
      <c r="K12" s="108">
        <v>37.174025583468485</v>
      </c>
      <c r="L12" s="108"/>
      <c r="M12" s="108">
        <v>9.269217630925047</v>
      </c>
      <c r="N12" s="108">
        <v>42.92624745764097</v>
      </c>
      <c r="O12" s="70"/>
      <c r="P12" s="70">
        <v>7.610244944377457</v>
      </c>
      <c r="Q12" s="70">
        <v>36.923401266657486</v>
      </c>
    </row>
    <row r="13" spans="2:17" ht="16.5" customHeight="1">
      <c r="B13" s="18" t="s">
        <v>37</v>
      </c>
      <c r="C13" s="4"/>
      <c r="D13" s="108">
        <v>7.352372344482251</v>
      </c>
      <c r="E13" s="108">
        <v>36.179758191439404</v>
      </c>
      <c r="F13" s="108"/>
      <c r="G13" s="108">
        <v>4.840345257817857</v>
      </c>
      <c r="H13" s="108">
        <v>32.71993376506327</v>
      </c>
      <c r="I13" s="108"/>
      <c r="J13" s="108">
        <v>7.9289830521740905</v>
      </c>
      <c r="K13" s="108">
        <v>41.59143467461181</v>
      </c>
      <c r="L13" s="108"/>
      <c r="M13" s="108">
        <v>13.662364957037862</v>
      </c>
      <c r="N13" s="108">
        <v>51.81829567971782</v>
      </c>
      <c r="O13" s="70"/>
      <c r="P13" s="70">
        <v>9.696015214562973</v>
      </c>
      <c r="Q13" s="70">
        <v>43.61796337067116</v>
      </c>
    </row>
    <row r="14" spans="2:17" ht="16.5" customHeight="1">
      <c r="B14" s="18" t="s">
        <v>38</v>
      </c>
      <c r="C14" s="4"/>
      <c r="D14" s="108">
        <v>2.1547837119477347</v>
      </c>
      <c r="E14" s="108">
        <v>15.318766683375731</v>
      </c>
      <c r="F14" s="108"/>
      <c r="G14" s="108">
        <v>2.950568460276947</v>
      </c>
      <c r="H14" s="108">
        <v>19.386280873560395</v>
      </c>
      <c r="I14" s="108"/>
      <c r="J14" s="108">
        <v>1.7333646579009454</v>
      </c>
      <c r="K14" s="108">
        <v>16.091572721834552</v>
      </c>
      <c r="L14" s="108"/>
      <c r="M14" s="108">
        <v>4.852589119472529</v>
      </c>
      <c r="N14" s="108">
        <v>26.75317857412935</v>
      </c>
      <c r="O14" s="70"/>
      <c r="P14" s="70">
        <v>3.8753975751501604</v>
      </c>
      <c r="Q14" s="70">
        <v>23.193784291166025</v>
      </c>
    </row>
    <row r="15" spans="2:17" ht="16.5" customHeight="1">
      <c r="B15" s="18" t="s">
        <v>39</v>
      </c>
      <c r="C15" s="4"/>
      <c r="D15" s="108">
        <v>7.223840401184486</v>
      </c>
      <c r="E15" s="108">
        <v>34.53830132661518</v>
      </c>
      <c r="F15" s="108"/>
      <c r="G15" s="108">
        <v>7.170106693061335</v>
      </c>
      <c r="H15" s="108">
        <v>37.8154736274967</v>
      </c>
      <c r="I15" s="108"/>
      <c r="J15" s="108">
        <v>9.456895606808605</v>
      </c>
      <c r="K15" s="108">
        <v>44.00152251320878</v>
      </c>
      <c r="L15" s="108"/>
      <c r="M15" s="108">
        <v>8.771982185889835</v>
      </c>
      <c r="N15" s="108">
        <v>41.42905928189294</v>
      </c>
      <c r="O15" s="70"/>
      <c r="P15" s="70">
        <v>8.451121647473402</v>
      </c>
      <c r="Q15" s="70">
        <v>40.52677706398894</v>
      </c>
    </row>
    <row r="16" spans="2:17" ht="16.5" customHeight="1">
      <c r="B16" s="18" t="s">
        <v>40</v>
      </c>
      <c r="C16" s="4"/>
      <c r="D16" s="108">
        <v>10.547207634646414</v>
      </c>
      <c r="E16" s="108">
        <v>39.33062763731556</v>
      </c>
      <c r="F16" s="108"/>
      <c r="G16" s="108">
        <v>8.836800872995308</v>
      </c>
      <c r="H16" s="108">
        <v>32.37337403736397</v>
      </c>
      <c r="I16" s="108"/>
      <c r="J16" s="108">
        <v>6.496868916171351</v>
      </c>
      <c r="K16" s="108">
        <v>31.156181055969792</v>
      </c>
      <c r="L16" s="108"/>
      <c r="M16" s="108">
        <v>12.411762253347966</v>
      </c>
      <c r="N16" s="108">
        <v>48.150326978570334</v>
      </c>
      <c r="O16" s="70"/>
      <c r="P16" s="70">
        <v>11.438831752252439</v>
      </c>
      <c r="Q16" s="70">
        <v>44.448971448439494</v>
      </c>
    </row>
    <row r="17" spans="2:17" ht="16.5" customHeight="1">
      <c r="B17" s="18" t="s">
        <v>41</v>
      </c>
      <c r="C17" s="4"/>
      <c r="D17" s="108">
        <v>6.041387582660469</v>
      </c>
      <c r="E17" s="108">
        <v>33.607768591627774</v>
      </c>
      <c r="F17" s="108"/>
      <c r="G17" s="108">
        <v>4.685207133646116</v>
      </c>
      <c r="H17" s="108">
        <v>28.699933316420285</v>
      </c>
      <c r="I17" s="108"/>
      <c r="J17" s="108">
        <v>3.96510767694679</v>
      </c>
      <c r="K17" s="108">
        <v>24.17487651210048</v>
      </c>
      <c r="L17" s="108"/>
      <c r="M17" s="108">
        <v>8.941207298662144</v>
      </c>
      <c r="N17" s="108">
        <v>36.93663967352758</v>
      </c>
      <c r="O17" s="70"/>
      <c r="P17" s="70">
        <v>6.641478192079209</v>
      </c>
      <c r="Q17" s="70">
        <v>31.96177954167591</v>
      </c>
    </row>
    <row r="18" spans="2:17" ht="16.5" customHeight="1">
      <c r="B18" s="18" t="s">
        <v>42</v>
      </c>
      <c r="C18" s="4"/>
      <c r="D18" s="108">
        <v>5.959972096945817</v>
      </c>
      <c r="E18" s="108">
        <v>23.721536913527935</v>
      </c>
      <c r="F18" s="108"/>
      <c r="G18" s="108">
        <v>6.545432829728964</v>
      </c>
      <c r="H18" s="108">
        <v>49.58760018163237</v>
      </c>
      <c r="I18" s="108"/>
      <c r="J18" s="108">
        <v>8.052887801849998</v>
      </c>
      <c r="K18" s="108">
        <v>36.69767882506802</v>
      </c>
      <c r="L18" s="108"/>
      <c r="M18" s="108">
        <v>10.885137827077017</v>
      </c>
      <c r="N18" s="108">
        <v>47.34451010438537</v>
      </c>
      <c r="O18" s="70"/>
      <c r="P18" s="70">
        <v>9.5394984988614</v>
      </c>
      <c r="Q18" s="70">
        <v>43.96887568297187</v>
      </c>
    </row>
    <row r="19" spans="2:17" ht="16.5" customHeight="1">
      <c r="B19" s="18" t="s">
        <v>43</v>
      </c>
      <c r="C19" s="4"/>
      <c r="D19" s="108">
        <v>3.7676523724038202</v>
      </c>
      <c r="E19" s="108">
        <v>24.208974327899625</v>
      </c>
      <c r="F19" s="108"/>
      <c r="G19" s="108">
        <v>5.151334081963175</v>
      </c>
      <c r="H19" s="108">
        <v>25.38620488380928</v>
      </c>
      <c r="I19" s="108"/>
      <c r="J19" s="108">
        <v>4.7457395010266525</v>
      </c>
      <c r="K19" s="108">
        <v>26.733383902479858</v>
      </c>
      <c r="L19" s="108"/>
      <c r="M19" s="108">
        <v>7.216691529630512</v>
      </c>
      <c r="N19" s="108">
        <v>36.93933813452161</v>
      </c>
      <c r="O19" s="70"/>
      <c r="P19" s="70">
        <v>6.506531963674987</v>
      </c>
      <c r="Q19" s="70">
        <v>34.07186741030286</v>
      </c>
    </row>
    <row r="20" spans="2:17" ht="16.5" customHeight="1">
      <c r="B20" s="18" t="s">
        <v>91</v>
      </c>
      <c r="C20" s="4"/>
      <c r="D20" s="108">
        <v>8.298220015384832</v>
      </c>
      <c r="E20" s="108">
        <v>42.625680740274674</v>
      </c>
      <c r="F20" s="108"/>
      <c r="G20" s="108">
        <v>6.149371680472663</v>
      </c>
      <c r="H20" s="108">
        <v>39.11644190344425</v>
      </c>
      <c r="I20" s="108"/>
      <c r="J20" s="108">
        <v>4.12717314108237</v>
      </c>
      <c r="K20" s="108">
        <v>44.551212022039294</v>
      </c>
      <c r="L20" s="108"/>
      <c r="M20" s="108">
        <v>8.758720400078051</v>
      </c>
      <c r="N20" s="108">
        <v>50.477254396431874</v>
      </c>
      <c r="O20" s="70"/>
      <c r="P20" s="70">
        <v>7.556183868869101</v>
      </c>
      <c r="Q20" s="70">
        <v>45.685812264061575</v>
      </c>
    </row>
    <row r="21" spans="2:17" ht="16.5" customHeight="1">
      <c r="B21" s="18" t="s">
        <v>44</v>
      </c>
      <c r="C21" s="4"/>
      <c r="D21" s="108">
        <v>3.7450325540348195</v>
      </c>
      <c r="E21" s="108">
        <v>26.46395477405561</v>
      </c>
      <c r="F21" s="108"/>
      <c r="G21" s="108">
        <v>6.897536715524611</v>
      </c>
      <c r="H21" s="108">
        <v>39.323166898305885</v>
      </c>
      <c r="I21" s="108"/>
      <c r="J21" s="108">
        <v>4.9259717488825965</v>
      </c>
      <c r="K21" s="108">
        <v>35.24462037885279</v>
      </c>
      <c r="L21" s="108"/>
      <c r="M21" s="108">
        <v>5.339752333994946</v>
      </c>
      <c r="N21" s="108">
        <v>33.12030833087824</v>
      </c>
      <c r="O21" s="70"/>
      <c r="P21" s="70">
        <v>5.247867228665028</v>
      </c>
      <c r="Q21" s="70">
        <v>33.19734880577273</v>
      </c>
    </row>
    <row r="22" spans="2:17" ht="16.5" customHeight="1">
      <c r="B22" s="18" t="s">
        <v>45</v>
      </c>
      <c r="C22" s="4"/>
      <c r="D22" s="108">
        <v>6.694722585535932</v>
      </c>
      <c r="E22" s="108">
        <v>34.0238375532516</v>
      </c>
      <c r="F22" s="108"/>
      <c r="G22" s="108">
        <v>7.030248422713301</v>
      </c>
      <c r="H22" s="108">
        <v>36.54808054735203</v>
      </c>
      <c r="I22" s="108"/>
      <c r="J22" s="108">
        <v>4.812931071435783</v>
      </c>
      <c r="K22" s="108">
        <v>32.64155988575004</v>
      </c>
      <c r="L22" s="108"/>
      <c r="M22" s="108">
        <v>5.0709306770137434</v>
      </c>
      <c r="N22" s="108">
        <v>31.553962554987763</v>
      </c>
      <c r="O22" s="70"/>
      <c r="P22" s="70">
        <v>5.553997313930028</v>
      </c>
      <c r="Q22" s="70">
        <v>32.75497693070491</v>
      </c>
    </row>
    <row r="23" spans="2:17" ht="16.5" customHeight="1">
      <c r="B23" s="18" t="s">
        <v>158</v>
      </c>
      <c r="C23" s="4"/>
      <c r="D23" s="108">
        <v>4.501815121158846</v>
      </c>
      <c r="E23" s="108">
        <v>24.660869291611114</v>
      </c>
      <c r="F23" s="108"/>
      <c r="G23" s="108">
        <v>3.657300115874855</v>
      </c>
      <c r="H23" s="108">
        <v>23.557358053302433</v>
      </c>
      <c r="I23" s="108"/>
      <c r="J23" s="108">
        <v>2.3516222153633874</v>
      </c>
      <c r="K23" s="108">
        <v>17.170337152090635</v>
      </c>
      <c r="L23" s="108"/>
      <c r="M23" s="108">
        <v>3.74365650822329</v>
      </c>
      <c r="N23" s="108">
        <v>27.249780800807713</v>
      </c>
      <c r="O23" s="70"/>
      <c r="P23" s="70">
        <v>3.622909111019299</v>
      </c>
      <c r="Q23" s="70">
        <v>25.455323648630923</v>
      </c>
    </row>
    <row r="24" spans="2:17" ht="16.5" customHeight="1">
      <c r="B24" s="18" t="s">
        <v>47</v>
      </c>
      <c r="C24" s="4"/>
      <c r="D24" s="108">
        <v>2.985803926441134</v>
      </c>
      <c r="E24" s="108">
        <v>24.850127401066434</v>
      </c>
      <c r="F24" s="108"/>
      <c r="G24" s="108">
        <v>5.263631639620348</v>
      </c>
      <c r="H24" s="108">
        <v>33.08190096885443</v>
      </c>
      <c r="I24" s="108"/>
      <c r="J24" s="108">
        <v>4.155680445027662</v>
      </c>
      <c r="K24" s="108">
        <v>32.40856332633615</v>
      </c>
      <c r="L24" s="108"/>
      <c r="M24" s="108">
        <v>6.363840212007579</v>
      </c>
      <c r="N24" s="108">
        <v>40.70392412071121</v>
      </c>
      <c r="O24" s="70"/>
      <c r="P24" s="70">
        <v>5.019589385251365</v>
      </c>
      <c r="Q24" s="70">
        <v>34.47899159305164</v>
      </c>
    </row>
    <row r="25" spans="2:17" ht="16.5" customHeight="1">
      <c r="B25" s="18" t="s">
        <v>48</v>
      </c>
      <c r="C25" s="4"/>
      <c r="D25" s="108">
        <v>4.154816694045409</v>
      </c>
      <c r="E25" s="108">
        <v>23.356102801539567</v>
      </c>
      <c r="F25" s="108"/>
      <c r="G25" s="108">
        <v>2.8542061856729606</v>
      </c>
      <c r="H25" s="108">
        <v>33.43631846307718</v>
      </c>
      <c r="I25" s="108"/>
      <c r="J25" s="108">
        <v>10.752099894552702</v>
      </c>
      <c r="K25" s="108">
        <v>43.69873170479109</v>
      </c>
      <c r="L25" s="108"/>
      <c r="M25" s="108">
        <v>10.207277181289905</v>
      </c>
      <c r="N25" s="108">
        <v>45.25277629097291</v>
      </c>
      <c r="O25" s="70"/>
      <c r="P25" s="70">
        <v>9.446402605379326</v>
      </c>
      <c r="Q25" s="70">
        <v>42.863196357401435</v>
      </c>
    </row>
    <row r="26" spans="2:17" ht="16.5" customHeight="1">
      <c r="B26" s="18" t="s">
        <v>49</v>
      </c>
      <c r="C26" s="4"/>
      <c r="D26" s="108">
        <v>4.9792026569068435</v>
      </c>
      <c r="E26" s="108">
        <v>26.887250104294356</v>
      </c>
      <c r="F26" s="108"/>
      <c r="G26" s="108">
        <v>6.325399042782131</v>
      </c>
      <c r="H26" s="108">
        <v>32.537530672939994</v>
      </c>
      <c r="I26" s="108"/>
      <c r="J26" s="108">
        <v>5.652188554406495</v>
      </c>
      <c r="K26" s="108">
        <v>34.73753438564585</v>
      </c>
      <c r="L26" s="108"/>
      <c r="M26" s="108">
        <v>9.295722274054247</v>
      </c>
      <c r="N26" s="108">
        <v>39.49762554589988</v>
      </c>
      <c r="O26" s="70"/>
      <c r="P26" s="70">
        <v>7.666687505319582</v>
      </c>
      <c r="Q26" s="70">
        <v>35.93867445048361</v>
      </c>
    </row>
    <row r="27" spans="2:17" ht="16.5" customHeight="1">
      <c r="B27" s="18" t="s">
        <v>50</v>
      </c>
      <c r="C27" s="4"/>
      <c r="D27" s="108">
        <v>1.8920086482360141</v>
      </c>
      <c r="E27" s="108">
        <v>18.602594412801803</v>
      </c>
      <c r="F27" s="108"/>
      <c r="G27" s="108">
        <v>1.3456620781250692</v>
      </c>
      <c r="H27" s="108">
        <v>14.795795637239472</v>
      </c>
      <c r="I27" s="108"/>
      <c r="J27" s="108">
        <v>2.3341875216842705</v>
      </c>
      <c r="K27" s="108">
        <v>20.384099879722108</v>
      </c>
      <c r="L27" s="108"/>
      <c r="M27" s="108">
        <v>3.5988703198049556</v>
      </c>
      <c r="N27" s="108">
        <v>28.14985324477904</v>
      </c>
      <c r="O27" s="70"/>
      <c r="P27" s="70">
        <v>2.6784094867479187</v>
      </c>
      <c r="Q27" s="70">
        <v>22.688344274853648</v>
      </c>
    </row>
    <row r="28" spans="2:17" ht="16.5" customHeight="1">
      <c r="B28" s="18" t="s">
        <v>51</v>
      </c>
      <c r="C28" s="4"/>
      <c r="D28" s="108">
        <v>10.667076268602052</v>
      </c>
      <c r="E28" s="108">
        <v>37.56178344040458</v>
      </c>
      <c r="F28" s="108"/>
      <c r="G28" s="108">
        <v>4.817050621946823</v>
      </c>
      <c r="H28" s="108">
        <v>33.589686780869975</v>
      </c>
      <c r="I28" s="108"/>
      <c r="J28" s="108">
        <v>9.57430007491487</v>
      </c>
      <c r="K28" s="108">
        <v>49.982762542635996</v>
      </c>
      <c r="L28" s="108"/>
      <c r="M28" s="108">
        <v>6.080142907744663</v>
      </c>
      <c r="N28" s="108">
        <v>32.978522541663644</v>
      </c>
      <c r="O28" s="70"/>
      <c r="P28" s="70">
        <v>7.109827671371969</v>
      </c>
      <c r="Q28" s="70">
        <v>37.18703755932188</v>
      </c>
    </row>
    <row r="29" spans="2:17" ht="16.5" customHeight="1">
      <c r="B29" s="18" t="s">
        <v>52</v>
      </c>
      <c r="C29" s="4"/>
      <c r="D29" s="108">
        <v>6.796425923050416</v>
      </c>
      <c r="E29" s="108">
        <v>30.954681769269783</v>
      </c>
      <c r="F29" s="108"/>
      <c r="G29" s="108">
        <v>7.0267038998172096</v>
      </c>
      <c r="H29" s="108">
        <v>32.76964923974086</v>
      </c>
      <c r="I29" s="108"/>
      <c r="J29" s="108">
        <v>5.9766609031479305</v>
      </c>
      <c r="K29" s="108">
        <v>30.770579087912775</v>
      </c>
      <c r="L29" s="108"/>
      <c r="M29" s="108">
        <v>6.821474181193851</v>
      </c>
      <c r="N29" s="108">
        <v>33.259361591966055</v>
      </c>
      <c r="O29" s="70"/>
      <c r="P29" s="70">
        <v>6.710118355904585</v>
      </c>
      <c r="Q29" s="70">
        <v>32.64652634156004</v>
      </c>
    </row>
    <row r="30" spans="2:17" ht="16.5" customHeight="1">
      <c r="B30" s="18" t="s">
        <v>53</v>
      </c>
      <c r="C30" s="4"/>
      <c r="D30" s="108">
        <v>1.7485102153999759</v>
      </c>
      <c r="E30" s="108">
        <v>19.000391108392407</v>
      </c>
      <c r="F30" s="108"/>
      <c r="G30" s="108">
        <v>1.6023054386191684</v>
      </c>
      <c r="H30" s="108">
        <v>18.262802807546286</v>
      </c>
      <c r="I30" s="108"/>
      <c r="J30" s="108">
        <v>0.5871624466360671</v>
      </c>
      <c r="K30" s="108">
        <v>9.757375337358694</v>
      </c>
      <c r="L30" s="108"/>
      <c r="M30" s="108">
        <v>1.7059713004750876</v>
      </c>
      <c r="N30" s="108">
        <v>23.58830402635651</v>
      </c>
      <c r="O30" s="70"/>
      <c r="P30" s="70">
        <v>1.5083395415863872</v>
      </c>
      <c r="Q30" s="70">
        <v>19.457774736512135</v>
      </c>
    </row>
    <row r="31" spans="2:17" ht="16.5" customHeight="1">
      <c r="B31" s="18" t="s">
        <v>54</v>
      </c>
      <c r="C31" s="4"/>
      <c r="D31" s="108">
        <v>6.3104553475369745</v>
      </c>
      <c r="E31" s="108">
        <v>32.819942035044846</v>
      </c>
      <c r="F31" s="108"/>
      <c r="G31" s="108">
        <v>4.051285302850716</v>
      </c>
      <c r="H31" s="108">
        <v>32.49225350569167</v>
      </c>
      <c r="I31" s="108"/>
      <c r="J31" s="108">
        <v>3.428368573860391</v>
      </c>
      <c r="K31" s="108">
        <v>29.74501929256862</v>
      </c>
      <c r="L31" s="108"/>
      <c r="M31" s="108">
        <v>6.3140787826630795</v>
      </c>
      <c r="N31" s="108">
        <v>33.27672601538193</v>
      </c>
      <c r="O31" s="70"/>
      <c r="P31" s="70">
        <v>5.213056263087583</v>
      </c>
      <c r="Q31" s="70">
        <v>32.14830828484955</v>
      </c>
    </row>
    <row r="32" spans="2:17" ht="16.5" customHeight="1">
      <c r="B32" s="18" t="s">
        <v>55</v>
      </c>
      <c r="C32" s="4"/>
      <c r="D32" s="108">
        <v>4.197880508020819</v>
      </c>
      <c r="E32" s="108">
        <v>24.8441943086523</v>
      </c>
      <c r="F32" s="108"/>
      <c r="G32" s="108">
        <v>4.367502547706214</v>
      </c>
      <c r="H32" s="108">
        <v>25.471371517151972</v>
      </c>
      <c r="I32" s="108"/>
      <c r="J32" s="108">
        <v>9.157229700227006</v>
      </c>
      <c r="K32" s="108">
        <v>38.71259442952577</v>
      </c>
      <c r="L32" s="108"/>
      <c r="M32" s="108">
        <v>7.601752597859229</v>
      </c>
      <c r="N32" s="108">
        <v>37.41213922438796</v>
      </c>
      <c r="O32" s="70"/>
      <c r="P32" s="70">
        <v>7.323860905869109</v>
      </c>
      <c r="Q32" s="70">
        <v>35.741355753298755</v>
      </c>
    </row>
    <row r="33" spans="2:17" ht="16.5" customHeight="1">
      <c r="B33" s="18" t="s">
        <v>35</v>
      </c>
      <c r="C33" s="4"/>
      <c r="D33" s="108">
        <v>3.810382879974359</v>
      </c>
      <c r="E33" s="108">
        <v>26.74062554125952</v>
      </c>
      <c r="F33" s="108"/>
      <c r="G33" s="108">
        <v>5.5227925261463</v>
      </c>
      <c r="H33" s="108">
        <v>38.89554890242757</v>
      </c>
      <c r="I33" s="108"/>
      <c r="J33" s="108">
        <v>4.4809271980996295</v>
      </c>
      <c r="K33" s="108">
        <v>35.262600413766464</v>
      </c>
      <c r="L33" s="108"/>
      <c r="M33" s="108">
        <v>8.16064222227586</v>
      </c>
      <c r="N33" s="108">
        <v>41.917816685419275</v>
      </c>
      <c r="O33" s="70"/>
      <c r="P33" s="70">
        <v>5.983535833963981</v>
      </c>
      <c r="Q33" s="70">
        <v>37.17110171872012</v>
      </c>
    </row>
    <row r="34" spans="2:17" ht="16.5" customHeight="1">
      <c r="B34" s="18" t="s">
        <v>56</v>
      </c>
      <c r="C34" s="4"/>
      <c r="D34" s="108">
        <v>1.3207089091300057</v>
      </c>
      <c r="E34" s="108">
        <v>16.28374932198556</v>
      </c>
      <c r="F34" s="108"/>
      <c r="G34" s="108">
        <v>3.769054457334405</v>
      </c>
      <c r="H34" s="108">
        <v>31.49271975638317</v>
      </c>
      <c r="I34" s="108"/>
      <c r="J34" s="108">
        <v>3.323918724647628</v>
      </c>
      <c r="K34" s="108">
        <v>32.375405563174084</v>
      </c>
      <c r="L34" s="108"/>
      <c r="M34" s="108">
        <v>17.949016727065175</v>
      </c>
      <c r="N34" s="108">
        <v>54.11044395017059</v>
      </c>
      <c r="O34" s="70"/>
      <c r="P34" s="70">
        <v>9.401256592681955</v>
      </c>
      <c r="Q34" s="70">
        <v>38.34899033661337</v>
      </c>
    </row>
    <row r="35" spans="2:17" ht="16.5" customHeight="1">
      <c r="B35" s="18" t="s">
        <v>57</v>
      </c>
      <c r="C35" s="4"/>
      <c r="D35" s="108">
        <v>5.577714163524</v>
      </c>
      <c r="E35" s="108">
        <v>33.270384699825</v>
      </c>
      <c r="F35" s="108"/>
      <c r="G35" s="108">
        <v>8.211646105903249</v>
      </c>
      <c r="H35" s="108">
        <v>47.72674112326574</v>
      </c>
      <c r="I35" s="108"/>
      <c r="J35" s="108">
        <v>9.042294281887433</v>
      </c>
      <c r="K35" s="108">
        <v>43.58627942884645</v>
      </c>
      <c r="L35" s="108"/>
      <c r="M35" s="108">
        <v>8.678306446294267</v>
      </c>
      <c r="N35" s="108">
        <v>41.43889286374783</v>
      </c>
      <c r="O35" s="70"/>
      <c r="P35" s="70">
        <v>8.359775493527751</v>
      </c>
      <c r="Q35" s="70">
        <v>42.17708181761123</v>
      </c>
    </row>
    <row r="36" spans="2:17" ht="16.5" customHeight="1">
      <c r="B36" s="29" t="s">
        <v>58</v>
      </c>
      <c r="C36" s="4"/>
      <c r="D36" s="108">
        <v>5.108956403469216</v>
      </c>
      <c r="E36" s="108">
        <v>30.19462675786621</v>
      </c>
      <c r="F36" s="108"/>
      <c r="G36" s="108">
        <v>4.845560069209498</v>
      </c>
      <c r="H36" s="108">
        <v>32.31753359791065</v>
      </c>
      <c r="I36" s="108"/>
      <c r="J36" s="108">
        <v>8.108456116836669</v>
      </c>
      <c r="K36" s="108">
        <v>44.074648598589796</v>
      </c>
      <c r="L36" s="108"/>
      <c r="M36" s="108">
        <v>7.6512992572056415</v>
      </c>
      <c r="N36" s="108">
        <v>37.8241714675553</v>
      </c>
      <c r="O36" s="70"/>
      <c r="P36" s="70">
        <v>7.1113035970932055</v>
      </c>
      <c r="Q36" s="70">
        <v>37.49317151413603</v>
      </c>
    </row>
    <row r="37" spans="2:17" ht="16.5" customHeight="1">
      <c r="B37" s="18" t="s">
        <v>59</v>
      </c>
      <c r="C37" s="4"/>
      <c r="D37" s="108">
        <v>6.187817634848996</v>
      </c>
      <c r="E37" s="108">
        <v>33.13768026921854</v>
      </c>
      <c r="F37" s="108"/>
      <c r="G37" s="108">
        <v>7.086528404137832</v>
      </c>
      <c r="H37" s="108">
        <v>40.70879682226887</v>
      </c>
      <c r="I37" s="108"/>
      <c r="J37" s="108">
        <v>10.101093239617578</v>
      </c>
      <c r="K37" s="108">
        <v>48.407314403008215</v>
      </c>
      <c r="L37" s="108"/>
      <c r="M37" s="108">
        <v>11.470312762865133</v>
      </c>
      <c r="N37" s="108">
        <v>50.27895121541485</v>
      </c>
      <c r="O37" s="70"/>
      <c r="P37" s="70">
        <v>9.368227117041682</v>
      </c>
      <c r="Q37" s="70">
        <v>44.657856136669345</v>
      </c>
    </row>
    <row r="38" spans="2:17" ht="16.5" customHeight="1">
      <c r="B38" s="18" t="s">
        <v>60</v>
      </c>
      <c r="C38" s="4"/>
      <c r="D38" s="108">
        <v>2.997377389926594</v>
      </c>
      <c r="E38" s="108">
        <v>21.483894290853875</v>
      </c>
      <c r="F38" s="108"/>
      <c r="G38" s="108">
        <v>1.9120725750174459</v>
      </c>
      <c r="H38" s="108">
        <v>16.434054431263085</v>
      </c>
      <c r="I38" s="108"/>
      <c r="J38" s="108">
        <v>4.789501126605002</v>
      </c>
      <c r="K38" s="108">
        <v>27.867559156884738</v>
      </c>
      <c r="L38" s="108"/>
      <c r="M38" s="108">
        <v>6.010463999554117</v>
      </c>
      <c r="N38" s="108">
        <v>31.813688397152227</v>
      </c>
      <c r="O38" s="70"/>
      <c r="P38" s="70">
        <v>5.307571955964207</v>
      </c>
      <c r="Q38" s="70">
        <v>29.38330241870628</v>
      </c>
    </row>
    <row r="39" spans="2:17" ht="16.5" customHeight="1">
      <c r="B39" s="18" t="s">
        <v>61</v>
      </c>
      <c r="C39" s="4"/>
      <c r="D39" s="108">
        <v>2.5004332635320408</v>
      </c>
      <c r="E39" s="108">
        <v>18.40332043216518</v>
      </c>
      <c r="F39" s="108"/>
      <c r="G39" s="108">
        <v>5.039851589279346</v>
      </c>
      <c r="H39" s="108">
        <v>30.18767253127284</v>
      </c>
      <c r="I39" s="108"/>
      <c r="J39" s="108">
        <v>8.108601960936419</v>
      </c>
      <c r="K39" s="108">
        <v>42.988284028329886</v>
      </c>
      <c r="L39" s="108"/>
      <c r="M39" s="108">
        <v>3.6253132563424595</v>
      </c>
      <c r="N39" s="108">
        <v>24.125776653331165</v>
      </c>
      <c r="O39" s="70"/>
      <c r="P39" s="70">
        <v>4.144391436234744</v>
      </c>
      <c r="Q39" s="70">
        <v>26.160083984105317</v>
      </c>
    </row>
    <row r="40" spans="2:17" ht="16.5" customHeight="1">
      <c r="B40" s="120" t="s">
        <v>123</v>
      </c>
      <c r="C40" s="4"/>
      <c r="D40" s="108">
        <v>4.923864124717526</v>
      </c>
      <c r="E40" s="108">
        <v>28.49654999626058</v>
      </c>
      <c r="F40" s="108"/>
      <c r="G40" s="108">
        <v>5.452425744673191</v>
      </c>
      <c r="H40" s="108">
        <v>33.62567709878222</v>
      </c>
      <c r="I40" s="108"/>
      <c r="J40" s="108">
        <v>5.358673069698726</v>
      </c>
      <c r="K40" s="108">
        <v>32.7034943265887</v>
      </c>
      <c r="L40" s="108"/>
      <c r="M40" s="108">
        <v>7.174110057226804</v>
      </c>
      <c r="N40" s="108">
        <v>36.63351054032096</v>
      </c>
      <c r="O40" s="70"/>
      <c r="P40" s="70">
        <v>6.230116250396349</v>
      </c>
      <c r="Q40" s="70">
        <v>34.2318982602407</v>
      </c>
    </row>
    <row r="41" spans="2:17" ht="10.5" customHeight="1">
      <c r="B41" s="2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4"/>
      <c r="P41" s="104"/>
      <c r="Q41" s="104"/>
    </row>
    <row r="42" spans="2:17" ht="16.5" customHeight="1">
      <c r="B42" s="66" t="s">
        <v>131</v>
      </c>
      <c r="C42" s="179" t="s">
        <v>189</v>
      </c>
      <c r="D42" s="181"/>
      <c r="E42" s="181"/>
      <c r="F42" s="181"/>
      <c r="G42" s="182"/>
      <c r="H42" s="182"/>
      <c r="I42" s="182"/>
      <c r="J42" s="182"/>
      <c r="K42" s="182"/>
      <c r="L42" s="69"/>
      <c r="M42" s="69"/>
      <c r="N42" s="69"/>
      <c r="O42" s="32"/>
      <c r="P42" s="32"/>
      <c r="Q42" s="32"/>
    </row>
    <row r="43" spans="2:17" ht="16.5" customHeight="1">
      <c r="B43" s="40"/>
      <c r="D43" s="68"/>
      <c r="E43" s="68"/>
      <c r="F43" s="68"/>
      <c r="G43" s="69"/>
      <c r="H43" s="69"/>
      <c r="I43" s="69"/>
      <c r="J43" s="69"/>
      <c r="K43" s="69"/>
      <c r="L43" s="69"/>
      <c r="M43" s="69"/>
      <c r="N43" s="69"/>
      <c r="O43" s="32"/>
      <c r="P43" s="32"/>
      <c r="Q43" s="32"/>
    </row>
    <row r="44" spans="2:17" ht="16.5" customHeight="1">
      <c r="B44" s="18" t="s">
        <v>139</v>
      </c>
      <c r="C44" s="4"/>
      <c r="D44" s="116">
        <v>3.6958322680262308</v>
      </c>
      <c r="E44" s="116">
        <v>27.347873393602235</v>
      </c>
      <c r="F44" s="116"/>
      <c r="G44" s="116">
        <v>3.7711231939079837</v>
      </c>
      <c r="H44" s="116">
        <v>28.175980324798076</v>
      </c>
      <c r="I44" s="116"/>
      <c r="J44" s="116">
        <v>3.9122960361217927</v>
      </c>
      <c r="K44" s="116">
        <v>31.361848548824735</v>
      </c>
      <c r="L44" s="116"/>
      <c r="M44" s="116" t="s">
        <v>68</v>
      </c>
      <c r="N44" s="116" t="s">
        <v>68</v>
      </c>
      <c r="O44" s="116"/>
      <c r="P44" s="116" t="s">
        <v>68</v>
      </c>
      <c r="Q44" s="116" t="s">
        <v>68</v>
      </c>
    </row>
    <row r="45" spans="2:17" ht="16.5" customHeight="1">
      <c r="B45" s="18" t="s">
        <v>143</v>
      </c>
      <c r="C45" s="4"/>
      <c r="D45" s="116">
        <v>4.2</v>
      </c>
      <c r="E45" s="116">
        <v>28.6</v>
      </c>
      <c r="F45" s="116"/>
      <c r="G45" s="116">
        <v>4.3</v>
      </c>
      <c r="H45" s="116">
        <v>29</v>
      </c>
      <c r="I45" s="116"/>
      <c r="J45" s="116">
        <v>4.3</v>
      </c>
      <c r="K45" s="116">
        <v>32.3</v>
      </c>
      <c r="L45" s="116"/>
      <c r="M45" s="116" t="s">
        <v>68</v>
      </c>
      <c r="N45" s="116" t="s">
        <v>68</v>
      </c>
      <c r="O45" s="116"/>
      <c r="P45" s="116" t="s">
        <v>68</v>
      </c>
      <c r="Q45" s="116" t="s">
        <v>68</v>
      </c>
    </row>
    <row r="46" spans="2:17" ht="16.5" customHeight="1">
      <c r="B46" s="18" t="s">
        <v>155</v>
      </c>
      <c r="C46" s="4"/>
      <c r="D46" s="108">
        <v>4.743396028415189</v>
      </c>
      <c r="E46" s="108">
        <v>29.187441666368137</v>
      </c>
      <c r="F46" s="108"/>
      <c r="G46" s="108">
        <v>5.54</v>
      </c>
      <c r="H46" s="108">
        <v>34.23</v>
      </c>
      <c r="I46" s="108"/>
      <c r="J46" s="108">
        <v>5.25</v>
      </c>
      <c r="K46" s="108">
        <v>33.4</v>
      </c>
      <c r="L46" s="108"/>
      <c r="M46" s="116" t="s">
        <v>68</v>
      </c>
      <c r="N46" s="116" t="s">
        <v>68</v>
      </c>
      <c r="O46" s="70"/>
      <c r="P46" s="116" t="s">
        <v>68</v>
      </c>
      <c r="Q46" s="116" t="s">
        <v>68</v>
      </c>
    </row>
    <row r="47" spans="2:17" ht="16.5" customHeight="1">
      <c r="B47" s="18" t="s">
        <v>186</v>
      </c>
      <c r="C47" s="4"/>
      <c r="D47" s="108">
        <v>4.923864124717526</v>
      </c>
      <c r="E47" s="108">
        <v>28.49654999626058</v>
      </c>
      <c r="F47" s="108"/>
      <c r="G47" s="108">
        <v>5.452425744673191</v>
      </c>
      <c r="H47" s="108">
        <v>33.62567709878222</v>
      </c>
      <c r="I47" s="108"/>
      <c r="J47" s="108">
        <v>5.358673069698726</v>
      </c>
      <c r="K47" s="108">
        <v>32.7034943265887</v>
      </c>
      <c r="L47" s="108"/>
      <c r="M47" s="108">
        <v>7.174110057226804</v>
      </c>
      <c r="N47" s="108">
        <v>36.63351054032096</v>
      </c>
      <c r="O47" s="70"/>
      <c r="P47" s="70">
        <v>6.230116250396349</v>
      </c>
      <c r="Q47" s="70">
        <v>34.2318982602407</v>
      </c>
    </row>
    <row r="48" spans="2:17" ht="8.25" customHeight="1">
      <c r="B48" s="40"/>
      <c r="D48" s="68"/>
      <c r="E48" s="68"/>
      <c r="F48" s="68"/>
      <c r="G48" s="69"/>
      <c r="H48" s="69"/>
      <c r="I48" s="69"/>
      <c r="J48" s="69"/>
      <c r="K48" s="69"/>
      <c r="L48" s="69"/>
      <c r="M48" s="69"/>
      <c r="N48" s="69"/>
      <c r="O48" s="32"/>
      <c r="P48" s="32"/>
      <c r="Q48" s="32"/>
    </row>
    <row r="49" spans="2:17" ht="18" customHeight="1">
      <c r="B49" s="66" t="s">
        <v>131</v>
      </c>
      <c r="C49" s="179" t="s">
        <v>188</v>
      </c>
      <c r="D49" s="183"/>
      <c r="E49" s="183"/>
      <c r="F49" s="183"/>
      <c r="G49" s="184"/>
      <c r="H49" s="184"/>
      <c r="I49" s="184"/>
      <c r="J49" s="184"/>
      <c r="K49" s="184"/>
      <c r="L49" s="69"/>
      <c r="M49" s="69"/>
      <c r="N49" s="69"/>
      <c r="O49" s="32"/>
      <c r="P49" s="32"/>
      <c r="Q49" s="32"/>
    </row>
    <row r="50" spans="2:17" ht="6" customHeight="1">
      <c r="B50" s="40"/>
      <c r="D50" s="68"/>
      <c r="E50" s="68"/>
      <c r="F50" s="68"/>
      <c r="G50" s="69"/>
      <c r="H50" s="69"/>
      <c r="I50" s="69"/>
      <c r="J50" s="69"/>
      <c r="K50" s="69"/>
      <c r="L50" s="69"/>
      <c r="M50" s="69"/>
      <c r="N50" s="69"/>
      <c r="O50" s="32"/>
      <c r="P50" s="32"/>
      <c r="Q50" s="32"/>
    </row>
    <row r="51" spans="2:17" ht="15" customHeight="1">
      <c r="B51" s="18" t="s">
        <v>103</v>
      </c>
      <c r="C51" s="4"/>
      <c r="D51" s="68">
        <v>8.65</v>
      </c>
      <c r="E51" s="68">
        <v>37.38</v>
      </c>
      <c r="F51" s="68"/>
      <c r="G51" s="68" t="s">
        <v>68</v>
      </c>
      <c r="H51" s="68" t="s">
        <v>68</v>
      </c>
      <c r="I51" s="69"/>
      <c r="J51" s="68" t="s">
        <v>68</v>
      </c>
      <c r="K51" s="68" t="s">
        <v>68</v>
      </c>
      <c r="L51" s="69"/>
      <c r="M51" s="68" t="s">
        <v>68</v>
      </c>
      <c r="N51" s="68" t="s">
        <v>68</v>
      </c>
      <c r="O51" s="32"/>
      <c r="P51" s="70" t="s">
        <v>68</v>
      </c>
      <c r="Q51" s="70" t="s">
        <v>68</v>
      </c>
    </row>
    <row r="52" spans="2:17" ht="15">
      <c r="B52" s="18" t="s">
        <v>118</v>
      </c>
      <c r="C52" s="4"/>
      <c r="D52" s="68">
        <v>6.72</v>
      </c>
      <c r="E52" s="68">
        <v>33.24</v>
      </c>
      <c r="F52" s="68"/>
      <c r="G52" s="69">
        <v>11.58</v>
      </c>
      <c r="H52" s="69">
        <v>45.42</v>
      </c>
      <c r="I52" s="69"/>
      <c r="J52" s="69">
        <v>8.19</v>
      </c>
      <c r="K52" s="69">
        <v>36.57</v>
      </c>
      <c r="L52" s="69"/>
      <c r="M52" s="69">
        <v>17.57</v>
      </c>
      <c r="N52" s="69">
        <v>51.57</v>
      </c>
      <c r="O52" s="32"/>
      <c r="P52" s="32">
        <v>13.2</v>
      </c>
      <c r="Q52" s="32">
        <v>44.93</v>
      </c>
    </row>
    <row r="53" spans="2:17" ht="18">
      <c r="B53" s="18" t="s">
        <v>176</v>
      </c>
      <c r="C53" s="4"/>
      <c r="D53" s="68">
        <v>6.168810750121486</v>
      </c>
      <c r="E53" s="68">
        <v>30.514078154787647</v>
      </c>
      <c r="F53" s="68"/>
      <c r="G53" s="69">
        <v>10.161597771324372</v>
      </c>
      <c r="H53" s="69">
        <v>43.159700182346185</v>
      </c>
      <c r="I53" s="69"/>
      <c r="J53" s="69">
        <v>4.905875630317169</v>
      </c>
      <c r="K53" s="69">
        <v>30.967059339340523</v>
      </c>
      <c r="L53" s="69"/>
      <c r="M53" s="69">
        <v>15.220443272558459</v>
      </c>
      <c r="N53" s="69">
        <v>49.70577476700783</v>
      </c>
      <c r="O53" s="32"/>
      <c r="P53" s="32">
        <v>10.954556486710635</v>
      </c>
      <c r="Q53" s="32">
        <v>41.98094967211089</v>
      </c>
    </row>
    <row r="54" spans="2:17" ht="15">
      <c r="B54" s="18" t="s">
        <v>139</v>
      </c>
      <c r="C54" s="4"/>
      <c r="D54" s="68">
        <v>5.862348879964011</v>
      </c>
      <c r="E54" s="68">
        <v>31.05936472027306</v>
      </c>
      <c r="F54" s="68"/>
      <c r="G54" s="69">
        <v>8.521244854408186</v>
      </c>
      <c r="H54" s="69">
        <v>39.856305905759285</v>
      </c>
      <c r="I54" s="69"/>
      <c r="J54" s="69">
        <v>4.215685250825982</v>
      </c>
      <c r="K54" s="69">
        <v>28.701632470180453</v>
      </c>
      <c r="L54" s="69"/>
      <c r="M54" s="69">
        <v>14.485860591722147</v>
      </c>
      <c r="N54" s="69">
        <v>50.65020229637388</v>
      </c>
      <c r="O54" s="32"/>
      <c r="P54" s="32">
        <v>10.268609211242955</v>
      </c>
      <c r="Q54" s="32">
        <v>41.74871893977816</v>
      </c>
    </row>
    <row r="55" spans="2:17" ht="15">
      <c r="B55" s="18" t="s">
        <v>143</v>
      </c>
      <c r="C55" s="4"/>
      <c r="D55" s="68">
        <v>6.368282806375591</v>
      </c>
      <c r="E55" s="68">
        <v>33.75777475458491</v>
      </c>
      <c r="F55" s="68"/>
      <c r="G55" s="69">
        <v>11.309212263808433</v>
      </c>
      <c r="H55" s="69">
        <v>35.344544234257555</v>
      </c>
      <c r="I55" s="69" t="s">
        <v>142</v>
      </c>
      <c r="J55" s="69">
        <v>5.490737963217009</v>
      </c>
      <c r="K55" s="69">
        <v>28.85249815445113</v>
      </c>
      <c r="L55" s="69"/>
      <c r="M55" s="69">
        <v>18.452500255371962</v>
      </c>
      <c r="N55" s="69">
        <v>56.65323406720138</v>
      </c>
      <c r="O55" s="32"/>
      <c r="P55" s="32">
        <v>12.936862050859943</v>
      </c>
      <c r="Q55" s="32">
        <v>47.42982213004355</v>
      </c>
    </row>
    <row r="56" spans="2:17" ht="15">
      <c r="B56" s="18" t="s">
        <v>155</v>
      </c>
      <c r="C56" s="4"/>
      <c r="D56" s="105">
        <v>6</v>
      </c>
      <c r="E56" s="105">
        <v>34</v>
      </c>
      <c r="F56" s="105"/>
      <c r="G56" s="106">
        <v>10</v>
      </c>
      <c r="H56" s="106">
        <v>46</v>
      </c>
      <c r="I56" s="106"/>
      <c r="J56" s="106">
        <v>6</v>
      </c>
      <c r="K56" s="106">
        <v>36</v>
      </c>
      <c r="L56" s="106"/>
      <c r="M56" s="106">
        <v>16</v>
      </c>
      <c r="N56" s="106">
        <v>53</v>
      </c>
      <c r="O56" s="107"/>
      <c r="P56" s="107">
        <v>12</v>
      </c>
      <c r="Q56" s="107">
        <v>46</v>
      </c>
    </row>
    <row r="57" spans="1:17" ht="8.25" customHeight="1" thickBot="1">
      <c r="A57" s="30"/>
      <c r="B57" s="109"/>
      <c r="C57" s="30"/>
      <c r="D57" s="110"/>
      <c r="E57" s="110"/>
      <c r="F57" s="110"/>
      <c r="G57" s="111"/>
      <c r="H57" s="111"/>
      <c r="I57" s="111"/>
      <c r="J57" s="111"/>
      <c r="K57" s="111"/>
      <c r="L57" s="111"/>
      <c r="M57" s="111"/>
      <c r="N57" s="111"/>
      <c r="O57" s="112"/>
      <c r="P57" s="112"/>
      <c r="Q57" s="112"/>
    </row>
    <row r="58" spans="1:17" ht="15.75" customHeight="1">
      <c r="A58" s="38"/>
      <c r="B58" s="1" t="s">
        <v>161</v>
      </c>
      <c r="C58" s="38"/>
      <c r="D58" s="185"/>
      <c r="E58" s="185"/>
      <c r="F58" s="185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</row>
    <row r="59" spans="2:5" ht="12.75" customHeight="1">
      <c r="B59" s="190" t="s">
        <v>124</v>
      </c>
      <c r="C59" s="1" t="s">
        <v>157</v>
      </c>
      <c r="D59" s="74"/>
      <c r="E59" s="74"/>
    </row>
    <row r="60" spans="2:5" ht="12.75" customHeight="1">
      <c r="B60" s="117"/>
      <c r="C60" s="1" t="s">
        <v>178</v>
      </c>
      <c r="D60" s="74"/>
      <c r="E60" s="74"/>
    </row>
    <row r="61" spans="2:5" ht="12.75" customHeight="1">
      <c r="B61" s="117"/>
      <c r="C61" s="187" t="s">
        <v>177</v>
      </c>
      <c r="D61" s="74"/>
      <c r="E61" s="74"/>
    </row>
    <row r="62" spans="2:3" ht="12.75">
      <c r="B62" s="190" t="s">
        <v>127</v>
      </c>
      <c r="C62" s="1" t="s">
        <v>190</v>
      </c>
    </row>
    <row r="63" ht="12.75">
      <c r="C63" s="1" t="s">
        <v>191</v>
      </c>
    </row>
    <row r="64" ht="12.75">
      <c r="C64" s="1" t="s">
        <v>192</v>
      </c>
    </row>
    <row r="65" spans="2:3" ht="12.75">
      <c r="B65" s="117"/>
      <c r="C65" s="1" t="s">
        <v>193</v>
      </c>
    </row>
    <row r="66" spans="2:3" ht="14.25" customHeight="1">
      <c r="B66" s="190" t="s">
        <v>150</v>
      </c>
      <c r="C66" s="71" t="s">
        <v>125</v>
      </c>
    </row>
    <row r="67" spans="2:3" ht="13.5" customHeight="1">
      <c r="B67" s="117"/>
      <c r="C67" s="71" t="s">
        <v>174</v>
      </c>
    </row>
    <row r="68" ht="12.75">
      <c r="C68" s="1" t="s">
        <v>175</v>
      </c>
    </row>
    <row r="69" spans="2:3" ht="12.75">
      <c r="B69" s="190" t="s">
        <v>152</v>
      </c>
      <c r="C69" s="1" t="s">
        <v>128</v>
      </c>
    </row>
    <row r="70" spans="2:3" ht="12.75">
      <c r="B70" s="1" t="s">
        <v>194</v>
      </c>
      <c r="C70" s="1" t="s">
        <v>159</v>
      </c>
    </row>
    <row r="71" ht="12.75">
      <c r="C71" s="1" t="s">
        <v>140</v>
      </c>
    </row>
  </sheetData>
  <hyperlinks>
    <hyperlink ref="C61" r:id="rId1" tooltip="http://scots.sharepoint.apptix.net/srmcs/General%20Publications/SCANNER%20RCI%20Explanatory%20Notes.pdf" display="http://scots.sharepoint.apptix.net/srmcs/General Publications/SCANNER RCI Explanatory Notes.pdf"/>
  </hyperlinks>
  <printOptions/>
  <pageMargins left="0.7480314960629921" right="0.7480314960629921" top="0.7874015748031497" bottom="0.7874015748031497" header="0.31496062992125984" footer="0.5118110236220472"/>
  <pageSetup fitToHeight="1" fitToWidth="1" horizontalDpi="300" verticalDpi="300" orientation="portrait" paperSize="9" scale="67" r:id="rId2"/>
  <headerFooter alignWithMargins="0">
    <oddHeader>&amp;R&amp;"Arial,Bold"&amp;12ROAD NETWORK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road lengths by class etc</dc:title>
  <dc:subject/>
  <dc:creator>Frank Dixon</dc:creator>
  <cp:keywords/>
  <dc:description/>
  <cp:lastModifiedBy>u031953</cp:lastModifiedBy>
  <cp:lastPrinted>2009-12-09T11:40:19Z</cp:lastPrinted>
  <dcterms:created xsi:type="dcterms:W3CDTF">1998-12-23T10:42:03Z</dcterms:created>
  <dcterms:modified xsi:type="dcterms:W3CDTF">2009-12-10T09:45:43Z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B3472738</vt:lpwstr>
  </property>
  <property fmtid="{D5CDD505-2E9C-101B-9397-08002B2CF9AE}" pid="3" name="Objective-Comment">
    <vt:lpwstr/>
  </property>
  <property fmtid="{D5CDD505-2E9C-101B-9397-08002B2CF9AE}" pid="4" name="Objective-CreationStamp">
    <vt:filetime>2009-12-08T00:00:00Z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2009-12-09T00:00:00Z</vt:filetime>
  </property>
  <property fmtid="{D5CDD505-2E9C-101B-9397-08002B2CF9AE}" pid="8" name="Objective-ModificationStamp">
    <vt:filetime>2009-12-09T00:00:00Z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 2009: Research and Analysis: Transport: 2009 -:</vt:lpwstr>
  </property>
  <property fmtid="{D5CDD505-2E9C-101B-9397-08002B2CF9AE}" pid="11" name="Objective-Parent">
    <vt:lpwstr>Transport Statistics: Scottish Transport Statistics 2009: Research and Analysis: Transport: 2009 -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chapter05</vt:lpwstr>
  </property>
  <property fmtid="{D5CDD505-2E9C-101B-9397-08002B2CF9AE}" pid="14" name="Objective-Version">
    <vt:lpwstr>5.0</vt:lpwstr>
  </property>
  <property fmtid="{D5CDD505-2E9C-101B-9397-08002B2CF9AE}" pid="15" name="Objective-VersionComment">
    <vt:lpwstr/>
  </property>
  <property fmtid="{D5CDD505-2E9C-101B-9397-08002B2CF9AE}" pid="16" name="Objective-VersionNumber">
    <vt:i4>6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