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60" yWindow="75" windowWidth="17400" windowHeight="7605" firstSheet="1" activeTab="1"/>
  </bookViews>
  <sheets>
    <sheet name="pop" sheetId="24" state="hidden" r:id="rId1"/>
    <sheet name="Contents" sheetId="36" r:id="rId2"/>
    <sheet name="Tool" sheetId="34" r:id="rId3"/>
    <sheet name="L" sheetId="35" r:id="rId4"/>
    <sheet name="S1 Numbers" sheetId="1" r:id="rId5"/>
    <sheet name="S2 Index" sheetId="2" r:id="rId6"/>
    <sheet name="S3 SHS" sheetId="28" r:id="rId7"/>
    <sheet name="S4 Cross Border" sheetId="25" r:id="rId8"/>
    <sheet name="SGB1" sheetId="29" r:id="rId9"/>
    <sheet name="SGB2 index" sheetId="6" r:id="rId10"/>
    <sheet name="SGB3 rel. to pop." sheetId="7" r:id="rId11"/>
    <sheet name="H1 passenger" sheetId="8" r:id="rId12"/>
    <sheet name="H2 a freight tonnes" sheetId="9" r:id="rId13"/>
    <sheet name="H2 b freight tonne km" sheetId="10" r:id="rId14"/>
    <sheet name="H3 traffic" sheetId="11" r:id="rId15"/>
    <sheet name="H4 other" sheetId="12" r:id="rId16"/>
    <sheet name="Figs1,2" sheetId="19" r:id="rId17"/>
    <sheet name="Figs 3,4" sheetId="20" r:id="rId18"/>
    <sheet name="Figs 5,6" sheetId="21" r:id="rId19"/>
    <sheet name="Figs 7, 8, 9" sheetId="22" r:id="rId20"/>
    <sheet name="Figs 10,11" sheetId="23" r:id="rId21"/>
    <sheet name="cross border - additional table" sheetId="26" r:id="rId22"/>
  </sheets>
  <externalReferences>
    <externalReference r:id="rId23"/>
  </externalReferences>
  <definedNames>
    <definedName name="compnum" localSheetId="6">#REF!</definedName>
    <definedName name="compnum" localSheetId="7">'[1]Table SGB1 comp num'!#REF!</definedName>
    <definedName name="compnum">#REF!</definedName>
    <definedName name="Dynamic">OFFSET(OFFSET(Tool!$D$12,0,3-COUNT(Tool!$D$12:$F$12),1,1),0,0,1,COUNT(Tool!$D$12:$N$12))</definedName>
    <definedName name="Dynamic2">OFFSET(OFFSET(Tool!$D$14,0,3-COUNT(Tool!$D$14:$F$14),1,1),0,0,1,COUNT(Tool!$D$14:$N$14))</definedName>
    <definedName name="Dynamic3">OFFSET(OFFSET(Tool!$D$16,0,3-COUNT(Tool!$D$16:$F$16),1,1),0,0,1,COUNT(Tool!$D$16:$N$16))</definedName>
    <definedName name="DynamicDate">Tool!$I$47</definedName>
    <definedName name="KEYA" localSheetId="6">#REF!</definedName>
    <definedName name="KEYA">#REF!</definedName>
    <definedName name="One">L!$R$2:$R$4</definedName>
    <definedName name="_xlnm.Print_Area" localSheetId="21">'cross border - additional table'!$A$1:$S$94</definedName>
    <definedName name="_xlnm.Print_Area" localSheetId="20">'Figs 10,11'!$A$1:$R$65</definedName>
    <definedName name="_xlnm.Print_Area" localSheetId="17" xml:space="preserve">                     'Figs 3,4'!$A$1:$Q$85</definedName>
    <definedName name="_xlnm.Print_Area" localSheetId="18" xml:space="preserve">     'Figs 5,6'!$A$1:$S$105</definedName>
    <definedName name="_xlnm.Print_Area" localSheetId="19">'Figs 7, 8, 9'!$A$1:$G$57</definedName>
    <definedName name="_xlnm.Print_Area" localSheetId="16">'Figs1,2'!$A$1:$Q$91</definedName>
    <definedName name="_xlnm.Print_Area" localSheetId="11">'H1 passenger'!$A$1:$O$80</definedName>
    <definedName name="_xlnm.Print_Area" localSheetId="12">'H2 a freight tonnes'!$A$1:$R$83</definedName>
    <definedName name="_xlnm.Print_Area" localSheetId="13">'H2 b freight tonne km'!$A$1:$G$84</definedName>
    <definedName name="_xlnm.Print_Area" localSheetId="14">'H3 traffic'!$A$1:$M$65</definedName>
    <definedName name="_xlnm.Print_Area" localSheetId="15">'H4 other'!$A$1:$I$73</definedName>
    <definedName name="_xlnm.Print_Area" localSheetId="4">'S1 Numbers'!$A$1:$O$81</definedName>
    <definedName name="_xlnm.Print_Area" localSheetId="5">'S2 Index'!$A$1:$O$76</definedName>
    <definedName name="_xlnm.Print_Area" localSheetId="6">'S3 SHS'!$A$1:$T$107</definedName>
    <definedName name="_xlnm.Print_Area" localSheetId="7">'S4 Cross Border'!$A$1:$O$78</definedName>
    <definedName name="_xlnm.Print_Area" localSheetId="8">'SGB1'!$A$1:$AB$76</definedName>
    <definedName name="_xlnm.Print_Area" localSheetId="9">'SGB2 index'!$A$1:$AB$68</definedName>
    <definedName name="_xlnm.Print_Area" localSheetId="10">'SGB3 rel. to pop.'!$A$2:$P$59</definedName>
    <definedName name="_xlnm.Print_Area" localSheetId="2">Tool!$A$1:$R$47</definedName>
    <definedName name="Select">IF(L!$A$9=1,'S1 Numbers'!$A$3:$A$61,IF(L!$A$9=2,'S2 Index'!$A$3:$A$60,IF(L!$A$9=3,'S3 SHS'!$B$4:$B$102,IF(L!$A$9=4,'S4 Cross Border'!$A$3:$A$66,IF(L!$A$9=5,'SGB1'!$A$3:$A$64,IF(L!$A$9=6,'SGB2 index'!$A$4:$A$59,'SGB3 rel. to pop.'!$A$4:$A$54))))))</definedName>
    <definedName name="Select2">IF(L!$A$9=1,'S1 Numbers'!$A$3:$O$3,IF(L!$A$9=2,'S2 Index'!$A$3:$O$3,IF(L!$A$9=3,'S3 SHS'!$B$4:$T$4,IF(L!$A$9=4,'S4 Cross Border'!$A$3:$O$3,IF(L!$A$9=5,'SGB1'!$A$3:$AB$3,IF(L!$A$9=6,'SGB2 index'!$A$4:$AB$4,'SGB3 rel. to pop.'!$A$4:$P$4))))))</definedName>
    <definedName name="Three">L!$R$18:$R$24</definedName>
    <definedName name="Topic">IF(L!$A$9=1,L!$G$2:$G$10,IF(L!$A$9=3,L!$G$11:$G$20,IF(L!$A$9=2,L!$G$2:$G$10,IF(L!$A$9=4,L!$G$21:$G$30,L!$G$31:$G$40))))</definedName>
    <definedName name="Topic2">IF(L!$A$9=1,L!$C$2:$D$10,IF(L!$A$9=3,L!$C$11:$D$20,IF(L!$A$9=2,L!$C$2:$D$10,IF(L!$A$9=4,L!$C$21:$D$30,L!$C$31:$D$40))))</definedName>
    <definedName name="Topic3">IF(L!$A$9=1,L!$D$2:$F$10,IF(L!$A$9=3,L!$D$11:$F$20,IF(L!$A$9=2,L!$D$2:$F$10,IF(L!$A$9=4,L!$D$21:$F$30,L!$D$31:$F$40))))</definedName>
    <definedName name="Two">L!$R$10:$R$12</definedName>
    <definedName name="Variable">VLOOKUP(L!$D$54,L!$D$2:$E$30,2)</definedName>
  </definedNames>
  <calcPr calcId="145621"/>
</workbook>
</file>

<file path=xl/calcChain.xml><?xml version="1.0" encoding="utf-8"?>
<calcChain xmlns="http://schemas.openxmlformats.org/spreadsheetml/2006/main">
  <c r="O47" i="7" l="1"/>
  <c r="P47" i="7"/>
  <c r="AA47" i="6"/>
  <c r="AB47" i="6"/>
  <c r="L24" i="1" l="1"/>
  <c r="M24" i="1"/>
  <c r="T61" i="26"/>
  <c r="T60" i="26"/>
  <c r="T57" i="26"/>
  <c r="T52" i="26"/>
  <c r="J64" i="9" l="1"/>
  <c r="J65" i="9"/>
  <c r="AB52" i="29"/>
  <c r="Q67" i="9"/>
  <c r="O67" i="9"/>
  <c r="M67" i="9" l="1"/>
  <c r="T45" i="26"/>
  <c r="T46" i="26"/>
  <c r="T42" i="26"/>
  <c r="T37" i="26"/>
  <c r="AB46" i="29"/>
  <c r="D44" i="7" l="1"/>
  <c r="E44" i="7"/>
  <c r="F44" i="7"/>
  <c r="G44" i="7"/>
  <c r="H44" i="7"/>
  <c r="I44" i="7"/>
  <c r="J44" i="7"/>
  <c r="K44" i="7"/>
  <c r="L44" i="7"/>
  <c r="M44" i="7"/>
  <c r="N44" i="7"/>
  <c r="O44" i="7"/>
  <c r="P44" i="7"/>
  <c r="O14" i="2" l="1"/>
  <c r="AB14" i="29" l="1"/>
  <c r="R36" i="28" l="1"/>
  <c r="S36" i="28"/>
  <c r="T36" i="28"/>
  <c r="AB6" i="29" l="1"/>
  <c r="F126" i="20"/>
  <c r="D126" i="20"/>
  <c r="AB25" i="29" l="1"/>
  <c r="AB22" i="29"/>
  <c r="AB19" i="29"/>
  <c r="P16" i="7" s="1"/>
  <c r="N8" i="25" l="1"/>
  <c r="S10" i="26"/>
  <c r="Y46" i="29" l="1"/>
  <c r="Z46" i="29"/>
  <c r="AA46" i="29"/>
  <c r="Q42" i="26"/>
  <c r="R42" i="26"/>
  <c r="S42" i="26"/>
  <c r="Q45" i="26"/>
  <c r="R45" i="26"/>
  <c r="S45" i="26"/>
  <c r="Q46" i="26"/>
  <c r="R46" i="26"/>
  <c r="S46" i="26"/>
  <c r="Q37" i="26"/>
  <c r="R37" i="26"/>
  <c r="S37" i="26"/>
  <c r="N109" i="23" l="1"/>
  <c r="L108" i="23"/>
  <c r="K109" i="23"/>
  <c r="J109" i="23"/>
  <c r="E109" i="23"/>
  <c r="C109" i="23"/>
  <c r="N79" i="22"/>
  <c r="N80" i="22"/>
  <c r="N70" i="22"/>
  <c r="N71" i="22"/>
  <c r="AB29" i="29"/>
  <c r="AB41" i="29"/>
  <c r="U147" i="21" l="1"/>
  <c r="P147" i="21"/>
  <c r="Q147" i="21"/>
  <c r="N146" i="21"/>
  <c r="L147" i="21"/>
  <c r="H147" i="21"/>
  <c r="I147" i="21"/>
  <c r="G146" i="21"/>
  <c r="E147" i="21"/>
  <c r="E146" i="21"/>
  <c r="I126" i="20"/>
  <c r="M126" i="20"/>
  <c r="C126" i="20"/>
  <c r="L126" i="20" s="1"/>
  <c r="E132" i="19"/>
  <c r="C132" i="19"/>
  <c r="A132" i="19"/>
  <c r="G63" i="12" l="1"/>
  <c r="H63" i="12"/>
  <c r="I63" i="12"/>
  <c r="I64" i="11"/>
  <c r="J64" i="11"/>
  <c r="K64" i="11"/>
  <c r="M64" i="9"/>
  <c r="M65" i="9"/>
  <c r="M66" i="9"/>
  <c r="N65" i="8"/>
  <c r="M64" i="8"/>
  <c r="K65" i="8"/>
  <c r="L65" i="8"/>
  <c r="P49" i="7"/>
  <c r="P50" i="7"/>
  <c r="P43" i="7"/>
  <c r="P38" i="7"/>
  <c r="N72" i="22" s="1"/>
  <c r="N81" i="22" s="1"/>
  <c r="P39" i="7"/>
  <c r="N73" i="22" s="1"/>
  <c r="N82" i="22" s="1"/>
  <c r="O35" i="7"/>
  <c r="P30" i="7"/>
  <c r="N68" i="22" s="1"/>
  <c r="P31" i="7"/>
  <c r="N69" i="22" s="1"/>
  <c r="P26" i="7"/>
  <c r="P27" i="7"/>
  <c r="P17" i="7"/>
  <c r="P19" i="7"/>
  <c r="P20" i="7"/>
  <c r="P22" i="7"/>
  <c r="P23" i="7"/>
  <c r="P11" i="7"/>
  <c r="P12" i="7"/>
  <c r="P7" i="7"/>
  <c r="N62" i="22" s="1"/>
  <c r="P8" i="7"/>
  <c r="N63" i="22" s="1"/>
  <c r="R53" i="6"/>
  <c r="S53" i="6"/>
  <c r="T53" i="6"/>
  <c r="U53" i="6"/>
  <c r="V53" i="6"/>
  <c r="W53" i="6"/>
  <c r="X53" i="6"/>
  <c r="Y53" i="6"/>
  <c r="Z53" i="6"/>
  <c r="R50" i="6"/>
  <c r="S50" i="6"/>
  <c r="T50" i="6"/>
  <c r="U50" i="6"/>
  <c r="V50" i="6"/>
  <c r="W50" i="6"/>
  <c r="X50" i="6"/>
  <c r="Y50" i="6"/>
  <c r="Z50" i="6"/>
  <c r="AA50" i="6"/>
  <c r="AB50" i="6"/>
  <c r="R47" i="6"/>
  <c r="S47" i="6"/>
  <c r="T47" i="6"/>
  <c r="U47" i="6"/>
  <c r="V47" i="6"/>
  <c r="W47" i="6"/>
  <c r="X47" i="6"/>
  <c r="Y47" i="6"/>
  <c r="Z47" i="6"/>
  <c r="R44" i="6"/>
  <c r="S44" i="6"/>
  <c r="T44" i="6"/>
  <c r="U44" i="6"/>
  <c r="V44" i="6"/>
  <c r="W44" i="6"/>
  <c r="X44" i="6"/>
  <c r="Y44" i="6"/>
  <c r="Z44" i="6"/>
  <c r="AA44" i="6"/>
  <c r="AB44" i="6"/>
  <c r="R39" i="6"/>
  <c r="S39" i="6"/>
  <c r="T39" i="6"/>
  <c r="U39" i="6"/>
  <c r="V39" i="6"/>
  <c r="W39" i="6"/>
  <c r="X39" i="6"/>
  <c r="Y39" i="6"/>
  <c r="Z39" i="6"/>
  <c r="AA39" i="6"/>
  <c r="AB39" i="6"/>
  <c r="R35" i="6"/>
  <c r="S35" i="6"/>
  <c r="T35" i="6"/>
  <c r="U35" i="6"/>
  <c r="V35" i="6"/>
  <c r="W35" i="6"/>
  <c r="X35" i="6"/>
  <c r="Y35" i="6"/>
  <c r="Z35" i="6"/>
  <c r="AA35" i="6"/>
  <c r="R31" i="6"/>
  <c r="S31" i="6"/>
  <c r="T31" i="6"/>
  <c r="U31" i="6"/>
  <c r="V31" i="6"/>
  <c r="W31" i="6"/>
  <c r="X31" i="6"/>
  <c r="Y31" i="6"/>
  <c r="Z31" i="6"/>
  <c r="AA31" i="6"/>
  <c r="AB31" i="6"/>
  <c r="R27" i="6"/>
  <c r="S27" i="6"/>
  <c r="T27" i="6"/>
  <c r="U27" i="6"/>
  <c r="V27" i="6"/>
  <c r="W27" i="6"/>
  <c r="X27" i="6"/>
  <c r="Y27" i="6"/>
  <c r="Z27" i="6"/>
  <c r="AA27" i="6"/>
  <c r="AB27" i="6"/>
  <c r="R23" i="6"/>
  <c r="S23" i="6"/>
  <c r="T23" i="6"/>
  <c r="U23" i="6"/>
  <c r="V23" i="6"/>
  <c r="W23" i="6"/>
  <c r="X23" i="6"/>
  <c r="Y23" i="6"/>
  <c r="Z23" i="6"/>
  <c r="AA23" i="6"/>
  <c r="AB23" i="6"/>
  <c r="R20" i="6"/>
  <c r="S20" i="6"/>
  <c r="T20" i="6"/>
  <c r="U20" i="6"/>
  <c r="V20" i="6"/>
  <c r="W20" i="6"/>
  <c r="X20" i="6"/>
  <c r="Y20" i="6"/>
  <c r="Z20" i="6"/>
  <c r="AA20" i="6"/>
  <c r="AB20" i="6"/>
  <c r="R17" i="6"/>
  <c r="S17" i="6"/>
  <c r="T17" i="6"/>
  <c r="U17" i="6"/>
  <c r="V17" i="6"/>
  <c r="W17" i="6"/>
  <c r="X17" i="6"/>
  <c r="Y17" i="6"/>
  <c r="Z17" i="6"/>
  <c r="AA17" i="6"/>
  <c r="AB17" i="6"/>
  <c r="R12" i="6"/>
  <c r="S12" i="6"/>
  <c r="T12" i="6"/>
  <c r="U12" i="6"/>
  <c r="V12" i="6"/>
  <c r="W12" i="6"/>
  <c r="X12" i="6"/>
  <c r="Y12" i="6"/>
  <c r="Z12" i="6"/>
  <c r="AA12" i="6"/>
  <c r="AB12" i="6"/>
  <c r="AB8" i="6"/>
  <c r="AA8" i="6"/>
  <c r="Z8" i="6"/>
  <c r="Y8" i="6"/>
  <c r="X8" i="6"/>
  <c r="W8" i="6"/>
  <c r="V8" i="6"/>
  <c r="U8" i="6"/>
  <c r="T8" i="6"/>
  <c r="S8" i="6"/>
  <c r="R8" i="6"/>
  <c r="T94" i="26"/>
  <c r="T78" i="26"/>
  <c r="T79" i="26"/>
  <c r="T80" i="26"/>
  <c r="T81" i="26"/>
  <c r="T72" i="26"/>
  <c r="O29" i="25" s="1"/>
  <c r="S60" i="26"/>
  <c r="S61" i="26"/>
  <c r="S57" i="26"/>
  <c r="S52" i="26"/>
  <c r="T31" i="26"/>
  <c r="T29" i="26"/>
  <c r="T20" i="26"/>
  <c r="T22" i="26" s="1"/>
  <c r="O9" i="25"/>
  <c r="O10" i="25"/>
  <c r="O15" i="25"/>
  <c r="O19" i="25"/>
  <c r="O27" i="25"/>
  <c r="O28" i="25"/>
  <c r="O33" i="25"/>
  <c r="O34" i="25"/>
  <c r="O45" i="25"/>
  <c r="O46" i="25"/>
  <c r="O47" i="25"/>
  <c r="O51" i="25"/>
  <c r="O52" i="25"/>
  <c r="O53" i="25"/>
  <c r="O59" i="2"/>
  <c r="N59" i="2"/>
  <c r="M59" i="2"/>
  <c r="L59" i="2"/>
  <c r="K59" i="2"/>
  <c r="J59" i="2"/>
  <c r="I59" i="2"/>
  <c r="H59" i="2"/>
  <c r="G59" i="2"/>
  <c r="F59" i="2"/>
  <c r="E59" i="2"/>
  <c r="O58" i="2"/>
  <c r="N58" i="2"/>
  <c r="M58" i="2"/>
  <c r="L58" i="2"/>
  <c r="K58" i="2"/>
  <c r="J58" i="2"/>
  <c r="I58" i="2"/>
  <c r="H58" i="2"/>
  <c r="G58" i="2"/>
  <c r="F58" i="2"/>
  <c r="E58" i="2"/>
  <c r="O56" i="2"/>
  <c r="N56" i="2"/>
  <c r="M56" i="2"/>
  <c r="L56" i="2"/>
  <c r="K56" i="2"/>
  <c r="J56" i="2"/>
  <c r="I56" i="2"/>
  <c r="H56" i="2"/>
  <c r="G56" i="2"/>
  <c r="F56" i="2"/>
  <c r="E56" i="2"/>
  <c r="O55" i="2"/>
  <c r="N55" i="2"/>
  <c r="M55" i="2"/>
  <c r="L55" i="2"/>
  <c r="K55" i="2"/>
  <c r="J55" i="2"/>
  <c r="I55" i="2"/>
  <c r="H55" i="2"/>
  <c r="G55" i="2"/>
  <c r="F55" i="2"/>
  <c r="E55" i="2"/>
  <c r="O52" i="2"/>
  <c r="N52" i="2"/>
  <c r="M52" i="2"/>
  <c r="L52" i="2"/>
  <c r="K52" i="2"/>
  <c r="J52" i="2"/>
  <c r="I52" i="2"/>
  <c r="H52" i="2"/>
  <c r="G52" i="2"/>
  <c r="F52" i="2"/>
  <c r="E52" i="2"/>
  <c r="O50" i="2"/>
  <c r="N50" i="2"/>
  <c r="M50" i="2"/>
  <c r="L50" i="2"/>
  <c r="K50" i="2"/>
  <c r="J50" i="2"/>
  <c r="I50" i="2"/>
  <c r="H50" i="2"/>
  <c r="G50" i="2"/>
  <c r="F50" i="2"/>
  <c r="E50" i="2"/>
  <c r="O49" i="2"/>
  <c r="N49" i="2"/>
  <c r="M49" i="2"/>
  <c r="L49" i="2"/>
  <c r="K49" i="2"/>
  <c r="J49" i="2"/>
  <c r="I49" i="2"/>
  <c r="H49" i="2"/>
  <c r="G49" i="2"/>
  <c r="F49" i="2"/>
  <c r="E49" i="2"/>
  <c r="O46" i="2"/>
  <c r="N46" i="2"/>
  <c r="M46" i="2"/>
  <c r="L46" i="2"/>
  <c r="K46" i="2"/>
  <c r="J46" i="2"/>
  <c r="I46" i="2"/>
  <c r="H46" i="2"/>
  <c r="G46" i="2"/>
  <c r="F46" i="2"/>
  <c r="E46" i="2"/>
  <c r="O45" i="2"/>
  <c r="N45" i="2"/>
  <c r="M45" i="2"/>
  <c r="L45" i="2"/>
  <c r="K45" i="2"/>
  <c r="J45" i="2"/>
  <c r="I45" i="2"/>
  <c r="H45" i="2"/>
  <c r="G45" i="2"/>
  <c r="F45" i="2"/>
  <c r="E45" i="2"/>
  <c r="O42" i="2"/>
  <c r="N42" i="2"/>
  <c r="M42" i="2"/>
  <c r="L42" i="2"/>
  <c r="K42" i="2"/>
  <c r="J42" i="2"/>
  <c r="I42" i="2"/>
  <c r="H42" i="2"/>
  <c r="G42" i="2"/>
  <c r="F42" i="2"/>
  <c r="E42" i="2"/>
  <c r="O39" i="2"/>
  <c r="N39" i="2"/>
  <c r="M39" i="2"/>
  <c r="L39" i="2"/>
  <c r="K39" i="2"/>
  <c r="J39" i="2"/>
  <c r="I39" i="2"/>
  <c r="H39" i="2"/>
  <c r="G39" i="2"/>
  <c r="F39" i="2"/>
  <c r="E39" i="2"/>
  <c r="O38" i="2"/>
  <c r="N38" i="2"/>
  <c r="M38" i="2"/>
  <c r="L38" i="2"/>
  <c r="K38" i="2"/>
  <c r="J38" i="2"/>
  <c r="I38" i="2"/>
  <c r="H38" i="2"/>
  <c r="G38" i="2"/>
  <c r="F38" i="2"/>
  <c r="E38" i="2"/>
  <c r="O37" i="2"/>
  <c r="N37" i="2"/>
  <c r="M37" i="2"/>
  <c r="L37" i="2"/>
  <c r="K37" i="2"/>
  <c r="J37" i="2"/>
  <c r="I37" i="2"/>
  <c r="H37" i="2"/>
  <c r="G37" i="2"/>
  <c r="F37" i="2"/>
  <c r="E37" i="2"/>
  <c r="O34" i="2"/>
  <c r="N34" i="2"/>
  <c r="M34" i="2"/>
  <c r="L34" i="2"/>
  <c r="K34" i="2"/>
  <c r="J34" i="2"/>
  <c r="I34" i="2"/>
  <c r="H34" i="2"/>
  <c r="G34" i="2"/>
  <c r="F34" i="2"/>
  <c r="E34" i="2"/>
  <c r="O33" i="2"/>
  <c r="N33" i="2"/>
  <c r="M33" i="2"/>
  <c r="L33" i="2"/>
  <c r="K33" i="2"/>
  <c r="J33" i="2"/>
  <c r="I33" i="2"/>
  <c r="H33" i="2"/>
  <c r="G33" i="2"/>
  <c r="F33" i="2"/>
  <c r="E33" i="2"/>
  <c r="O32" i="2"/>
  <c r="N32" i="2"/>
  <c r="M32" i="2"/>
  <c r="L32" i="2"/>
  <c r="K32" i="2"/>
  <c r="J32" i="2"/>
  <c r="I32" i="2"/>
  <c r="H32" i="2"/>
  <c r="G32" i="2"/>
  <c r="F32" i="2"/>
  <c r="E32" i="2"/>
  <c r="O29" i="2"/>
  <c r="N29" i="2"/>
  <c r="M29" i="2"/>
  <c r="L29" i="2"/>
  <c r="K29" i="2"/>
  <c r="J29" i="2"/>
  <c r="I29" i="2"/>
  <c r="H29" i="2"/>
  <c r="G29" i="2"/>
  <c r="F29" i="2"/>
  <c r="E29" i="2"/>
  <c r="O28" i="2"/>
  <c r="N28" i="2"/>
  <c r="M28" i="2"/>
  <c r="L28" i="2"/>
  <c r="K28" i="2"/>
  <c r="J28" i="2"/>
  <c r="I28" i="2"/>
  <c r="H28" i="2"/>
  <c r="G28" i="2"/>
  <c r="F28" i="2"/>
  <c r="E28" i="2"/>
  <c r="O27" i="2"/>
  <c r="N27" i="2"/>
  <c r="M27" i="2"/>
  <c r="L27" i="2"/>
  <c r="K27" i="2"/>
  <c r="J27" i="2"/>
  <c r="I27" i="2"/>
  <c r="H27" i="2"/>
  <c r="G27" i="2"/>
  <c r="F27" i="2"/>
  <c r="E27" i="2"/>
  <c r="O26" i="2"/>
  <c r="N26" i="2"/>
  <c r="M26" i="2"/>
  <c r="L26" i="2"/>
  <c r="K26" i="2"/>
  <c r="J26" i="2"/>
  <c r="I26" i="2"/>
  <c r="H26" i="2"/>
  <c r="G26" i="2"/>
  <c r="F26" i="2"/>
  <c r="E26" i="2"/>
  <c r="E18" i="2"/>
  <c r="F18" i="2"/>
  <c r="G18" i="2"/>
  <c r="H18" i="2"/>
  <c r="I18" i="2"/>
  <c r="J18" i="2"/>
  <c r="K18" i="2"/>
  <c r="L18" i="2"/>
  <c r="M18" i="2"/>
  <c r="N18" i="2"/>
  <c r="O18" i="2"/>
  <c r="E19" i="2"/>
  <c r="F19" i="2"/>
  <c r="G19" i="2"/>
  <c r="H19" i="2"/>
  <c r="I19" i="2"/>
  <c r="J19" i="2"/>
  <c r="K19" i="2"/>
  <c r="L19" i="2"/>
  <c r="M19" i="2"/>
  <c r="N19" i="2"/>
  <c r="O19" i="2"/>
  <c r="E20" i="2"/>
  <c r="F20" i="2"/>
  <c r="G20" i="2"/>
  <c r="H20" i="2"/>
  <c r="I20" i="2"/>
  <c r="J20" i="2"/>
  <c r="K20" i="2"/>
  <c r="L20" i="2"/>
  <c r="M20" i="2"/>
  <c r="N20" i="2"/>
  <c r="O20" i="2"/>
  <c r="E21" i="2"/>
  <c r="F21" i="2"/>
  <c r="G21" i="2"/>
  <c r="H21" i="2"/>
  <c r="I21" i="2"/>
  <c r="J21" i="2"/>
  <c r="K21" i="2"/>
  <c r="L21" i="2"/>
  <c r="M21" i="2"/>
  <c r="N21" i="2"/>
  <c r="O21" i="2"/>
  <c r="E22" i="2"/>
  <c r="F22" i="2"/>
  <c r="G22" i="2"/>
  <c r="H22" i="2"/>
  <c r="I22" i="2"/>
  <c r="J22" i="2"/>
  <c r="K22" i="2"/>
  <c r="L22" i="2"/>
  <c r="M22" i="2"/>
  <c r="N22" i="2"/>
  <c r="O22" i="2"/>
  <c r="O17" i="2"/>
  <c r="F17" i="2"/>
  <c r="G17" i="2"/>
  <c r="H17" i="2"/>
  <c r="I17" i="2"/>
  <c r="J17" i="2"/>
  <c r="K17" i="2"/>
  <c r="L17" i="2"/>
  <c r="M17" i="2"/>
  <c r="N17" i="2"/>
  <c r="E17" i="2"/>
  <c r="O11" i="2"/>
  <c r="O12" i="2"/>
  <c r="E7" i="2"/>
  <c r="F7" i="2"/>
  <c r="G7" i="2"/>
  <c r="H7" i="2"/>
  <c r="I7" i="2"/>
  <c r="J7" i="2"/>
  <c r="K7" i="2"/>
  <c r="L7" i="2"/>
  <c r="M7" i="2"/>
  <c r="N7" i="2"/>
  <c r="O7" i="2"/>
  <c r="E8" i="2"/>
  <c r="F8" i="2"/>
  <c r="G8" i="2"/>
  <c r="H8" i="2"/>
  <c r="I8" i="2"/>
  <c r="J8" i="2"/>
  <c r="K8" i="2"/>
  <c r="L8" i="2"/>
  <c r="M8" i="2"/>
  <c r="N8" i="2"/>
  <c r="O8" i="2"/>
  <c r="F6" i="2"/>
  <c r="G6" i="2"/>
  <c r="H6" i="2"/>
  <c r="I6" i="2"/>
  <c r="J6" i="2"/>
  <c r="K6" i="2"/>
  <c r="L6" i="2"/>
  <c r="M6" i="2"/>
  <c r="N6" i="2"/>
  <c r="O6" i="2"/>
  <c r="E6" i="2"/>
  <c r="O58" i="25" l="1"/>
  <c r="O40" i="25"/>
  <c r="O64" i="25" s="1"/>
  <c r="T82" i="26"/>
  <c r="O35" i="25" s="1"/>
  <c r="O41" i="25" s="1"/>
  <c r="T89" i="26"/>
  <c r="O39" i="25"/>
  <c r="O57" i="25"/>
  <c r="O63" i="25" s="1"/>
  <c r="O59" i="25"/>
  <c r="O54" i="25"/>
  <c r="O21" i="25"/>
  <c r="O11" i="25"/>
  <c r="O48" i="25"/>
  <c r="O14" i="25"/>
  <c r="O16" i="25" s="1"/>
  <c r="O30" i="25"/>
  <c r="C45" i="34"/>
  <c r="T93" i="26" l="1"/>
  <c r="T90" i="26"/>
  <c r="O36" i="25"/>
  <c r="O42" i="25" s="1"/>
  <c r="O60" i="25"/>
  <c r="O65" i="25"/>
  <c r="O20" i="25"/>
  <c r="O22" i="25" s="1"/>
  <c r="K29" i="35"/>
  <c r="O66" i="25" l="1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D8" i="6"/>
  <c r="E8" i="6"/>
  <c r="F8" i="6"/>
  <c r="G8" i="6"/>
  <c r="H8" i="6"/>
  <c r="I8" i="6"/>
  <c r="J8" i="6"/>
  <c r="K8" i="6"/>
  <c r="L8" i="6"/>
  <c r="M8" i="6"/>
  <c r="N8" i="6"/>
  <c r="O8" i="6"/>
  <c r="P8" i="6"/>
  <c r="D11" i="34"/>
  <c r="C46" i="35"/>
  <c r="D46" i="35" s="1"/>
  <c r="D54" i="35"/>
  <c r="M8" i="35" s="1"/>
  <c r="B54" i="35"/>
  <c r="B47" i="35"/>
  <c r="L64" i="8"/>
  <c r="D47" i="7"/>
  <c r="D50" i="7"/>
  <c r="D53" i="7"/>
  <c r="D35" i="7"/>
  <c r="D39" i="7"/>
  <c r="B73" i="22" s="1"/>
  <c r="B82" i="22" s="1"/>
  <c r="D31" i="7"/>
  <c r="D8" i="7"/>
  <c r="D12" i="7"/>
  <c r="D17" i="7"/>
  <c r="D20" i="7"/>
  <c r="D23" i="7"/>
  <c r="D27" i="7"/>
  <c r="E53" i="7"/>
  <c r="F53" i="7"/>
  <c r="G53" i="7"/>
  <c r="H53" i="7"/>
  <c r="I53" i="7"/>
  <c r="J53" i="7"/>
  <c r="K53" i="7"/>
  <c r="L53" i="7"/>
  <c r="M53" i="7"/>
  <c r="N53" i="7"/>
  <c r="E50" i="7"/>
  <c r="F50" i="7"/>
  <c r="G50" i="7"/>
  <c r="H50" i="7"/>
  <c r="I50" i="7"/>
  <c r="J50" i="7"/>
  <c r="K50" i="7"/>
  <c r="L50" i="7"/>
  <c r="M50" i="7"/>
  <c r="N50" i="7"/>
  <c r="O50" i="7"/>
  <c r="E47" i="7"/>
  <c r="F47" i="7"/>
  <c r="G47" i="7"/>
  <c r="H47" i="7"/>
  <c r="I47" i="7"/>
  <c r="J47" i="7"/>
  <c r="K47" i="7"/>
  <c r="L47" i="7"/>
  <c r="M47" i="7"/>
  <c r="N47" i="7"/>
  <c r="F39" i="7"/>
  <c r="D73" i="22" s="1"/>
  <c r="D82" i="22" s="1"/>
  <c r="G39" i="7"/>
  <c r="E73" i="22" s="1"/>
  <c r="E82" i="22" s="1"/>
  <c r="H39" i="7"/>
  <c r="I39" i="7"/>
  <c r="J39" i="7"/>
  <c r="H73" i="22" s="1"/>
  <c r="H82" i="22" s="1"/>
  <c r="K39" i="7"/>
  <c r="L39" i="7"/>
  <c r="M39" i="7"/>
  <c r="N39" i="7"/>
  <c r="L73" i="22" s="1"/>
  <c r="L82" i="22" s="1"/>
  <c r="O39" i="7"/>
  <c r="M73" i="22" s="1"/>
  <c r="M82" i="22" s="1"/>
  <c r="E39" i="7"/>
  <c r="E35" i="7"/>
  <c r="F35" i="7"/>
  <c r="G35" i="7"/>
  <c r="H35" i="7"/>
  <c r="I35" i="7"/>
  <c r="J35" i="7"/>
  <c r="K35" i="7"/>
  <c r="I71" i="22" s="1"/>
  <c r="I80" i="22" s="1"/>
  <c r="L35" i="7"/>
  <c r="M35" i="7"/>
  <c r="N35" i="7"/>
  <c r="L71" i="22" s="1"/>
  <c r="L80" i="22" s="1"/>
  <c r="E31" i="7"/>
  <c r="F31" i="7"/>
  <c r="G31" i="7"/>
  <c r="H31" i="7"/>
  <c r="I31" i="7"/>
  <c r="J31" i="7"/>
  <c r="K31" i="7"/>
  <c r="L31" i="7"/>
  <c r="M31" i="7"/>
  <c r="K69" i="22" s="1"/>
  <c r="N31" i="7"/>
  <c r="O31" i="7"/>
  <c r="M69" i="22"/>
  <c r="E27" i="7"/>
  <c r="F27" i="7"/>
  <c r="G27" i="7"/>
  <c r="H27" i="7"/>
  <c r="I27" i="7"/>
  <c r="J27" i="7"/>
  <c r="K27" i="7"/>
  <c r="L27" i="7"/>
  <c r="M27" i="7"/>
  <c r="N27" i="7"/>
  <c r="O27" i="7"/>
  <c r="E23" i="7"/>
  <c r="F23" i="7"/>
  <c r="G23" i="7"/>
  <c r="H23" i="7"/>
  <c r="I23" i="7"/>
  <c r="J23" i="7"/>
  <c r="K23" i="7"/>
  <c r="L23" i="7"/>
  <c r="M23" i="7"/>
  <c r="N23" i="7"/>
  <c r="O23" i="7"/>
  <c r="E20" i="7"/>
  <c r="F20" i="7"/>
  <c r="G20" i="7"/>
  <c r="H20" i="7"/>
  <c r="I20" i="7"/>
  <c r="J20" i="7"/>
  <c r="K20" i="7"/>
  <c r="L20" i="7"/>
  <c r="M20" i="7"/>
  <c r="N20" i="7"/>
  <c r="O20" i="7"/>
  <c r="E17" i="7"/>
  <c r="F17" i="7"/>
  <c r="G17" i="7"/>
  <c r="H17" i="7"/>
  <c r="I17" i="7"/>
  <c r="J17" i="7"/>
  <c r="K17" i="7"/>
  <c r="L17" i="7"/>
  <c r="M17" i="7"/>
  <c r="N17" i="7"/>
  <c r="O17" i="7"/>
  <c r="E12" i="7"/>
  <c r="F12" i="7"/>
  <c r="G12" i="7"/>
  <c r="H12" i="7"/>
  <c r="I12" i="7"/>
  <c r="J12" i="7"/>
  <c r="K12" i="7"/>
  <c r="L12" i="7"/>
  <c r="M12" i="7"/>
  <c r="N12" i="7"/>
  <c r="O12" i="7"/>
  <c r="F8" i="7"/>
  <c r="D63" i="22" s="1"/>
  <c r="G8" i="7"/>
  <c r="E63" i="22" s="1"/>
  <c r="H8" i="7"/>
  <c r="I8" i="7"/>
  <c r="G63" i="22" s="1"/>
  <c r="J8" i="7"/>
  <c r="H63" i="22" s="1"/>
  <c r="K8" i="7"/>
  <c r="I63" i="22" s="1"/>
  <c r="L8" i="7"/>
  <c r="M8" i="7"/>
  <c r="N8" i="7"/>
  <c r="L63" i="22" s="1"/>
  <c r="O8" i="7"/>
  <c r="M63" i="22" s="1"/>
  <c r="E8" i="7"/>
  <c r="S94" i="26"/>
  <c r="S78" i="26"/>
  <c r="S79" i="26"/>
  <c r="S82" i="26"/>
  <c r="N35" i="25"/>
  <c r="S80" i="26"/>
  <c r="S81" i="26"/>
  <c r="S72" i="26"/>
  <c r="S89" i="26"/>
  <c r="AA49" i="29"/>
  <c r="Q53" i="6"/>
  <c r="Q50" i="6"/>
  <c r="Q47" i="6"/>
  <c r="Q44" i="6"/>
  <c r="Q39" i="6"/>
  <c r="Q35" i="6"/>
  <c r="O30" i="7"/>
  <c r="M68" i="22" s="1"/>
  <c r="Q27" i="6"/>
  <c r="Q23" i="6"/>
  <c r="Q20" i="6"/>
  <c r="Q17" i="6"/>
  <c r="Q12" i="6"/>
  <c r="Q8" i="6"/>
  <c r="Z55" i="29"/>
  <c r="Y55" i="29"/>
  <c r="X55" i="29"/>
  <c r="W55" i="29"/>
  <c r="V55" i="29"/>
  <c r="U55" i="29"/>
  <c r="T55" i="29"/>
  <c r="T52" i="6" s="1"/>
  <c r="S55" i="29"/>
  <c r="R55" i="29"/>
  <c r="Q55" i="29"/>
  <c r="D52" i="6" s="1"/>
  <c r="P55" i="29"/>
  <c r="D52" i="7" s="1"/>
  <c r="AA52" i="29"/>
  <c r="Z52" i="29"/>
  <c r="Y52" i="29"/>
  <c r="Y49" i="6" s="1"/>
  <c r="X52" i="29"/>
  <c r="W52" i="29"/>
  <c r="V52" i="29"/>
  <c r="U52" i="29"/>
  <c r="U49" i="6" s="1"/>
  <c r="T52" i="29"/>
  <c r="S52" i="29"/>
  <c r="R52" i="29"/>
  <c r="Q52" i="29"/>
  <c r="F49" i="6" s="1"/>
  <c r="P52" i="29"/>
  <c r="D49" i="7" s="1"/>
  <c r="Z49" i="29"/>
  <c r="Y49" i="29"/>
  <c r="X49" i="29"/>
  <c r="W49" i="29"/>
  <c r="V49" i="29"/>
  <c r="U49" i="29"/>
  <c r="T49" i="29"/>
  <c r="S49" i="29"/>
  <c r="R49" i="29"/>
  <c r="Q49" i="29"/>
  <c r="D46" i="6" s="1"/>
  <c r="P49" i="29"/>
  <c r="X46" i="29"/>
  <c r="X43" i="6" s="1"/>
  <c r="W46" i="29"/>
  <c r="V46" i="29"/>
  <c r="U46" i="29"/>
  <c r="T46" i="29"/>
  <c r="T43" i="6" s="1"/>
  <c r="S46" i="29"/>
  <c r="R46" i="29"/>
  <c r="Q46" i="29"/>
  <c r="F43" i="6" s="1"/>
  <c r="P46" i="29"/>
  <c r="AA41" i="29"/>
  <c r="AA38" i="6" s="1"/>
  <c r="Z41" i="29"/>
  <c r="Y41" i="29"/>
  <c r="X41" i="29"/>
  <c r="W41" i="29"/>
  <c r="V41" i="29"/>
  <c r="U41" i="29"/>
  <c r="T41" i="29"/>
  <c r="S41" i="29"/>
  <c r="R41" i="29"/>
  <c r="Q41" i="29"/>
  <c r="D38" i="6" s="1"/>
  <c r="P41" i="29"/>
  <c r="D38" i="7" s="1"/>
  <c r="B72" i="22" s="1"/>
  <c r="B81" i="22" s="1"/>
  <c r="AA37" i="29"/>
  <c r="Z37" i="29"/>
  <c r="Y37" i="29"/>
  <c r="X37" i="29"/>
  <c r="X34" i="6" s="1"/>
  <c r="W37" i="29"/>
  <c r="W34" i="6" s="1"/>
  <c r="V37" i="29"/>
  <c r="U37" i="29"/>
  <c r="T37" i="29"/>
  <c r="T34" i="6" s="1"/>
  <c r="S37" i="29"/>
  <c r="S34" i="6" s="1"/>
  <c r="R37" i="29"/>
  <c r="Q37" i="29"/>
  <c r="P37" i="29"/>
  <c r="D34" i="7" s="1"/>
  <c r="B70" i="22" s="1"/>
  <c r="B79" i="22" s="1"/>
  <c r="M30" i="7"/>
  <c r="K68" i="22" s="1"/>
  <c r="L30" i="7"/>
  <c r="J68" i="22" s="1"/>
  <c r="K30" i="7"/>
  <c r="I68" i="22" s="1"/>
  <c r="J30" i="7"/>
  <c r="H68" i="22" s="1"/>
  <c r="I30" i="7"/>
  <c r="G68" i="22" s="1"/>
  <c r="H30" i="7"/>
  <c r="F68" i="22" s="1"/>
  <c r="G30" i="7"/>
  <c r="E68" i="22" s="1"/>
  <c r="Q33" i="29"/>
  <c r="E30" i="7" s="1"/>
  <c r="C68" i="22" s="1"/>
  <c r="P33" i="29"/>
  <c r="AA29" i="29"/>
  <c r="AA26" i="6" s="1"/>
  <c r="Z29" i="29"/>
  <c r="Y29" i="29"/>
  <c r="X29" i="29"/>
  <c r="W29" i="29"/>
  <c r="W26" i="6" s="1"/>
  <c r="V29" i="29"/>
  <c r="U29" i="29"/>
  <c r="T29" i="29"/>
  <c r="S29" i="29"/>
  <c r="S26" i="6" s="1"/>
  <c r="R29" i="29"/>
  <c r="Q29" i="29"/>
  <c r="P29" i="29"/>
  <c r="D26" i="7" s="1"/>
  <c r="AA25" i="29"/>
  <c r="AA22" i="6" s="1"/>
  <c r="Z25" i="29"/>
  <c r="Y25" i="29"/>
  <c r="X25" i="29"/>
  <c r="W25" i="29"/>
  <c r="W22" i="6" s="1"/>
  <c r="V25" i="29"/>
  <c r="U25" i="29"/>
  <c r="T25" i="29"/>
  <c r="S25" i="29"/>
  <c r="S22" i="6" s="1"/>
  <c r="R25" i="29"/>
  <c r="Q25" i="29"/>
  <c r="D22" i="6" s="1"/>
  <c r="P25" i="29"/>
  <c r="AA22" i="29"/>
  <c r="AA19" i="6" s="1"/>
  <c r="Z22" i="29"/>
  <c r="Y22" i="29"/>
  <c r="X22" i="29"/>
  <c r="W22" i="29"/>
  <c r="W19" i="6" s="1"/>
  <c r="V22" i="29"/>
  <c r="U22" i="29"/>
  <c r="T22" i="29"/>
  <c r="S22" i="29"/>
  <c r="S19" i="6" s="1"/>
  <c r="R22" i="29"/>
  <c r="Q22" i="29"/>
  <c r="P22" i="29"/>
  <c r="D19" i="7" s="1"/>
  <c r="AA19" i="29"/>
  <c r="Z19" i="29"/>
  <c r="Y19" i="29"/>
  <c r="X19" i="29"/>
  <c r="W19" i="29"/>
  <c r="V19" i="29"/>
  <c r="U19" i="29"/>
  <c r="T19" i="29"/>
  <c r="S19" i="29"/>
  <c r="R19" i="29"/>
  <c r="Q19" i="29"/>
  <c r="P19" i="29"/>
  <c r="D16" i="7" s="1"/>
  <c r="AA14" i="29"/>
  <c r="Z14" i="29"/>
  <c r="Y14" i="29"/>
  <c r="X14" i="29"/>
  <c r="W14" i="29"/>
  <c r="V14" i="29"/>
  <c r="U14" i="29"/>
  <c r="T14" i="29"/>
  <c r="S14" i="29"/>
  <c r="R14" i="29"/>
  <c r="Q14" i="29"/>
  <c r="E11" i="7" s="1"/>
  <c r="P14" i="29"/>
  <c r="AA6" i="29"/>
  <c r="Z6" i="29"/>
  <c r="Y6" i="29"/>
  <c r="X6" i="29"/>
  <c r="W6" i="29"/>
  <c r="V6" i="29"/>
  <c r="U6" i="29"/>
  <c r="T6" i="29"/>
  <c r="S6" i="29"/>
  <c r="R6" i="29"/>
  <c r="Q6" i="29"/>
  <c r="E7" i="7" s="1"/>
  <c r="C62" i="22" s="1"/>
  <c r="P6" i="29"/>
  <c r="D7" i="7" s="1"/>
  <c r="B62" i="22" s="1"/>
  <c r="C107" i="23"/>
  <c r="C108" i="23"/>
  <c r="U125" i="21"/>
  <c r="U126" i="21"/>
  <c r="U127" i="21"/>
  <c r="U128" i="21"/>
  <c r="U129" i="21"/>
  <c r="U130" i="21"/>
  <c r="U131" i="21"/>
  <c r="U132" i="21"/>
  <c r="U133" i="21"/>
  <c r="U134" i="21"/>
  <c r="U135" i="21"/>
  <c r="U136" i="21"/>
  <c r="U137" i="21"/>
  <c r="U138" i="21"/>
  <c r="U139" i="21"/>
  <c r="U140" i="21"/>
  <c r="U141" i="21"/>
  <c r="U142" i="21"/>
  <c r="U143" i="21"/>
  <c r="U144" i="21"/>
  <c r="U145" i="21"/>
  <c r="U146" i="21"/>
  <c r="Q66" i="9"/>
  <c r="O66" i="9"/>
  <c r="N65" i="9"/>
  <c r="R52" i="26"/>
  <c r="R57" i="26"/>
  <c r="R60" i="26"/>
  <c r="R61" i="26"/>
  <c r="M28" i="25"/>
  <c r="N14" i="2"/>
  <c r="H14" i="2"/>
  <c r="I14" i="2"/>
  <c r="J14" i="2"/>
  <c r="K14" i="2"/>
  <c r="L14" i="2"/>
  <c r="M14" i="2"/>
  <c r="G14" i="2"/>
  <c r="F11" i="2"/>
  <c r="G11" i="2"/>
  <c r="H11" i="2"/>
  <c r="I11" i="2"/>
  <c r="J11" i="2"/>
  <c r="K11" i="2"/>
  <c r="L11" i="2"/>
  <c r="M11" i="2"/>
  <c r="N11" i="2"/>
  <c r="F12" i="2"/>
  <c r="G12" i="2"/>
  <c r="H12" i="2"/>
  <c r="I12" i="2"/>
  <c r="J12" i="2"/>
  <c r="K12" i="2"/>
  <c r="L12" i="2"/>
  <c r="M12" i="2"/>
  <c r="N12" i="2"/>
  <c r="E12" i="2"/>
  <c r="E11" i="2"/>
  <c r="N145" i="21"/>
  <c r="G145" i="21"/>
  <c r="P146" i="21"/>
  <c r="P145" i="21"/>
  <c r="P144" i="21"/>
  <c r="P143" i="21"/>
  <c r="P142" i="21"/>
  <c r="P141" i="21"/>
  <c r="P140" i="21"/>
  <c r="P139" i="21"/>
  <c r="P138" i="21"/>
  <c r="P137" i="21"/>
  <c r="P136" i="21"/>
  <c r="N29" i="25"/>
  <c r="N27" i="25"/>
  <c r="N28" i="25"/>
  <c r="M63" i="8"/>
  <c r="L15" i="25"/>
  <c r="M8" i="25"/>
  <c r="Q31" i="26"/>
  <c r="R31" i="26"/>
  <c r="S31" i="26"/>
  <c r="S29" i="26"/>
  <c r="S20" i="26"/>
  <c r="S22" i="26"/>
  <c r="R10" i="26"/>
  <c r="D46" i="2"/>
  <c r="R43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S26" i="28"/>
  <c r="R26" i="28"/>
  <c r="H26" i="28"/>
  <c r="G26" i="28"/>
  <c r="F26" i="28"/>
  <c r="E26" i="28"/>
  <c r="I146" i="21"/>
  <c r="M125" i="20"/>
  <c r="I125" i="20"/>
  <c r="F125" i="20"/>
  <c r="D125" i="20"/>
  <c r="K64" i="8"/>
  <c r="Q146" i="21"/>
  <c r="H146" i="21"/>
  <c r="E131" i="19"/>
  <c r="C131" i="19"/>
  <c r="N64" i="8"/>
  <c r="D8" i="25"/>
  <c r="E8" i="25"/>
  <c r="E11" i="25" s="1"/>
  <c r="F8" i="25"/>
  <c r="F19" i="25"/>
  <c r="G8" i="25"/>
  <c r="H8" i="25"/>
  <c r="H19" i="25" s="1"/>
  <c r="I8" i="25"/>
  <c r="J8" i="25"/>
  <c r="K8" i="25"/>
  <c r="L8" i="25"/>
  <c r="L19" i="25"/>
  <c r="C8" i="25"/>
  <c r="N108" i="23"/>
  <c r="K108" i="23"/>
  <c r="J108" i="23"/>
  <c r="E108" i="23"/>
  <c r="E107" i="23"/>
  <c r="M71" i="22"/>
  <c r="M80" i="22" s="1"/>
  <c r="L146" i="21"/>
  <c r="C125" i="20"/>
  <c r="L125" i="20" s="1"/>
  <c r="A131" i="19"/>
  <c r="I62" i="12"/>
  <c r="H62" i="12"/>
  <c r="G62" i="12"/>
  <c r="Q65" i="9"/>
  <c r="O65" i="9"/>
  <c r="K63" i="11"/>
  <c r="J63" i="11"/>
  <c r="I63" i="11"/>
  <c r="N9" i="25"/>
  <c r="N10" i="25"/>
  <c r="N14" i="25"/>
  <c r="N15" i="25"/>
  <c r="N16" i="25" s="1"/>
  <c r="N19" i="25"/>
  <c r="N33" i="25"/>
  <c r="N39" i="25" s="1"/>
  <c r="N34" i="25"/>
  <c r="N45" i="25"/>
  <c r="N46" i="25"/>
  <c r="N47" i="25"/>
  <c r="N51" i="25"/>
  <c r="N52" i="25"/>
  <c r="N58" i="25" s="1"/>
  <c r="N53" i="25"/>
  <c r="D59" i="2"/>
  <c r="D58" i="2"/>
  <c r="D56" i="2"/>
  <c r="D55" i="2"/>
  <c r="D52" i="2"/>
  <c r="D50" i="2"/>
  <c r="D49" i="2"/>
  <c r="D45" i="2"/>
  <c r="D42" i="2"/>
  <c r="D39" i="2"/>
  <c r="D38" i="2"/>
  <c r="D37" i="2"/>
  <c r="D34" i="2"/>
  <c r="D33" i="2"/>
  <c r="D32" i="2"/>
  <c r="D29" i="2"/>
  <c r="D28" i="2"/>
  <c r="D27" i="2"/>
  <c r="D26" i="2"/>
  <c r="D22" i="2"/>
  <c r="D21" i="2"/>
  <c r="D20" i="2"/>
  <c r="D19" i="2"/>
  <c r="D18" i="2"/>
  <c r="D17" i="2"/>
  <c r="D8" i="2"/>
  <c r="D7" i="2"/>
  <c r="D6" i="2"/>
  <c r="M47" i="25"/>
  <c r="R89" i="26"/>
  <c r="R90" i="26"/>
  <c r="R93" i="26"/>
  <c r="R94" i="26"/>
  <c r="R78" i="26"/>
  <c r="R79" i="26"/>
  <c r="R82" i="26"/>
  <c r="M35" i="25"/>
  <c r="R80" i="26"/>
  <c r="R81" i="26"/>
  <c r="R72" i="26"/>
  <c r="K43" i="8"/>
  <c r="L43" i="8"/>
  <c r="M43" i="8"/>
  <c r="N43" i="8"/>
  <c r="O43" i="8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40" i="9"/>
  <c r="D24" i="1"/>
  <c r="E24" i="1"/>
  <c r="F24" i="1"/>
  <c r="F23" i="2" s="1"/>
  <c r="G24" i="1"/>
  <c r="G23" i="2" s="1"/>
  <c r="H24" i="1"/>
  <c r="H23" i="2" s="1"/>
  <c r="I24" i="1"/>
  <c r="I23" i="2" s="1"/>
  <c r="J24" i="1"/>
  <c r="J23" i="2" s="1"/>
  <c r="K24" i="1"/>
  <c r="K23" i="2" s="1"/>
  <c r="C24" i="1"/>
  <c r="C23" i="2" s="1"/>
  <c r="C56" i="2"/>
  <c r="C58" i="2"/>
  <c r="C59" i="2"/>
  <c r="C55" i="2"/>
  <c r="L63" i="8"/>
  <c r="K53" i="8"/>
  <c r="L53" i="8"/>
  <c r="M53" i="8"/>
  <c r="N53" i="8"/>
  <c r="O53" i="8"/>
  <c r="K52" i="8"/>
  <c r="L52" i="8"/>
  <c r="M52" i="8"/>
  <c r="N52" i="8"/>
  <c r="O52" i="8"/>
  <c r="Q60" i="26"/>
  <c r="Q61" i="26"/>
  <c r="Q57" i="26"/>
  <c r="Q52" i="26"/>
  <c r="Q10" i="26"/>
  <c r="M53" i="9"/>
  <c r="N53" i="9"/>
  <c r="O53" i="9"/>
  <c r="B63" i="22"/>
  <c r="J63" i="22"/>
  <c r="M15" i="25"/>
  <c r="M21" i="25" s="1"/>
  <c r="R29" i="26"/>
  <c r="Q29" i="26"/>
  <c r="R65" i="9"/>
  <c r="N64" i="9"/>
  <c r="N63" i="9"/>
  <c r="R20" i="26"/>
  <c r="R22" i="26"/>
  <c r="M124" i="20"/>
  <c r="I124" i="20"/>
  <c r="F124" i="20"/>
  <c r="D124" i="20"/>
  <c r="E10" i="26"/>
  <c r="F10" i="26"/>
  <c r="G10" i="26"/>
  <c r="H10" i="26"/>
  <c r="I10" i="26"/>
  <c r="J10" i="26"/>
  <c r="K10" i="26"/>
  <c r="L10" i="26"/>
  <c r="M10" i="26"/>
  <c r="N10" i="26"/>
  <c r="O10" i="26"/>
  <c r="P10" i="26"/>
  <c r="E20" i="26"/>
  <c r="F20" i="26"/>
  <c r="G20" i="26"/>
  <c r="H20" i="26"/>
  <c r="I20" i="26"/>
  <c r="J20" i="26"/>
  <c r="K20" i="26"/>
  <c r="L20" i="26"/>
  <c r="M20" i="26"/>
  <c r="N20" i="26"/>
  <c r="O20" i="26"/>
  <c r="P20" i="26"/>
  <c r="Q20" i="26"/>
  <c r="E22" i="26"/>
  <c r="F22" i="26"/>
  <c r="G22" i="26"/>
  <c r="H22" i="26"/>
  <c r="I22" i="26"/>
  <c r="J22" i="26"/>
  <c r="K22" i="26"/>
  <c r="L22" i="26"/>
  <c r="M22" i="26"/>
  <c r="N22" i="26"/>
  <c r="O22" i="26"/>
  <c r="P22" i="26"/>
  <c r="Q22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E37" i="26"/>
  <c r="F37" i="26"/>
  <c r="G37" i="26"/>
  <c r="H37" i="26"/>
  <c r="I37" i="26"/>
  <c r="J37" i="26"/>
  <c r="K37" i="26"/>
  <c r="L37" i="26"/>
  <c r="M37" i="26"/>
  <c r="N37" i="26"/>
  <c r="O37" i="26"/>
  <c r="P37" i="26"/>
  <c r="E42" i="26"/>
  <c r="F42" i="26"/>
  <c r="G42" i="26"/>
  <c r="H42" i="26"/>
  <c r="I42" i="26"/>
  <c r="J42" i="26"/>
  <c r="K42" i="26"/>
  <c r="L42" i="26"/>
  <c r="M42" i="26"/>
  <c r="N42" i="26"/>
  <c r="O42" i="26"/>
  <c r="P42" i="26"/>
  <c r="E45" i="26"/>
  <c r="F45" i="26"/>
  <c r="G45" i="26"/>
  <c r="H45" i="26"/>
  <c r="I45" i="26"/>
  <c r="J45" i="26"/>
  <c r="K45" i="26"/>
  <c r="L45" i="26"/>
  <c r="M45" i="26"/>
  <c r="N45" i="26"/>
  <c r="O45" i="26"/>
  <c r="P45" i="26"/>
  <c r="E46" i="26"/>
  <c r="F46" i="26"/>
  <c r="G46" i="26"/>
  <c r="H46" i="26"/>
  <c r="I46" i="26"/>
  <c r="J46" i="26"/>
  <c r="K46" i="26"/>
  <c r="L46" i="26"/>
  <c r="M46" i="26"/>
  <c r="N46" i="26"/>
  <c r="O46" i="26"/>
  <c r="P46" i="26"/>
  <c r="E52" i="26"/>
  <c r="F52" i="26"/>
  <c r="G52" i="26"/>
  <c r="H52" i="26"/>
  <c r="I52" i="26"/>
  <c r="J52" i="26"/>
  <c r="K52" i="26"/>
  <c r="L52" i="26"/>
  <c r="M52" i="26"/>
  <c r="N52" i="26"/>
  <c r="O52" i="26"/>
  <c r="P52" i="26"/>
  <c r="E57" i="26"/>
  <c r="F57" i="26"/>
  <c r="G57" i="26"/>
  <c r="H57" i="26"/>
  <c r="I57" i="26"/>
  <c r="J57" i="26"/>
  <c r="K57" i="26"/>
  <c r="L57" i="26"/>
  <c r="M57" i="26"/>
  <c r="N57" i="26"/>
  <c r="O57" i="26"/>
  <c r="P57" i="26"/>
  <c r="E60" i="26"/>
  <c r="F60" i="26"/>
  <c r="G60" i="26"/>
  <c r="H60" i="26"/>
  <c r="I60" i="26"/>
  <c r="J60" i="26"/>
  <c r="K60" i="26"/>
  <c r="L60" i="26"/>
  <c r="M60" i="26"/>
  <c r="N60" i="26"/>
  <c r="O60" i="26"/>
  <c r="P60" i="26"/>
  <c r="E61" i="26"/>
  <c r="F61" i="26"/>
  <c r="G61" i="26"/>
  <c r="H61" i="26"/>
  <c r="I61" i="26"/>
  <c r="J61" i="26"/>
  <c r="K61" i="26"/>
  <c r="L61" i="26"/>
  <c r="M61" i="26"/>
  <c r="N61" i="26"/>
  <c r="O61" i="26"/>
  <c r="P61" i="26"/>
  <c r="E72" i="26"/>
  <c r="F72" i="26"/>
  <c r="G72" i="26"/>
  <c r="H72" i="26"/>
  <c r="I72" i="26"/>
  <c r="J72" i="26"/>
  <c r="K72" i="26"/>
  <c r="L72" i="26"/>
  <c r="M72" i="26"/>
  <c r="N72" i="26"/>
  <c r="O72" i="26"/>
  <c r="P72" i="26"/>
  <c r="Q72" i="26"/>
  <c r="E78" i="26"/>
  <c r="F78" i="26"/>
  <c r="G78" i="26"/>
  <c r="H78" i="26"/>
  <c r="I78" i="26"/>
  <c r="J78" i="26"/>
  <c r="K78" i="26"/>
  <c r="L78" i="26"/>
  <c r="M78" i="26"/>
  <c r="N78" i="26"/>
  <c r="O78" i="26"/>
  <c r="P78" i="26"/>
  <c r="Q78" i="26"/>
  <c r="E79" i="26"/>
  <c r="F79" i="26"/>
  <c r="G79" i="26"/>
  <c r="H79" i="26"/>
  <c r="I79" i="26"/>
  <c r="J79" i="26"/>
  <c r="K79" i="26"/>
  <c r="L79" i="26"/>
  <c r="M79" i="26"/>
  <c r="N79" i="26"/>
  <c r="O79" i="26"/>
  <c r="P79" i="26"/>
  <c r="Q79" i="26"/>
  <c r="E80" i="26"/>
  <c r="F80" i="26"/>
  <c r="G80" i="26"/>
  <c r="H80" i="26"/>
  <c r="I80" i="26"/>
  <c r="J80" i="26"/>
  <c r="K80" i="26"/>
  <c r="L80" i="26"/>
  <c r="M80" i="26"/>
  <c r="N80" i="26"/>
  <c r="O80" i="26"/>
  <c r="P80" i="26"/>
  <c r="Q80" i="26"/>
  <c r="E81" i="26"/>
  <c r="F81" i="26"/>
  <c r="G81" i="26"/>
  <c r="H81" i="26"/>
  <c r="I81" i="26"/>
  <c r="J81" i="26"/>
  <c r="K81" i="26"/>
  <c r="L81" i="26"/>
  <c r="M81" i="26"/>
  <c r="N81" i="26"/>
  <c r="O81" i="26"/>
  <c r="P81" i="26"/>
  <c r="Q81" i="26"/>
  <c r="E82" i="26"/>
  <c r="F82" i="26"/>
  <c r="G82" i="26"/>
  <c r="H82" i="26"/>
  <c r="I82" i="26"/>
  <c r="J82" i="26"/>
  <c r="K82" i="26"/>
  <c r="L82" i="26"/>
  <c r="M82" i="26"/>
  <c r="N82" i="26"/>
  <c r="O82" i="26"/>
  <c r="P82" i="26"/>
  <c r="Q82" i="26"/>
  <c r="E89" i="26"/>
  <c r="F89" i="26"/>
  <c r="G89" i="26"/>
  <c r="H89" i="26"/>
  <c r="I89" i="26"/>
  <c r="J89" i="26"/>
  <c r="K89" i="26"/>
  <c r="L89" i="26"/>
  <c r="M89" i="26"/>
  <c r="N89" i="26"/>
  <c r="O89" i="26"/>
  <c r="P89" i="26"/>
  <c r="Q89" i="26"/>
  <c r="E90" i="26"/>
  <c r="F90" i="26"/>
  <c r="G90" i="26"/>
  <c r="H90" i="26"/>
  <c r="I90" i="26"/>
  <c r="J90" i="26"/>
  <c r="K90" i="26"/>
  <c r="L90" i="26"/>
  <c r="M90" i="26"/>
  <c r="N90" i="26"/>
  <c r="O90" i="26"/>
  <c r="P90" i="26"/>
  <c r="Q90" i="26"/>
  <c r="E93" i="26"/>
  <c r="F93" i="26"/>
  <c r="G93" i="26"/>
  <c r="H93" i="26"/>
  <c r="I93" i="26"/>
  <c r="J93" i="26"/>
  <c r="K93" i="26"/>
  <c r="L93" i="26"/>
  <c r="M93" i="26"/>
  <c r="N93" i="26"/>
  <c r="O93" i="26"/>
  <c r="P93" i="26"/>
  <c r="Q93" i="26"/>
  <c r="E94" i="26"/>
  <c r="F94" i="26"/>
  <c r="G94" i="26"/>
  <c r="H94" i="26"/>
  <c r="I94" i="26"/>
  <c r="J94" i="26"/>
  <c r="K94" i="26"/>
  <c r="L94" i="26"/>
  <c r="M94" i="26"/>
  <c r="N94" i="26"/>
  <c r="O94" i="26"/>
  <c r="P94" i="26"/>
  <c r="Q94" i="26"/>
  <c r="B70" i="23"/>
  <c r="I70" i="23"/>
  <c r="L70" i="23"/>
  <c r="B71" i="23"/>
  <c r="I71" i="23"/>
  <c r="L71" i="23"/>
  <c r="B72" i="23"/>
  <c r="I72" i="23"/>
  <c r="L72" i="23"/>
  <c r="B73" i="23"/>
  <c r="I73" i="23"/>
  <c r="L73" i="23"/>
  <c r="B74" i="23"/>
  <c r="I74" i="23"/>
  <c r="L74" i="23"/>
  <c r="B75" i="23"/>
  <c r="I75" i="23"/>
  <c r="K75" i="23"/>
  <c r="L75" i="23"/>
  <c r="B76" i="23"/>
  <c r="I76" i="23"/>
  <c r="K76" i="23"/>
  <c r="L76" i="23"/>
  <c r="B77" i="23"/>
  <c r="I77" i="23"/>
  <c r="K77" i="23"/>
  <c r="L77" i="23"/>
  <c r="B78" i="23"/>
  <c r="I78" i="23"/>
  <c r="K78" i="23"/>
  <c r="L78" i="23"/>
  <c r="B79" i="23"/>
  <c r="I79" i="23"/>
  <c r="K79" i="23"/>
  <c r="L79" i="23"/>
  <c r="B80" i="23"/>
  <c r="I80" i="23"/>
  <c r="K80" i="23"/>
  <c r="L80" i="23"/>
  <c r="B81" i="23"/>
  <c r="I81" i="23"/>
  <c r="K81" i="23"/>
  <c r="L81" i="23"/>
  <c r="B82" i="23"/>
  <c r="D82" i="23"/>
  <c r="I82" i="23"/>
  <c r="K82" i="23"/>
  <c r="L82" i="23"/>
  <c r="M82" i="23"/>
  <c r="B83" i="23"/>
  <c r="D83" i="23"/>
  <c r="I83" i="23"/>
  <c r="K83" i="23"/>
  <c r="L83" i="23"/>
  <c r="M83" i="23"/>
  <c r="B84" i="23"/>
  <c r="D84" i="23"/>
  <c r="I84" i="23"/>
  <c r="K84" i="23"/>
  <c r="L84" i="23"/>
  <c r="M84" i="23"/>
  <c r="B85" i="23"/>
  <c r="D85" i="23"/>
  <c r="J85" i="23"/>
  <c r="K85" i="23"/>
  <c r="L85" i="23"/>
  <c r="M85" i="23"/>
  <c r="B86" i="23"/>
  <c r="D86" i="23"/>
  <c r="J86" i="23"/>
  <c r="K86" i="23"/>
  <c r="L86" i="23"/>
  <c r="M86" i="23"/>
  <c r="B87" i="23"/>
  <c r="D87" i="23"/>
  <c r="J87" i="23"/>
  <c r="K87" i="23"/>
  <c r="L87" i="23"/>
  <c r="M87" i="23"/>
  <c r="B88" i="23"/>
  <c r="D88" i="23"/>
  <c r="J88" i="23"/>
  <c r="K88" i="23"/>
  <c r="L88" i="23"/>
  <c r="M88" i="23"/>
  <c r="B89" i="23"/>
  <c r="D89" i="23"/>
  <c r="J89" i="23"/>
  <c r="K89" i="23"/>
  <c r="L89" i="23"/>
  <c r="M89" i="23"/>
  <c r="B90" i="23"/>
  <c r="D90" i="23"/>
  <c r="J90" i="23"/>
  <c r="K90" i="23"/>
  <c r="M90" i="23"/>
  <c r="B91" i="23"/>
  <c r="D91" i="23"/>
  <c r="J91" i="23"/>
  <c r="K91" i="23"/>
  <c r="L91" i="23"/>
  <c r="M91" i="23"/>
  <c r="B92" i="23"/>
  <c r="D92" i="23"/>
  <c r="J92" i="23"/>
  <c r="K92" i="23"/>
  <c r="L92" i="23"/>
  <c r="M92" i="23"/>
  <c r="B93" i="23"/>
  <c r="D93" i="23"/>
  <c r="J93" i="23"/>
  <c r="K93" i="23"/>
  <c r="L93" i="23"/>
  <c r="M93" i="23"/>
  <c r="B94" i="23"/>
  <c r="D94" i="23"/>
  <c r="J94" i="23"/>
  <c r="K94" i="23"/>
  <c r="L94" i="23"/>
  <c r="M94" i="23"/>
  <c r="B95" i="23"/>
  <c r="E95" i="23"/>
  <c r="J95" i="23"/>
  <c r="K95" i="23"/>
  <c r="L95" i="23"/>
  <c r="N95" i="23"/>
  <c r="B96" i="23"/>
  <c r="E96" i="23"/>
  <c r="J96" i="23"/>
  <c r="K96" i="23"/>
  <c r="L96" i="23"/>
  <c r="N96" i="23"/>
  <c r="B97" i="23"/>
  <c r="E97" i="23"/>
  <c r="J97" i="23"/>
  <c r="K97" i="23"/>
  <c r="L97" i="23"/>
  <c r="N97" i="23"/>
  <c r="B98" i="23"/>
  <c r="E98" i="23"/>
  <c r="J98" i="23"/>
  <c r="K98" i="23"/>
  <c r="L98" i="23"/>
  <c r="N98" i="23"/>
  <c r="C99" i="23"/>
  <c r="E99" i="23"/>
  <c r="J99" i="23"/>
  <c r="K99" i="23"/>
  <c r="L99" i="23"/>
  <c r="N99" i="23"/>
  <c r="C100" i="23"/>
  <c r="E100" i="23"/>
  <c r="J100" i="23"/>
  <c r="K100" i="23"/>
  <c r="L100" i="23"/>
  <c r="N100" i="23"/>
  <c r="C101" i="23"/>
  <c r="E101" i="23"/>
  <c r="J101" i="23"/>
  <c r="K101" i="23"/>
  <c r="L101" i="23"/>
  <c r="N101" i="23"/>
  <c r="C102" i="23"/>
  <c r="E102" i="23"/>
  <c r="J102" i="23"/>
  <c r="K102" i="23"/>
  <c r="L102" i="23"/>
  <c r="N102" i="23"/>
  <c r="C103" i="23"/>
  <c r="E103" i="23"/>
  <c r="J103" i="23"/>
  <c r="K103" i="23"/>
  <c r="L103" i="23"/>
  <c r="N103" i="23"/>
  <c r="C104" i="23"/>
  <c r="E104" i="23"/>
  <c r="J104" i="23"/>
  <c r="K104" i="23"/>
  <c r="L104" i="23"/>
  <c r="N104" i="23"/>
  <c r="C105" i="23"/>
  <c r="E105" i="23"/>
  <c r="J105" i="23"/>
  <c r="K105" i="23"/>
  <c r="L105" i="23"/>
  <c r="N105" i="23"/>
  <c r="C106" i="23"/>
  <c r="E106" i="23"/>
  <c r="J106" i="23"/>
  <c r="K106" i="23"/>
  <c r="L106" i="23"/>
  <c r="N106" i="23"/>
  <c r="J107" i="23"/>
  <c r="K107" i="23"/>
  <c r="L107" i="23"/>
  <c r="N107" i="23"/>
  <c r="C108" i="21"/>
  <c r="F108" i="21"/>
  <c r="H108" i="21"/>
  <c r="I108" i="21"/>
  <c r="L108" i="21"/>
  <c r="M108" i="21"/>
  <c r="Q108" i="21"/>
  <c r="R108" i="21"/>
  <c r="C109" i="21"/>
  <c r="F109" i="21"/>
  <c r="H109" i="21"/>
  <c r="I109" i="21"/>
  <c r="L109" i="21"/>
  <c r="M109" i="21"/>
  <c r="Q109" i="21"/>
  <c r="R109" i="21"/>
  <c r="C110" i="21"/>
  <c r="F110" i="21"/>
  <c r="H110" i="21"/>
  <c r="I110" i="21"/>
  <c r="L110" i="21"/>
  <c r="M110" i="21"/>
  <c r="Q110" i="21"/>
  <c r="R110" i="21"/>
  <c r="C111" i="21"/>
  <c r="F111" i="21"/>
  <c r="H111" i="21"/>
  <c r="I111" i="21"/>
  <c r="L111" i="21"/>
  <c r="M111" i="21"/>
  <c r="Q111" i="21"/>
  <c r="R111" i="21"/>
  <c r="C112" i="21"/>
  <c r="F112" i="21"/>
  <c r="H112" i="21"/>
  <c r="I112" i="21"/>
  <c r="L112" i="21"/>
  <c r="M112" i="21"/>
  <c r="Q112" i="21"/>
  <c r="R112" i="21"/>
  <c r="C113" i="21"/>
  <c r="F113" i="21"/>
  <c r="H113" i="21"/>
  <c r="I113" i="21"/>
  <c r="L113" i="21"/>
  <c r="M113" i="21"/>
  <c r="Q113" i="21"/>
  <c r="R113" i="21"/>
  <c r="C114" i="21"/>
  <c r="F114" i="21"/>
  <c r="H114" i="21"/>
  <c r="I114" i="21"/>
  <c r="L114" i="21"/>
  <c r="M114" i="21"/>
  <c r="Q114" i="21"/>
  <c r="R114" i="21"/>
  <c r="C115" i="21"/>
  <c r="F115" i="21"/>
  <c r="H115" i="21"/>
  <c r="I115" i="21"/>
  <c r="L115" i="21"/>
  <c r="M115" i="21"/>
  <c r="Q115" i="21"/>
  <c r="R115" i="21"/>
  <c r="C116" i="21"/>
  <c r="F116" i="21"/>
  <c r="H116" i="21"/>
  <c r="I116" i="21"/>
  <c r="L116" i="21"/>
  <c r="M116" i="21"/>
  <c r="Q116" i="21"/>
  <c r="R116" i="21"/>
  <c r="C117" i="21"/>
  <c r="F117" i="21"/>
  <c r="H117" i="21"/>
  <c r="I117" i="21"/>
  <c r="L117" i="21"/>
  <c r="M117" i="21"/>
  <c r="Q117" i="21"/>
  <c r="R117" i="21"/>
  <c r="C118" i="21"/>
  <c r="F118" i="21"/>
  <c r="H118" i="21"/>
  <c r="I118" i="21"/>
  <c r="L118" i="21"/>
  <c r="M118" i="21"/>
  <c r="Q118" i="21"/>
  <c r="R118" i="21"/>
  <c r="C119" i="21"/>
  <c r="F119" i="21"/>
  <c r="H119" i="21"/>
  <c r="I119" i="21"/>
  <c r="L119" i="21"/>
  <c r="M119" i="21"/>
  <c r="Q119" i="21"/>
  <c r="R119" i="21"/>
  <c r="C120" i="21"/>
  <c r="F120" i="21"/>
  <c r="H120" i="21"/>
  <c r="I120" i="21"/>
  <c r="L120" i="21"/>
  <c r="M120" i="21"/>
  <c r="Q120" i="21"/>
  <c r="R120" i="21"/>
  <c r="C121" i="21"/>
  <c r="F121" i="21"/>
  <c r="H121" i="21"/>
  <c r="I121" i="21"/>
  <c r="L121" i="21"/>
  <c r="M121" i="21"/>
  <c r="Q121" i="21"/>
  <c r="R121" i="21"/>
  <c r="C122" i="21"/>
  <c r="F122" i="21"/>
  <c r="H122" i="21"/>
  <c r="I122" i="21"/>
  <c r="L122" i="21"/>
  <c r="M122" i="21"/>
  <c r="Q122" i="21"/>
  <c r="R122" i="21"/>
  <c r="C123" i="21"/>
  <c r="G123" i="21"/>
  <c r="H123" i="21"/>
  <c r="I123" i="21"/>
  <c r="L123" i="21"/>
  <c r="N123" i="21"/>
  <c r="Q123" i="21"/>
  <c r="R123" i="21"/>
  <c r="C124" i="21"/>
  <c r="G124" i="21"/>
  <c r="H124" i="21"/>
  <c r="I124" i="21"/>
  <c r="L124" i="21"/>
  <c r="N124" i="21"/>
  <c r="Q124" i="21"/>
  <c r="R124" i="21"/>
  <c r="C125" i="21"/>
  <c r="G125" i="21"/>
  <c r="H125" i="21"/>
  <c r="I125" i="21"/>
  <c r="L125" i="21"/>
  <c r="N125" i="21"/>
  <c r="Q125" i="21"/>
  <c r="R125" i="21"/>
  <c r="C126" i="21"/>
  <c r="G126" i="21"/>
  <c r="H126" i="21"/>
  <c r="I126" i="21"/>
  <c r="L126" i="21"/>
  <c r="N126" i="21"/>
  <c r="Q126" i="21"/>
  <c r="R126" i="21"/>
  <c r="C127" i="21"/>
  <c r="G127" i="21"/>
  <c r="H127" i="21"/>
  <c r="I127" i="21"/>
  <c r="L127" i="21"/>
  <c r="N127" i="21"/>
  <c r="Q127" i="21"/>
  <c r="R127" i="21"/>
  <c r="C128" i="21"/>
  <c r="G128" i="21"/>
  <c r="H128" i="21"/>
  <c r="I128" i="21"/>
  <c r="L128" i="21"/>
  <c r="N128" i="21"/>
  <c r="Q128" i="21"/>
  <c r="S128" i="21"/>
  <c r="C129" i="21"/>
  <c r="G129" i="21"/>
  <c r="H129" i="21"/>
  <c r="I129" i="21"/>
  <c r="L129" i="21"/>
  <c r="N129" i="21"/>
  <c r="Q129" i="21"/>
  <c r="S129" i="21"/>
  <c r="T129" i="21"/>
  <c r="C130" i="21"/>
  <c r="G130" i="21"/>
  <c r="H130" i="21"/>
  <c r="I130" i="21"/>
  <c r="L130" i="21"/>
  <c r="N130" i="21"/>
  <c r="Q130" i="21"/>
  <c r="S130" i="21"/>
  <c r="T130" i="21"/>
  <c r="C131" i="21"/>
  <c r="G131" i="21"/>
  <c r="H131" i="21"/>
  <c r="I131" i="21"/>
  <c r="L131" i="21"/>
  <c r="N131" i="21"/>
  <c r="Q131" i="21"/>
  <c r="T131" i="21"/>
  <c r="D132" i="21"/>
  <c r="G132" i="21"/>
  <c r="H132" i="21"/>
  <c r="I132" i="21"/>
  <c r="L132" i="21"/>
  <c r="N132" i="21"/>
  <c r="Q132" i="21"/>
  <c r="T132" i="21"/>
  <c r="D133" i="21"/>
  <c r="G133" i="21"/>
  <c r="H133" i="21"/>
  <c r="I133" i="21"/>
  <c r="L133" i="21"/>
  <c r="N133" i="21"/>
  <c r="Q133" i="21"/>
  <c r="T133" i="21"/>
  <c r="D134" i="21"/>
  <c r="G134" i="21"/>
  <c r="H134" i="21"/>
  <c r="I134" i="21"/>
  <c r="L134" i="21"/>
  <c r="N134" i="21"/>
  <c r="Q134" i="21"/>
  <c r="T134" i="21"/>
  <c r="D135" i="21"/>
  <c r="G135" i="21"/>
  <c r="H135" i="21"/>
  <c r="I135" i="21"/>
  <c r="L135" i="21"/>
  <c r="N135" i="21"/>
  <c r="Q135" i="21"/>
  <c r="T135" i="21"/>
  <c r="D136" i="21"/>
  <c r="G136" i="21"/>
  <c r="H136" i="21"/>
  <c r="I136" i="21"/>
  <c r="L136" i="21"/>
  <c r="N136" i="21"/>
  <c r="Q136" i="21"/>
  <c r="T136" i="21"/>
  <c r="E137" i="21"/>
  <c r="G137" i="21"/>
  <c r="H137" i="21"/>
  <c r="I137" i="21"/>
  <c r="L137" i="21"/>
  <c r="N137" i="21"/>
  <c r="Q137" i="21"/>
  <c r="T137" i="21"/>
  <c r="E138" i="21"/>
  <c r="G138" i="21"/>
  <c r="H138" i="21"/>
  <c r="I138" i="21"/>
  <c r="L138" i="21"/>
  <c r="N138" i="21"/>
  <c r="Q138" i="21"/>
  <c r="T138" i="21"/>
  <c r="E139" i="21"/>
  <c r="G139" i="21"/>
  <c r="H139" i="21"/>
  <c r="I139" i="21"/>
  <c r="L139" i="21"/>
  <c r="N139" i="21"/>
  <c r="Q139" i="21"/>
  <c r="T139" i="21"/>
  <c r="E140" i="21"/>
  <c r="G140" i="21"/>
  <c r="H140" i="21"/>
  <c r="I140" i="21"/>
  <c r="L140" i="21"/>
  <c r="N140" i="21"/>
  <c r="Q140" i="21"/>
  <c r="T140" i="21"/>
  <c r="E141" i="21"/>
  <c r="G141" i="21"/>
  <c r="H141" i="21"/>
  <c r="I141" i="21"/>
  <c r="L141" i="21"/>
  <c r="N141" i="21"/>
  <c r="Q141" i="21"/>
  <c r="T141" i="21"/>
  <c r="E142" i="21"/>
  <c r="G142" i="21"/>
  <c r="H142" i="21"/>
  <c r="I142" i="21"/>
  <c r="L142" i="21"/>
  <c r="N142" i="21"/>
  <c r="Q142" i="21"/>
  <c r="T142" i="21"/>
  <c r="E143" i="21"/>
  <c r="G143" i="21"/>
  <c r="H143" i="21"/>
  <c r="I143" i="21"/>
  <c r="L143" i="21"/>
  <c r="N143" i="21"/>
  <c r="Q143" i="21"/>
  <c r="T143" i="21"/>
  <c r="E144" i="21"/>
  <c r="G144" i="21"/>
  <c r="H144" i="21"/>
  <c r="I144" i="21"/>
  <c r="L144" i="21"/>
  <c r="N144" i="21"/>
  <c r="Q144" i="21"/>
  <c r="T144" i="21"/>
  <c r="E145" i="21"/>
  <c r="H145" i="21"/>
  <c r="I145" i="21"/>
  <c r="L145" i="21"/>
  <c r="Q145" i="21"/>
  <c r="T145" i="21"/>
  <c r="C87" i="20"/>
  <c r="L87" i="20" s="1"/>
  <c r="G87" i="20"/>
  <c r="M87" i="20"/>
  <c r="C88" i="20"/>
  <c r="L88" i="20" s="1"/>
  <c r="G88" i="20"/>
  <c r="M88" i="20"/>
  <c r="C89" i="20"/>
  <c r="L89" i="20" s="1"/>
  <c r="G89" i="20"/>
  <c r="M89" i="20"/>
  <c r="C90" i="20"/>
  <c r="L90" i="20" s="1"/>
  <c r="G90" i="20"/>
  <c r="M90" i="20"/>
  <c r="C91" i="20"/>
  <c r="L91" i="20" s="1"/>
  <c r="G91" i="20"/>
  <c r="M91" i="20"/>
  <c r="C92" i="20"/>
  <c r="L92" i="20" s="1"/>
  <c r="G92" i="20"/>
  <c r="M92" i="20"/>
  <c r="C93" i="20"/>
  <c r="L93" i="20" s="1"/>
  <c r="G93" i="20"/>
  <c r="M93" i="20"/>
  <c r="C94" i="20"/>
  <c r="L94" i="20" s="1"/>
  <c r="G94" i="20"/>
  <c r="M94" i="20"/>
  <c r="C95" i="20"/>
  <c r="L95" i="20" s="1"/>
  <c r="E95" i="20"/>
  <c r="H95" i="20"/>
  <c r="M95" i="20"/>
  <c r="C96" i="20"/>
  <c r="L96" i="20" s="1"/>
  <c r="E96" i="20"/>
  <c r="H96" i="20"/>
  <c r="M96" i="20"/>
  <c r="C97" i="20"/>
  <c r="L97" i="20" s="1"/>
  <c r="E97" i="20"/>
  <c r="H97" i="20"/>
  <c r="M97" i="20"/>
  <c r="C98" i="20"/>
  <c r="L98" i="20" s="1"/>
  <c r="E98" i="20"/>
  <c r="H98" i="20"/>
  <c r="M98" i="20"/>
  <c r="C99" i="20"/>
  <c r="L99" i="20" s="1"/>
  <c r="E99" i="20"/>
  <c r="H99" i="20"/>
  <c r="M99" i="20"/>
  <c r="C100" i="20"/>
  <c r="L100" i="20" s="1"/>
  <c r="E100" i="20"/>
  <c r="H100" i="20"/>
  <c r="M100" i="20"/>
  <c r="C101" i="20"/>
  <c r="L101" i="20" s="1"/>
  <c r="E101" i="20"/>
  <c r="H101" i="20"/>
  <c r="M101" i="20"/>
  <c r="C102" i="20"/>
  <c r="L102" i="20" s="1"/>
  <c r="E102" i="20"/>
  <c r="H102" i="20"/>
  <c r="M102" i="20"/>
  <c r="C103" i="20"/>
  <c r="L103" i="20"/>
  <c r="E103" i="20"/>
  <c r="H103" i="20"/>
  <c r="M103" i="20"/>
  <c r="C104" i="20"/>
  <c r="L104" i="20" s="1"/>
  <c r="E104" i="20"/>
  <c r="H104" i="20"/>
  <c r="M104" i="20"/>
  <c r="C105" i="20"/>
  <c r="L105" i="20" s="1"/>
  <c r="D105" i="20"/>
  <c r="F105" i="20"/>
  <c r="I105" i="20"/>
  <c r="M105" i="20"/>
  <c r="C106" i="20"/>
  <c r="D106" i="20"/>
  <c r="F106" i="20"/>
  <c r="I106" i="20"/>
  <c r="L106" i="20"/>
  <c r="M106" i="20"/>
  <c r="C107" i="20"/>
  <c r="L107" i="20" s="1"/>
  <c r="D107" i="20"/>
  <c r="F107" i="20"/>
  <c r="I107" i="20"/>
  <c r="M107" i="20"/>
  <c r="C108" i="20"/>
  <c r="D108" i="20"/>
  <c r="F108" i="20"/>
  <c r="I108" i="20"/>
  <c r="L108" i="20"/>
  <c r="M108" i="20"/>
  <c r="C109" i="20"/>
  <c r="D109" i="20"/>
  <c r="F109" i="20"/>
  <c r="I109" i="20"/>
  <c r="L109" i="20"/>
  <c r="M109" i="20"/>
  <c r="C110" i="20"/>
  <c r="D110" i="20"/>
  <c r="F110" i="20"/>
  <c r="I110" i="20"/>
  <c r="L110" i="20"/>
  <c r="M110" i="20"/>
  <c r="C111" i="20"/>
  <c r="D111" i="20"/>
  <c r="F111" i="20"/>
  <c r="I111" i="20"/>
  <c r="L111" i="20"/>
  <c r="M111" i="20"/>
  <c r="C112" i="20"/>
  <c r="D112" i="20"/>
  <c r="F112" i="20"/>
  <c r="I112" i="20"/>
  <c r="L112" i="20"/>
  <c r="M112" i="20"/>
  <c r="C113" i="20"/>
  <c r="L113" i="20" s="1"/>
  <c r="D113" i="20"/>
  <c r="F113" i="20"/>
  <c r="I113" i="20"/>
  <c r="M113" i="20"/>
  <c r="C114" i="20"/>
  <c r="D114" i="20"/>
  <c r="F114" i="20"/>
  <c r="I114" i="20"/>
  <c r="L114" i="20"/>
  <c r="M114" i="20"/>
  <c r="C115" i="20"/>
  <c r="L115" i="20" s="1"/>
  <c r="D115" i="20"/>
  <c r="F115" i="20"/>
  <c r="I115" i="20"/>
  <c r="M115" i="20"/>
  <c r="C116" i="20"/>
  <c r="D116" i="20"/>
  <c r="F116" i="20"/>
  <c r="I116" i="20"/>
  <c r="L116" i="20"/>
  <c r="M116" i="20"/>
  <c r="C117" i="20"/>
  <c r="D117" i="20"/>
  <c r="F117" i="20"/>
  <c r="I117" i="20"/>
  <c r="L117" i="20"/>
  <c r="M117" i="20"/>
  <c r="C118" i="20"/>
  <c r="D118" i="20"/>
  <c r="F118" i="20"/>
  <c r="I118" i="20"/>
  <c r="L118" i="20"/>
  <c r="M118" i="20"/>
  <c r="C119" i="20"/>
  <c r="D119" i="20"/>
  <c r="F119" i="20"/>
  <c r="I119" i="20"/>
  <c r="L119" i="20"/>
  <c r="M119" i="20"/>
  <c r="C120" i="20"/>
  <c r="D120" i="20"/>
  <c r="F120" i="20"/>
  <c r="I120" i="20"/>
  <c r="L120" i="20"/>
  <c r="M120" i="20"/>
  <c r="C121" i="20"/>
  <c r="L121" i="20" s="1"/>
  <c r="D121" i="20"/>
  <c r="F121" i="20"/>
  <c r="I121" i="20"/>
  <c r="M121" i="20"/>
  <c r="C122" i="20"/>
  <c r="D122" i="20"/>
  <c r="F122" i="20"/>
  <c r="I122" i="20"/>
  <c r="L122" i="20"/>
  <c r="M122" i="20"/>
  <c r="C123" i="20"/>
  <c r="L123" i="20" s="1"/>
  <c r="D123" i="20"/>
  <c r="F123" i="20"/>
  <c r="I123" i="20"/>
  <c r="M123" i="20"/>
  <c r="C124" i="20"/>
  <c r="L124" i="20" s="1"/>
  <c r="A93" i="19"/>
  <c r="B93" i="19"/>
  <c r="D93" i="19"/>
  <c r="A94" i="19"/>
  <c r="B94" i="19"/>
  <c r="D94" i="19"/>
  <c r="A95" i="19"/>
  <c r="D95" i="19"/>
  <c r="A96" i="19"/>
  <c r="B96" i="19"/>
  <c r="D96" i="19"/>
  <c r="A97" i="19"/>
  <c r="B97" i="19"/>
  <c r="D97" i="19"/>
  <c r="A98" i="19"/>
  <c r="B98" i="19"/>
  <c r="D98" i="19"/>
  <c r="A99" i="19"/>
  <c r="B99" i="19"/>
  <c r="D99" i="19"/>
  <c r="A100" i="19"/>
  <c r="B100" i="19"/>
  <c r="D100" i="19"/>
  <c r="A101" i="19"/>
  <c r="B101" i="19"/>
  <c r="D101" i="19"/>
  <c r="A102" i="19"/>
  <c r="B102" i="19"/>
  <c r="D102" i="19"/>
  <c r="A103" i="19"/>
  <c r="B103" i="19"/>
  <c r="D103" i="19"/>
  <c r="A104" i="19"/>
  <c r="B104" i="19"/>
  <c r="D104" i="19"/>
  <c r="A105" i="19"/>
  <c r="B105" i="19"/>
  <c r="D105" i="19"/>
  <c r="A106" i="19"/>
  <c r="B106" i="19"/>
  <c r="D106" i="19"/>
  <c r="A107" i="19"/>
  <c r="B107" i="19"/>
  <c r="D107" i="19"/>
  <c r="A108" i="19"/>
  <c r="B108" i="19"/>
  <c r="D108" i="19"/>
  <c r="A109" i="19"/>
  <c r="B109" i="19"/>
  <c r="D109" i="19"/>
  <c r="A110" i="19"/>
  <c r="B110" i="19"/>
  <c r="D110" i="19"/>
  <c r="A111" i="19"/>
  <c r="C111" i="19"/>
  <c r="D111" i="19"/>
  <c r="A112" i="19"/>
  <c r="C112" i="19"/>
  <c r="D112" i="19"/>
  <c r="A113" i="19"/>
  <c r="C113" i="19"/>
  <c r="E113" i="19"/>
  <c r="A114" i="19"/>
  <c r="C114" i="19"/>
  <c r="E114" i="19"/>
  <c r="A115" i="19"/>
  <c r="C115" i="19"/>
  <c r="E115" i="19"/>
  <c r="A116" i="19"/>
  <c r="C116" i="19"/>
  <c r="E116" i="19"/>
  <c r="A117" i="19"/>
  <c r="C117" i="19"/>
  <c r="E117" i="19"/>
  <c r="A118" i="19"/>
  <c r="C118" i="19"/>
  <c r="E118" i="19"/>
  <c r="A119" i="19"/>
  <c r="C119" i="19"/>
  <c r="E119" i="19"/>
  <c r="A120" i="19"/>
  <c r="C120" i="19"/>
  <c r="E120" i="19"/>
  <c r="A121" i="19"/>
  <c r="C121" i="19"/>
  <c r="E121" i="19"/>
  <c r="A122" i="19"/>
  <c r="C122" i="19"/>
  <c r="E122" i="19"/>
  <c r="A123" i="19"/>
  <c r="C123" i="19"/>
  <c r="E123" i="19"/>
  <c r="A124" i="19"/>
  <c r="C124" i="19"/>
  <c r="E124" i="19"/>
  <c r="A125" i="19"/>
  <c r="C125" i="19"/>
  <c r="E125" i="19"/>
  <c r="A126" i="19"/>
  <c r="C126" i="19"/>
  <c r="E126" i="19"/>
  <c r="A127" i="19"/>
  <c r="C127" i="19"/>
  <c r="E127" i="19"/>
  <c r="A128" i="19"/>
  <c r="C128" i="19"/>
  <c r="E128" i="19"/>
  <c r="A129" i="19"/>
  <c r="C129" i="19"/>
  <c r="E129" i="19"/>
  <c r="A130" i="19"/>
  <c r="C130" i="19"/>
  <c r="E130" i="19"/>
  <c r="G11" i="12"/>
  <c r="H11" i="12"/>
  <c r="I11" i="12"/>
  <c r="G12" i="12"/>
  <c r="H12" i="12"/>
  <c r="I12" i="12"/>
  <c r="G13" i="12"/>
  <c r="H13" i="12"/>
  <c r="I13" i="12"/>
  <c r="G14" i="12"/>
  <c r="H14" i="12"/>
  <c r="I14" i="12"/>
  <c r="G15" i="12"/>
  <c r="H15" i="12"/>
  <c r="I15" i="12"/>
  <c r="G16" i="12"/>
  <c r="H16" i="12"/>
  <c r="I16" i="12"/>
  <c r="G17" i="12"/>
  <c r="H17" i="12"/>
  <c r="I17" i="12"/>
  <c r="G18" i="12"/>
  <c r="H18" i="12"/>
  <c r="I18" i="12"/>
  <c r="G19" i="12"/>
  <c r="H19" i="12"/>
  <c r="I19" i="12"/>
  <c r="G20" i="12"/>
  <c r="H20" i="12"/>
  <c r="I20" i="12"/>
  <c r="G21" i="12"/>
  <c r="H21" i="12"/>
  <c r="I21" i="12"/>
  <c r="G22" i="12"/>
  <c r="H22" i="12"/>
  <c r="I22" i="12"/>
  <c r="G23" i="12"/>
  <c r="H23" i="12"/>
  <c r="I23" i="12"/>
  <c r="G24" i="12"/>
  <c r="H24" i="12"/>
  <c r="I24" i="12"/>
  <c r="G25" i="12"/>
  <c r="H25" i="12"/>
  <c r="I25" i="12"/>
  <c r="H26" i="12"/>
  <c r="I26" i="12"/>
  <c r="G27" i="12"/>
  <c r="H27" i="12"/>
  <c r="I27" i="12"/>
  <c r="G28" i="12"/>
  <c r="H28" i="12"/>
  <c r="I28" i="12"/>
  <c r="G29" i="12"/>
  <c r="H29" i="12"/>
  <c r="I29" i="12"/>
  <c r="G30" i="12"/>
  <c r="H30" i="12"/>
  <c r="I30" i="12"/>
  <c r="G31" i="12"/>
  <c r="H31" i="12"/>
  <c r="I31" i="12"/>
  <c r="G32" i="12"/>
  <c r="H32" i="12"/>
  <c r="I32" i="12"/>
  <c r="G33" i="12"/>
  <c r="H33" i="12"/>
  <c r="I33" i="12"/>
  <c r="G34" i="12"/>
  <c r="H34" i="12"/>
  <c r="I34" i="12"/>
  <c r="G35" i="12"/>
  <c r="H35" i="12"/>
  <c r="I35" i="12"/>
  <c r="G36" i="12"/>
  <c r="H36" i="12"/>
  <c r="I36" i="12"/>
  <c r="G37" i="12"/>
  <c r="H37" i="12"/>
  <c r="I37" i="12"/>
  <c r="G38" i="12"/>
  <c r="H38" i="12"/>
  <c r="I38" i="12"/>
  <c r="G39" i="12"/>
  <c r="H39" i="12"/>
  <c r="I39" i="12"/>
  <c r="G40" i="12"/>
  <c r="H40" i="12"/>
  <c r="I40" i="12"/>
  <c r="G41" i="12"/>
  <c r="H41" i="12"/>
  <c r="I41" i="12"/>
  <c r="G42" i="12"/>
  <c r="H42" i="12"/>
  <c r="I42" i="12"/>
  <c r="G43" i="12"/>
  <c r="H43" i="12"/>
  <c r="I43" i="12"/>
  <c r="G44" i="12"/>
  <c r="H44" i="12"/>
  <c r="I44" i="12"/>
  <c r="G45" i="12"/>
  <c r="H45" i="12"/>
  <c r="I45" i="12"/>
  <c r="G46" i="12"/>
  <c r="H46" i="12"/>
  <c r="I46" i="12"/>
  <c r="G47" i="12"/>
  <c r="H47" i="12"/>
  <c r="I47" i="12"/>
  <c r="G48" i="12"/>
  <c r="H48" i="12"/>
  <c r="I48" i="12"/>
  <c r="G49" i="12"/>
  <c r="H49" i="12"/>
  <c r="I49" i="12"/>
  <c r="G50" i="12"/>
  <c r="H50" i="12"/>
  <c r="I50" i="12"/>
  <c r="G51" i="12"/>
  <c r="H51" i="12"/>
  <c r="I51" i="12"/>
  <c r="G52" i="12"/>
  <c r="H52" i="12"/>
  <c r="I52" i="12"/>
  <c r="G53" i="12"/>
  <c r="H53" i="12"/>
  <c r="I53" i="12"/>
  <c r="G54" i="12"/>
  <c r="H54" i="12"/>
  <c r="I54" i="12"/>
  <c r="G55" i="12"/>
  <c r="H55" i="12"/>
  <c r="I55" i="12"/>
  <c r="G56" i="12"/>
  <c r="H56" i="12"/>
  <c r="I56" i="12"/>
  <c r="G57" i="12"/>
  <c r="H57" i="12"/>
  <c r="I57" i="12"/>
  <c r="G58" i="12"/>
  <c r="H58" i="12"/>
  <c r="I58" i="12"/>
  <c r="G59" i="12"/>
  <c r="H59" i="12"/>
  <c r="I59" i="12"/>
  <c r="G60" i="12"/>
  <c r="H60" i="12"/>
  <c r="I60" i="12"/>
  <c r="G61" i="12"/>
  <c r="H61" i="12"/>
  <c r="I61" i="12"/>
  <c r="D33" i="11"/>
  <c r="I33" i="11"/>
  <c r="J33" i="11"/>
  <c r="K33" i="11"/>
  <c r="D34" i="11"/>
  <c r="I34" i="11"/>
  <c r="J34" i="11"/>
  <c r="K34" i="11"/>
  <c r="D35" i="11"/>
  <c r="I35" i="11"/>
  <c r="J35" i="11"/>
  <c r="K35" i="11"/>
  <c r="D36" i="11"/>
  <c r="I36" i="11"/>
  <c r="J36" i="11"/>
  <c r="K36" i="11"/>
  <c r="D37" i="11"/>
  <c r="I37" i="11"/>
  <c r="J37" i="11"/>
  <c r="K37" i="11"/>
  <c r="D38" i="11"/>
  <c r="I38" i="11"/>
  <c r="J38" i="11"/>
  <c r="K38" i="11"/>
  <c r="I39" i="11"/>
  <c r="J39" i="11"/>
  <c r="K39" i="11"/>
  <c r="I40" i="11"/>
  <c r="J40" i="11"/>
  <c r="K40" i="11"/>
  <c r="I41" i="11"/>
  <c r="J41" i="11"/>
  <c r="K41" i="11"/>
  <c r="I42" i="11"/>
  <c r="J42" i="11"/>
  <c r="K42" i="11"/>
  <c r="I43" i="11"/>
  <c r="J43" i="11"/>
  <c r="K43" i="11"/>
  <c r="I44" i="11"/>
  <c r="J44" i="11"/>
  <c r="K44" i="11"/>
  <c r="I45" i="11"/>
  <c r="J45" i="11"/>
  <c r="K45" i="11"/>
  <c r="I46" i="11"/>
  <c r="J46" i="11"/>
  <c r="K46" i="11"/>
  <c r="I47" i="11"/>
  <c r="J47" i="11"/>
  <c r="K47" i="11"/>
  <c r="I48" i="11"/>
  <c r="J48" i="11"/>
  <c r="K48" i="11"/>
  <c r="I49" i="11"/>
  <c r="J49" i="11"/>
  <c r="K49" i="11"/>
  <c r="I50" i="11"/>
  <c r="J50" i="11"/>
  <c r="K50" i="11"/>
  <c r="I51" i="11"/>
  <c r="J51" i="11"/>
  <c r="K51" i="11"/>
  <c r="I52" i="11"/>
  <c r="J52" i="11"/>
  <c r="K52" i="11"/>
  <c r="I53" i="11"/>
  <c r="J53" i="11"/>
  <c r="K53" i="11"/>
  <c r="I54" i="11"/>
  <c r="J54" i="11"/>
  <c r="K54" i="11"/>
  <c r="I55" i="11"/>
  <c r="J55" i="11"/>
  <c r="K55" i="11"/>
  <c r="I56" i="11"/>
  <c r="J56" i="11"/>
  <c r="K56" i="11"/>
  <c r="I57" i="11"/>
  <c r="J57" i="11"/>
  <c r="K57" i="11"/>
  <c r="I58" i="11"/>
  <c r="J58" i="11"/>
  <c r="K58" i="11"/>
  <c r="I59" i="11"/>
  <c r="J59" i="11"/>
  <c r="K59" i="11"/>
  <c r="I60" i="11"/>
  <c r="J60" i="11"/>
  <c r="K60" i="11"/>
  <c r="I61" i="11"/>
  <c r="J61" i="11"/>
  <c r="K61" i="11"/>
  <c r="I62" i="11"/>
  <c r="J62" i="11"/>
  <c r="K62" i="11"/>
  <c r="M28" i="10"/>
  <c r="I29" i="10"/>
  <c r="M29" i="10"/>
  <c r="I30" i="10"/>
  <c r="M30" i="10"/>
  <c r="I31" i="10"/>
  <c r="M31" i="10"/>
  <c r="I32" i="10"/>
  <c r="M32" i="10"/>
  <c r="I33" i="10"/>
  <c r="M33" i="10"/>
  <c r="I34" i="10"/>
  <c r="M34" i="10"/>
  <c r="I35" i="10"/>
  <c r="K35" i="10"/>
  <c r="L35" i="10"/>
  <c r="M35" i="10"/>
  <c r="I36" i="10"/>
  <c r="K36" i="10"/>
  <c r="L36" i="10"/>
  <c r="M36" i="10"/>
  <c r="I37" i="10"/>
  <c r="K37" i="10"/>
  <c r="L37" i="10"/>
  <c r="M37" i="10"/>
  <c r="I38" i="10"/>
  <c r="K38" i="10"/>
  <c r="L38" i="10"/>
  <c r="M38" i="10"/>
  <c r="I39" i="10"/>
  <c r="K39" i="10"/>
  <c r="L39" i="10"/>
  <c r="M39" i="10"/>
  <c r="I40" i="10"/>
  <c r="K40" i="10"/>
  <c r="L40" i="10"/>
  <c r="M40" i="10"/>
  <c r="I41" i="10"/>
  <c r="K41" i="10"/>
  <c r="L41" i="10"/>
  <c r="M41" i="10"/>
  <c r="I42" i="10"/>
  <c r="K42" i="10"/>
  <c r="L42" i="10"/>
  <c r="M42" i="10"/>
  <c r="I43" i="10"/>
  <c r="K43" i="10"/>
  <c r="L43" i="10"/>
  <c r="M43" i="10"/>
  <c r="I44" i="10"/>
  <c r="K44" i="10"/>
  <c r="L44" i="10"/>
  <c r="M44" i="10"/>
  <c r="I45" i="10"/>
  <c r="K45" i="10"/>
  <c r="L45" i="10"/>
  <c r="M45" i="10"/>
  <c r="I46" i="10"/>
  <c r="K46" i="10"/>
  <c r="L46" i="10"/>
  <c r="M46" i="10"/>
  <c r="I47" i="10"/>
  <c r="K47" i="10"/>
  <c r="L47" i="10"/>
  <c r="M47" i="10"/>
  <c r="I48" i="10"/>
  <c r="K48" i="10"/>
  <c r="L48" i="10"/>
  <c r="M48" i="10"/>
  <c r="I49" i="10"/>
  <c r="K49" i="10"/>
  <c r="L49" i="10"/>
  <c r="M49" i="10"/>
  <c r="I50" i="10"/>
  <c r="K50" i="10"/>
  <c r="L50" i="10"/>
  <c r="M50" i="10"/>
  <c r="I51" i="10"/>
  <c r="K51" i="10"/>
  <c r="L51" i="10"/>
  <c r="M51" i="10"/>
  <c r="I52" i="10"/>
  <c r="K52" i="10"/>
  <c r="L52" i="10"/>
  <c r="M52" i="10"/>
  <c r="I53" i="10"/>
  <c r="K53" i="10"/>
  <c r="L53" i="10"/>
  <c r="M53" i="10"/>
  <c r="I54" i="10"/>
  <c r="K54" i="10"/>
  <c r="L54" i="10"/>
  <c r="M54" i="10"/>
  <c r="I55" i="10"/>
  <c r="K55" i="10"/>
  <c r="L55" i="10"/>
  <c r="M55" i="10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O26" i="9"/>
  <c r="R26" i="9"/>
  <c r="M27" i="9"/>
  <c r="N27" i="9"/>
  <c r="O27" i="9"/>
  <c r="R27" i="9"/>
  <c r="M28" i="9"/>
  <c r="N28" i="9"/>
  <c r="O28" i="9"/>
  <c r="R28" i="9"/>
  <c r="M29" i="9"/>
  <c r="N29" i="9"/>
  <c r="O29" i="9"/>
  <c r="R29" i="9"/>
  <c r="M30" i="9"/>
  <c r="N30" i="9"/>
  <c r="O30" i="9"/>
  <c r="R30" i="9"/>
  <c r="M31" i="9"/>
  <c r="N31" i="9"/>
  <c r="O31" i="9"/>
  <c r="R31" i="9"/>
  <c r="M32" i="9"/>
  <c r="N32" i="9"/>
  <c r="O32" i="9"/>
  <c r="R32" i="9"/>
  <c r="M33" i="9"/>
  <c r="N33" i="9"/>
  <c r="O33" i="9"/>
  <c r="Q33" i="9"/>
  <c r="R33" i="9"/>
  <c r="M34" i="9"/>
  <c r="N34" i="9"/>
  <c r="O34" i="9"/>
  <c r="Q34" i="9"/>
  <c r="R34" i="9"/>
  <c r="M35" i="9"/>
  <c r="N35" i="9"/>
  <c r="O35" i="9"/>
  <c r="Q35" i="9"/>
  <c r="R35" i="9"/>
  <c r="M36" i="9"/>
  <c r="N36" i="9"/>
  <c r="O36" i="9"/>
  <c r="Q36" i="9"/>
  <c r="R36" i="9"/>
  <c r="M37" i="9"/>
  <c r="N37" i="9"/>
  <c r="O37" i="9"/>
  <c r="Q37" i="9"/>
  <c r="R37" i="9"/>
  <c r="M38" i="9"/>
  <c r="N38" i="9"/>
  <c r="O38" i="9"/>
  <c r="Q38" i="9"/>
  <c r="R38" i="9"/>
  <c r="M39" i="9"/>
  <c r="N39" i="9"/>
  <c r="O39" i="9"/>
  <c r="Q39" i="9"/>
  <c r="R39" i="9"/>
  <c r="M40" i="9"/>
  <c r="N40" i="9"/>
  <c r="O40" i="9"/>
  <c r="Q40" i="9"/>
  <c r="R40" i="9"/>
  <c r="M41" i="9"/>
  <c r="N41" i="9"/>
  <c r="O41" i="9"/>
  <c r="Q41" i="9"/>
  <c r="R41" i="9"/>
  <c r="M42" i="9"/>
  <c r="N42" i="9"/>
  <c r="O42" i="9"/>
  <c r="Q42" i="9"/>
  <c r="R42" i="9"/>
  <c r="M43" i="9"/>
  <c r="N43" i="9"/>
  <c r="O43" i="9"/>
  <c r="Q43" i="9"/>
  <c r="R43" i="9"/>
  <c r="M44" i="9"/>
  <c r="N44" i="9"/>
  <c r="O44" i="9"/>
  <c r="Q44" i="9"/>
  <c r="R44" i="9"/>
  <c r="M45" i="9"/>
  <c r="N45" i="9"/>
  <c r="O45" i="9"/>
  <c r="Q45" i="9"/>
  <c r="R45" i="9"/>
  <c r="M46" i="9"/>
  <c r="N46" i="9"/>
  <c r="O46" i="9"/>
  <c r="Q46" i="9"/>
  <c r="R46" i="9"/>
  <c r="M47" i="9"/>
  <c r="N47" i="9"/>
  <c r="O47" i="9"/>
  <c r="Q47" i="9"/>
  <c r="R47" i="9"/>
  <c r="M48" i="9"/>
  <c r="O48" i="9"/>
  <c r="Q48" i="9"/>
  <c r="R48" i="9"/>
  <c r="M49" i="9"/>
  <c r="N49" i="9"/>
  <c r="O49" i="9"/>
  <c r="Q49" i="9"/>
  <c r="R49" i="9"/>
  <c r="M50" i="9"/>
  <c r="N50" i="9"/>
  <c r="O50" i="9"/>
  <c r="Q50" i="9"/>
  <c r="R50" i="9"/>
  <c r="M51" i="9"/>
  <c r="N51" i="9"/>
  <c r="O51" i="9"/>
  <c r="Q51" i="9"/>
  <c r="R51" i="9"/>
  <c r="M52" i="9"/>
  <c r="N52" i="9"/>
  <c r="O52" i="9"/>
  <c r="Q52" i="9"/>
  <c r="R52" i="9"/>
  <c r="Q53" i="9"/>
  <c r="R53" i="9"/>
  <c r="M54" i="9"/>
  <c r="N54" i="9"/>
  <c r="O54" i="9"/>
  <c r="Q54" i="9"/>
  <c r="R54" i="9"/>
  <c r="M55" i="9"/>
  <c r="N55" i="9"/>
  <c r="O55" i="9"/>
  <c r="Q55" i="9"/>
  <c r="R55" i="9"/>
  <c r="M56" i="9"/>
  <c r="N56" i="9"/>
  <c r="O56" i="9"/>
  <c r="Q56" i="9"/>
  <c r="R56" i="9"/>
  <c r="M57" i="9"/>
  <c r="N57" i="9"/>
  <c r="O57" i="9"/>
  <c r="Q57" i="9"/>
  <c r="R57" i="9"/>
  <c r="M58" i="9"/>
  <c r="N58" i="9"/>
  <c r="O58" i="9"/>
  <c r="Q58" i="9"/>
  <c r="R58" i="9"/>
  <c r="M59" i="9"/>
  <c r="N59" i="9"/>
  <c r="O59" i="9"/>
  <c r="Q59" i="9"/>
  <c r="R59" i="9"/>
  <c r="M60" i="9"/>
  <c r="N60" i="9"/>
  <c r="O60" i="9"/>
  <c r="Q60" i="9"/>
  <c r="R60" i="9"/>
  <c r="M61" i="9"/>
  <c r="N61" i="9"/>
  <c r="O61" i="9"/>
  <c r="Q61" i="9"/>
  <c r="R61" i="9"/>
  <c r="M62" i="9"/>
  <c r="N62" i="9"/>
  <c r="O62" i="9"/>
  <c r="Q62" i="9"/>
  <c r="R62" i="9"/>
  <c r="M63" i="9"/>
  <c r="O63" i="9"/>
  <c r="Q63" i="9"/>
  <c r="R63" i="9"/>
  <c r="O64" i="9"/>
  <c r="Q64" i="9"/>
  <c r="R64" i="9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O24" i="8"/>
  <c r="L25" i="8"/>
  <c r="M25" i="8"/>
  <c r="N25" i="8"/>
  <c r="O25" i="8"/>
  <c r="K26" i="8"/>
  <c r="L26" i="8"/>
  <c r="M26" i="8"/>
  <c r="N26" i="8"/>
  <c r="O26" i="8"/>
  <c r="K27" i="8"/>
  <c r="L27" i="8"/>
  <c r="M27" i="8"/>
  <c r="N27" i="8"/>
  <c r="O27" i="8"/>
  <c r="K28" i="8"/>
  <c r="L28" i="8"/>
  <c r="M28" i="8"/>
  <c r="N28" i="8"/>
  <c r="O28" i="8"/>
  <c r="K29" i="8"/>
  <c r="L29" i="8"/>
  <c r="M29" i="8"/>
  <c r="N29" i="8"/>
  <c r="O29" i="8"/>
  <c r="K30" i="8"/>
  <c r="L30" i="8"/>
  <c r="M30" i="8"/>
  <c r="N30" i="8"/>
  <c r="O30" i="8"/>
  <c r="K31" i="8"/>
  <c r="L31" i="8"/>
  <c r="M31" i="8"/>
  <c r="N31" i="8"/>
  <c r="O31" i="8"/>
  <c r="K32" i="8"/>
  <c r="L32" i="8"/>
  <c r="M32" i="8"/>
  <c r="N32" i="8"/>
  <c r="O32" i="8"/>
  <c r="K33" i="8"/>
  <c r="L33" i="8"/>
  <c r="M33" i="8"/>
  <c r="N33" i="8"/>
  <c r="O33" i="8"/>
  <c r="K34" i="8"/>
  <c r="L34" i="8"/>
  <c r="M34" i="8"/>
  <c r="N34" i="8"/>
  <c r="O34" i="8"/>
  <c r="K35" i="8"/>
  <c r="L35" i="8"/>
  <c r="M35" i="8"/>
  <c r="N35" i="8"/>
  <c r="O35" i="8"/>
  <c r="K36" i="8"/>
  <c r="L36" i="8"/>
  <c r="M36" i="8"/>
  <c r="N36" i="8"/>
  <c r="O36" i="8"/>
  <c r="K37" i="8"/>
  <c r="L37" i="8"/>
  <c r="M37" i="8"/>
  <c r="N37" i="8"/>
  <c r="O37" i="8"/>
  <c r="K38" i="8"/>
  <c r="L38" i="8"/>
  <c r="M38" i="8"/>
  <c r="N38" i="8"/>
  <c r="O38" i="8"/>
  <c r="K39" i="8"/>
  <c r="L39" i="8"/>
  <c r="M39" i="8"/>
  <c r="N39" i="8"/>
  <c r="O39" i="8"/>
  <c r="K40" i="8"/>
  <c r="L40" i="8"/>
  <c r="M40" i="8"/>
  <c r="N40" i="8"/>
  <c r="O40" i="8"/>
  <c r="K41" i="8"/>
  <c r="L41" i="8"/>
  <c r="M41" i="8"/>
  <c r="N41" i="8"/>
  <c r="O41" i="8"/>
  <c r="K42" i="8"/>
  <c r="L42" i="8"/>
  <c r="M42" i="8"/>
  <c r="N42" i="8"/>
  <c r="O42" i="8"/>
  <c r="K44" i="8"/>
  <c r="L44" i="8"/>
  <c r="M44" i="8"/>
  <c r="N44" i="8"/>
  <c r="O44" i="8"/>
  <c r="K45" i="8"/>
  <c r="L45" i="8"/>
  <c r="M45" i="8"/>
  <c r="N45" i="8"/>
  <c r="O45" i="8"/>
  <c r="K46" i="8"/>
  <c r="L46" i="8"/>
  <c r="M46" i="8"/>
  <c r="N46" i="8"/>
  <c r="O46" i="8"/>
  <c r="K47" i="8"/>
  <c r="L47" i="8"/>
  <c r="M47" i="8"/>
  <c r="N47" i="8"/>
  <c r="O47" i="8"/>
  <c r="K48" i="8"/>
  <c r="L48" i="8"/>
  <c r="M48" i="8"/>
  <c r="N48" i="8"/>
  <c r="O48" i="8"/>
  <c r="K49" i="8"/>
  <c r="L49" i="8"/>
  <c r="M49" i="8"/>
  <c r="N49" i="8"/>
  <c r="O49" i="8"/>
  <c r="K50" i="8"/>
  <c r="L50" i="8"/>
  <c r="M50" i="8"/>
  <c r="N50" i="8"/>
  <c r="O50" i="8"/>
  <c r="K51" i="8"/>
  <c r="L51" i="8"/>
  <c r="M51" i="8"/>
  <c r="N51" i="8"/>
  <c r="O51" i="8"/>
  <c r="K54" i="8"/>
  <c r="L54" i="8"/>
  <c r="M54" i="8"/>
  <c r="N54" i="8"/>
  <c r="O54" i="8"/>
  <c r="K55" i="8"/>
  <c r="L55" i="8"/>
  <c r="M55" i="8"/>
  <c r="N55" i="8"/>
  <c r="O55" i="8"/>
  <c r="K56" i="8"/>
  <c r="L56" i="8"/>
  <c r="M56" i="8"/>
  <c r="N56" i="8"/>
  <c r="O56" i="8"/>
  <c r="K57" i="8"/>
  <c r="L57" i="8"/>
  <c r="M57" i="8"/>
  <c r="N57" i="8"/>
  <c r="O57" i="8"/>
  <c r="K58" i="8"/>
  <c r="L58" i="8"/>
  <c r="M58" i="8"/>
  <c r="N58" i="8"/>
  <c r="O58" i="8"/>
  <c r="K59" i="8"/>
  <c r="L59" i="8"/>
  <c r="M59" i="8"/>
  <c r="N59" i="8"/>
  <c r="O59" i="8"/>
  <c r="K60" i="8"/>
  <c r="L60" i="8"/>
  <c r="M60" i="8"/>
  <c r="N60" i="8"/>
  <c r="O60" i="8"/>
  <c r="K61" i="8"/>
  <c r="L61" i="8"/>
  <c r="M61" i="8"/>
  <c r="N61" i="8"/>
  <c r="O61" i="8"/>
  <c r="K62" i="8"/>
  <c r="L62" i="8"/>
  <c r="M62" i="8"/>
  <c r="N62" i="8"/>
  <c r="O62" i="8"/>
  <c r="K63" i="8"/>
  <c r="N63" i="8"/>
  <c r="O63" i="8"/>
  <c r="C63" i="22"/>
  <c r="F63" i="22"/>
  <c r="B69" i="22"/>
  <c r="C69" i="22"/>
  <c r="D69" i="22"/>
  <c r="E69" i="22"/>
  <c r="F69" i="22"/>
  <c r="G69" i="22"/>
  <c r="H69" i="22"/>
  <c r="I69" i="22"/>
  <c r="J69" i="22"/>
  <c r="L69" i="22"/>
  <c r="B71" i="22"/>
  <c r="B80" i="22" s="1"/>
  <c r="C71" i="22"/>
  <c r="C80" i="22" s="1"/>
  <c r="D71" i="22"/>
  <c r="D80" i="22" s="1"/>
  <c r="E71" i="22"/>
  <c r="E80" i="22" s="1"/>
  <c r="F71" i="22"/>
  <c r="F80" i="22" s="1"/>
  <c r="G71" i="22"/>
  <c r="G80" i="22" s="1"/>
  <c r="H71" i="22"/>
  <c r="H80" i="22" s="1"/>
  <c r="J71" i="22"/>
  <c r="J80" i="22" s="1"/>
  <c r="C73" i="22"/>
  <c r="C82" i="22" s="1"/>
  <c r="F73" i="22"/>
  <c r="F82" i="22" s="1"/>
  <c r="G73" i="22"/>
  <c r="G82" i="22" s="1"/>
  <c r="I73" i="22"/>
  <c r="I82" i="22" s="1"/>
  <c r="J73" i="22"/>
  <c r="J82" i="22" s="1"/>
  <c r="C9" i="25"/>
  <c r="D9" i="25"/>
  <c r="D11" i="25" s="1"/>
  <c r="E9" i="25"/>
  <c r="F9" i="25"/>
  <c r="G9" i="25"/>
  <c r="H9" i="25"/>
  <c r="H20" i="25" s="1"/>
  <c r="I9" i="25"/>
  <c r="I11" i="25" s="1"/>
  <c r="J9" i="25"/>
  <c r="K9" i="25"/>
  <c r="K20" i="25" s="1"/>
  <c r="L9" i="25"/>
  <c r="M9" i="25"/>
  <c r="M11" i="25" s="1"/>
  <c r="C10" i="25"/>
  <c r="D10" i="25"/>
  <c r="E10" i="25"/>
  <c r="F10" i="25"/>
  <c r="F11" i="25" s="1"/>
  <c r="G10" i="25"/>
  <c r="H10" i="25"/>
  <c r="H21" i="25" s="1"/>
  <c r="I10" i="25"/>
  <c r="I21" i="25" s="1"/>
  <c r="I22" i="25" s="1"/>
  <c r="J10" i="25"/>
  <c r="J11" i="25" s="1"/>
  <c r="K10" i="25"/>
  <c r="K21" i="25" s="1"/>
  <c r="L10" i="25"/>
  <c r="M10" i="25"/>
  <c r="C11" i="25"/>
  <c r="C14" i="25"/>
  <c r="D14" i="25"/>
  <c r="E14" i="25"/>
  <c r="E20" i="25" s="1"/>
  <c r="F14" i="25"/>
  <c r="G14" i="25"/>
  <c r="G16" i="25" s="1"/>
  <c r="H14" i="25"/>
  <c r="H16" i="25" s="1"/>
  <c r="I14" i="25"/>
  <c r="J14" i="25"/>
  <c r="K14" i="25"/>
  <c r="L14" i="25"/>
  <c r="L20" i="25" s="1"/>
  <c r="M14" i="25"/>
  <c r="M20" i="25" s="1"/>
  <c r="C15" i="25"/>
  <c r="C16" i="25" s="1"/>
  <c r="D15" i="25"/>
  <c r="D16" i="25"/>
  <c r="E15" i="25"/>
  <c r="F15" i="25"/>
  <c r="G15" i="25"/>
  <c r="H15" i="25"/>
  <c r="I15" i="25"/>
  <c r="I16" i="25" s="1"/>
  <c r="J15" i="25"/>
  <c r="K15" i="25"/>
  <c r="C19" i="25"/>
  <c r="C22" i="25" s="1"/>
  <c r="G19" i="25"/>
  <c r="I19" i="25"/>
  <c r="K19" i="25"/>
  <c r="I20" i="25"/>
  <c r="C21" i="25"/>
  <c r="C27" i="25"/>
  <c r="D27" i="25"/>
  <c r="E27" i="25"/>
  <c r="F27" i="25"/>
  <c r="F39" i="25" s="1"/>
  <c r="G27" i="25"/>
  <c r="H27" i="25"/>
  <c r="I27" i="25"/>
  <c r="J27" i="25"/>
  <c r="J30" i="25" s="1"/>
  <c r="J42" i="25" s="1"/>
  <c r="K27" i="25"/>
  <c r="L27" i="25"/>
  <c r="M27" i="25"/>
  <c r="C28" i="25"/>
  <c r="C40" i="25" s="1"/>
  <c r="D28" i="25"/>
  <c r="E28" i="25"/>
  <c r="F28" i="25"/>
  <c r="F40" i="25" s="1"/>
  <c r="F64" i="25" s="1"/>
  <c r="G28" i="25"/>
  <c r="H28" i="25"/>
  <c r="I28" i="25"/>
  <c r="J28" i="25"/>
  <c r="K28" i="25"/>
  <c r="L28" i="25"/>
  <c r="C29" i="25"/>
  <c r="D29" i="25"/>
  <c r="D30" i="25" s="1"/>
  <c r="D42" i="25" s="1"/>
  <c r="D66" i="25" s="1"/>
  <c r="E29" i="25"/>
  <c r="E41" i="25"/>
  <c r="F29" i="25"/>
  <c r="F30" i="25"/>
  <c r="F42" i="25" s="1"/>
  <c r="G29" i="25"/>
  <c r="H29" i="25"/>
  <c r="I29" i="25"/>
  <c r="J29" i="25"/>
  <c r="K29" i="25"/>
  <c r="L29" i="25"/>
  <c r="L41" i="25" s="1"/>
  <c r="M29" i="25"/>
  <c r="C33" i="25"/>
  <c r="D33" i="25"/>
  <c r="E33" i="25"/>
  <c r="E39" i="25" s="1"/>
  <c r="F33" i="25"/>
  <c r="G33" i="25"/>
  <c r="H33" i="25"/>
  <c r="I33" i="25"/>
  <c r="I36" i="25" s="1"/>
  <c r="I42" i="25" s="1"/>
  <c r="J33" i="25"/>
  <c r="K33" i="25"/>
  <c r="L33" i="25"/>
  <c r="M33" i="25"/>
  <c r="C34" i="25"/>
  <c r="D34" i="25"/>
  <c r="D40" i="25" s="1"/>
  <c r="D64" i="25" s="1"/>
  <c r="E34" i="25"/>
  <c r="F34" i="25"/>
  <c r="G34" i="25"/>
  <c r="G40" i="25"/>
  <c r="G64" i="25" s="1"/>
  <c r="H34" i="25"/>
  <c r="I34" i="25"/>
  <c r="J34" i="25"/>
  <c r="J36" i="25"/>
  <c r="K34" i="25"/>
  <c r="L34" i="25"/>
  <c r="M34" i="25"/>
  <c r="M40" i="25"/>
  <c r="M64" i="25" s="1"/>
  <c r="C35" i="25"/>
  <c r="C41" i="25"/>
  <c r="D35" i="25"/>
  <c r="D36" i="25"/>
  <c r="E35" i="25"/>
  <c r="F35" i="25"/>
  <c r="F41" i="25" s="1"/>
  <c r="F65" i="25" s="1"/>
  <c r="G35" i="25"/>
  <c r="G41" i="25"/>
  <c r="G65" i="25" s="1"/>
  <c r="H35" i="25"/>
  <c r="H41" i="25"/>
  <c r="I35" i="25"/>
  <c r="I41" i="25" s="1"/>
  <c r="J35" i="25"/>
  <c r="K35" i="25"/>
  <c r="K36" i="25" s="1"/>
  <c r="L35" i="25"/>
  <c r="J41" i="25"/>
  <c r="C45" i="25"/>
  <c r="D45" i="25"/>
  <c r="E45" i="25"/>
  <c r="E57" i="25" s="1"/>
  <c r="F45" i="25"/>
  <c r="G45" i="25"/>
  <c r="H45" i="25"/>
  <c r="H48" i="25"/>
  <c r="H60" i="25" s="1"/>
  <c r="I45" i="25"/>
  <c r="J45" i="25"/>
  <c r="K45" i="25"/>
  <c r="L45" i="25"/>
  <c r="M45" i="25"/>
  <c r="C46" i="25"/>
  <c r="C58" i="25" s="1"/>
  <c r="D46" i="25"/>
  <c r="E46" i="25"/>
  <c r="E58" i="25" s="1"/>
  <c r="E64" i="25" s="1"/>
  <c r="F46" i="25"/>
  <c r="G46" i="25"/>
  <c r="H46" i="25"/>
  <c r="I46" i="25"/>
  <c r="I58" i="25" s="1"/>
  <c r="I64" i="25" s="1"/>
  <c r="J46" i="25"/>
  <c r="K46" i="25"/>
  <c r="L46" i="25"/>
  <c r="L58" i="25" s="1"/>
  <c r="M46" i="25"/>
  <c r="C47" i="25"/>
  <c r="D47" i="25"/>
  <c r="E47" i="25"/>
  <c r="E59" i="25" s="1"/>
  <c r="E65" i="25" s="1"/>
  <c r="F47" i="25"/>
  <c r="G47" i="25"/>
  <c r="H47" i="25"/>
  <c r="H59" i="25" s="1"/>
  <c r="I47" i="25"/>
  <c r="I59" i="25" s="1"/>
  <c r="J47" i="25"/>
  <c r="K47" i="25"/>
  <c r="L47" i="25"/>
  <c r="L59" i="25" s="1"/>
  <c r="C51" i="25"/>
  <c r="D51" i="25"/>
  <c r="E51" i="25"/>
  <c r="F51" i="25"/>
  <c r="F57" i="25" s="1"/>
  <c r="G51" i="25"/>
  <c r="H51" i="25"/>
  <c r="I51" i="25"/>
  <c r="J51" i="25"/>
  <c r="J54" i="25" s="1"/>
  <c r="J60" i="25" s="1"/>
  <c r="K51" i="25"/>
  <c r="L51" i="25"/>
  <c r="M51" i="25"/>
  <c r="M54" i="25" s="1"/>
  <c r="C52" i="25"/>
  <c r="D52" i="25"/>
  <c r="E52" i="25"/>
  <c r="F52" i="25"/>
  <c r="F58" i="25" s="1"/>
  <c r="G52" i="25"/>
  <c r="H52" i="25"/>
  <c r="H58" i="25" s="1"/>
  <c r="I52" i="25"/>
  <c r="I54" i="25" s="1"/>
  <c r="J52" i="25"/>
  <c r="J58" i="25"/>
  <c r="K52" i="25"/>
  <c r="L52" i="25"/>
  <c r="M52" i="25"/>
  <c r="C53" i="25"/>
  <c r="D53" i="25"/>
  <c r="E53" i="25"/>
  <c r="E54" i="25" s="1"/>
  <c r="F53" i="25"/>
  <c r="G53" i="25"/>
  <c r="H53" i="25"/>
  <c r="I53" i="25"/>
  <c r="J53" i="25"/>
  <c r="J59" i="25" s="1"/>
  <c r="K53" i="25"/>
  <c r="L53" i="25"/>
  <c r="M53" i="25"/>
  <c r="D57" i="25"/>
  <c r="J57" i="25"/>
  <c r="D59" i="25"/>
  <c r="F59" i="25"/>
  <c r="C6" i="2"/>
  <c r="C7" i="2"/>
  <c r="C8" i="2"/>
  <c r="C17" i="2"/>
  <c r="C18" i="2"/>
  <c r="C19" i="2"/>
  <c r="C20" i="2"/>
  <c r="C21" i="2"/>
  <c r="C22" i="2"/>
  <c r="C26" i="2"/>
  <c r="C27" i="2"/>
  <c r="C28" i="2"/>
  <c r="C29" i="2"/>
  <c r="C32" i="2"/>
  <c r="C33" i="2"/>
  <c r="C34" i="2"/>
  <c r="C37" i="2"/>
  <c r="C38" i="2"/>
  <c r="C39" i="2"/>
  <c r="C42" i="2"/>
  <c r="C45" i="2"/>
  <c r="C46" i="2"/>
  <c r="C49" i="2"/>
  <c r="C50" i="2"/>
  <c r="C52" i="2"/>
  <c r="J19" i="25"/>
  <c r="J22" i="25" s="1"/>
  <c r="J20" i="25"/>
  <c r="F20" i="25"/>
  <c r="L40" i="25"/>
  <c r="J21" i="25"/>
  <c r="K73" i="22"/>
  <c r="K82" i="22" s="1"/>
  <c r="K71" i="22"/>
  <c r="K80" i="22" s="1"/>
  <c r="K63" i="22"/>
  <c r="N20" i="25"/>
  <c r="M41" i="25"/>
  <c r="H57" i="25"/>
  <c r="H63" i="25" s="1"/>
  <c r="K58" i="25"/>
  <c r="G58" i="25"/>
  <c r="K39" i="25"/>
  <c r="G39" i="25"/>
  <c r="C39" i="25"/>
  <c r="J40" i="25"/>
  <c r="J64" i="25" s="1"/>
  <c r="I39" i="25"/>
  <c r="I63" i="25" s="1"/>
  <c r="D19" i="25"/>
  <c r="E16" i="25"/>
  <c r="N11" i="25"/>
  <c r="F54" i="25"/>
  <c r="K59" i="25"/>
  <c r="G59" i="25"/>
  <c r="F48" i="25"/>
  <c r="F60" i="25" s="1"/>
  <c r="K41" i="25"/>
  <c r="I30" i="25"/>
  <c r="E40" i="25"/>
  <c r="H30" i="25"/>
  <c r="H42" i="25" s="1"/>
  <c r="H66" i="25" s="1"/>
  <c r="D39" i="25"/>
  <c r="D63" i="25"/>
  <c r="E21" i="25"/>
  <c r="L11" i="25"/>
  <c r="D54" i="25"/>
  <c r="D60" i="25" s="1"/>
  <c r="D58" i="25"/>
  <c r="K57" i="25"/>
  <c r="G48" i="25"/>
  <c r="C57" i="25"/>
  <c r="F36" i="25"/>
  <c r="K40" i="25"/>
  <c r="M19" i="25"/>
  <c r="G21" i="25"/>
  <c r="G22" i="25"/>
  <c r="D21" i="25"/>
  <c r="G20" i="25"/>
  <c r="C20" i="25"/>
  <c r="K63" i="25"/>
  <c r="C63" i="25"/>
  <c r="M36" i="25"/>
  <c r="M59" i="25"/>
  <c r="M65" i="25"/>
  <c r="F16" i="25"/>
  <c r="L21" i="25"/>
  <c r="G57" i="25"/>
  <c r="G63" i="25"/>
  <c r="K54" i="25"/>
  <c r="J48" i="25"/>
  <c r="C48" i="25"/>
  <c r="E36" i="25"/>
  <c r="K16" i="25"/>
  <c r="J16" i="25"/>
  <c r="H54" i="25"/>
  <c r="G54" i="25"/>
  <c r="G60" i="25"/>
  <c r="C54" i="25"/>
  <c r="C60" i="25" s="1"/>
  <c r="H39" i="25"/>
  <c r="G11" i="25"/>
  <c r="E48" i="25"/>
  <c r="I40" i="25"/>
  <c r="H36" i="25"/>
  <c r="L30" i="25"/>
  <c r="K48" i="25"/>
  <c r="D48" i="25"/>
  <c r="H40" i="25"/>
  <c r="H64" i="25" s="1"/>
  <c r="C36" i="25"/>
  <c r="G36" i="25"/>
  <c r="K30" i="25"/>
  <c r="K42" i="25" s="1"/>
  <c r="K66" i="25" s="1"/>
  <c r="G30" i="25"/>
  <c r="E30" i="25"/>
  <c r="E42" i="25" s="1"/>
  <c r="K11" i="25"/>
  <c r="K60" i="25"/>
  <c r="G42" i="25"/>
  <c r="G66" i="25" s="1"/>
  <c r="M16" i="25"/>
  <c r="I57" i="25"/>
  <c r="C59" i="25"/>
  <c r="C65" i="25"/>
  <c r="L57" i="25"/>
  <c r="N59" i="25"/>
  <c r="N40" i="25"/>
  <c r="N64" i="25" s="1"/>
  <c r="N48" i="25"/>
  <c r="N57" i="25"/>
  <c r="N30" i="25"/>
  <c r="K65" i="25"/>
  <c r="K64" i="25"/>
  <c r="M58" i="25"/>
  <c r="S93" i="26"/>
  <c r="S90" i="26"/>
  <c r="N36" i="25"/>
  <c r="N41" i="25"/>
  <c r="N65" i="25"/>
  <c r="Z30" i="6"/>
  <c r="AA30" i="6"/>
  <c r="S30" i="6"/>
  <c r="M19" i="7"/>
  <c r="I19" i="7"/>
  <c r="O22" i="7"/>
  <c r="K22" i="7"/>
  <c r="G22" i="7"/>
  <c r="N30" i="7"/>
  <c r="L68" i="22" s="1"/>
  <c r="L34" i="7"/>
  <c r="J70" i="22" s="1"/>
  <c r="J79" i="22" s="1"/>
  <c r="H34" i="7"/>
  <c r="F70" i="22" s="1"/>
  <c r="F79" i="22" s="1"/>
  <c r="O38" i="7"/>
  <c r="M72" i="22" s="1"/>
  <c r="M81" i="22" s="1"/>
  <c r="L43" i="7"/>
  <c r="H43" i="7"/>
  <c r="J46" i="7"/>
  <c r="F49" i="7"/>
  <c r="H52" i="7"/>
  <c r="Q19" i="6"/>
  <c r="Q26" i="6"/>
  <c r="V30" i="6"/>
  <c r="F30" i="7"/>
  <c r="D68" i="22" s="1"/>
  <c r="K34" i="7"/>
  <c r="I70" i="22" s="1"/>
  <c r="I79" i="22" s="1"/>
  <c r="G34" i="7"/>
  <c r="E70" i="22" s="1"/>
  <c r="E79" i="22" s="1"/>
  <c r="K43" i="7"/>
  <c r="G43" i="7"/>
  <c r="I46" i="7"/>
  <c r="M49" i="7"/>
  <c r="I49" i="7"/>
  <c r="E52" i="7"/>
  <c r="Q49" i="6"/>
  <c r="G19" i="7"/>
  <c r="O26" i="7"/>
  <c r="K26" i="7"/>
  <c r="G26" i="7"/>
  <c r="J34" i="7"/>
  <c r="H70" i="22" s="1"/>
  <c r="H79" i="22" s="1"/>
  <c r="Q7" i="6"/>
  <c r="Q16" i="6"/>
  <c r="W30" i="6"/>
  <c r="D23" i="2"/>
  <c r="U30" i="6"/>
  <c r="E11" i="34"/>
  <c r="C47" i="35" s="1"/>
  <c r="I2" i="35" l="1"/>
  <c r="N6" i="35"/>
  <c r="I4" i="35"/>
  <c r="K3" i="35"/>
  <c r="I8" i="35"/>
  <c r="K9" i="35"/>
  <c r="N7" i="35"/>
  <c r="I7" i="35"/>
  <c r="L2" i="35"/>
  <c r="L3" i="35"/>
  <c r="N5" i="35"/>
  <c r="K5" i="35"/>
  <c r="M3" i="35"/>
  <c r="M4" i="35"/>
  <c r="N8" i="35"/>
  <c r="M6" i="35"/>
  <c r="L22" i="25"/>
  <c r="M22" i="25"/>
  <c r="N21" i="25"/>
  <c r="S43" i="6"/>
  <c r="E23" i="2"/>
  <c r="N23" i="2"/>
  <c r="M23" i="2"/>
  <c r="O23" i="2"/>
  <c r="L23" i="2"/>
  <c r="W43" i="6"/>
  <c r="F7" i="7"/>
  <c r="D62" i="22" s="1"/>
  <c r="AB7" i="6"/>
  <c r="R7" i="6"/>
  <c r="J7" i="7"/>
  <c r="H62" i="22" s="1"/>
  <c r="V7" i="6"/>
  <c r="N7" i="7"/>
  <c r="L62" i="22" s="1"/>
  <c r="Z7" i="6"/>
  <c r="F11" i="7"/>
  <c r="AB11" i="6"/>
  <c r="R11" i="6"/>
  <c r="J11" i="7"/>
  <c r="V11" i="6"/>
  <c r="N11" i="7"/>
  <c r="Z11" i="6"/>
  <c r="F16" i="7"/>
  <c r="AB16" i="6"/>
  <c r="R16" i="6"/>
  <c r="J16" i="7"/>
  <c r="V16" i="6"/>
  <c r="N16" i="7"/>
  <c r="Z16" i="6"/>
  <c r="F19" i="7"/>
  <c r="AB19" i="6"/>
  <c r="R19" i="6"/>
  <c r="J19" i="7"/>
  <c r="V19" i="6"/>
  <c r="N19" i="7"/>
  <c r="Z19" i="6"/>
  <c r="F22" i="7"/>
  <c r="AB22" i="6"/>
  <c r="R22" i="6"/>
  <c r="J22" i="7"/>
  <c r="V22" i="6"/>
  <c r="N22" i="7"/>
  <c r="Z22" i="6"/>
  <c r="F26" i="7"/>
  <c r="AB26" i="6"/>
  <c r="R26" i="6"/>
  <c r="J26" i="7"/>
  <c r="V26" i="6"/>
  <c r="N26" i="7"/>
  <c r="Z26" i="6"/>
  <c r="D30" i="6"/>
  <c r="AB30" i="6"/>
  <c r="G38" i="7"/>
  <c r="E72" i="22" s="1"/>
  <c r="E81" i="22" s="1"/>
  <c r="S38" i="6"/>
  <c r="K38" i="7"/>
  <c r="I72" i="22" s="1"/>
  <c r="I81" i="22" s="1"/>
  <c r="W38" i="6"/>
  <c r="F46" i="7"/>
  <c r="R46" i="6"/>
  <c r="V46" i="6"/>
  <c r="N46" i="7"/>
  <c r="Z46" i="6"/>
  <c r="G49" i="7"/>
  <c r="S49" i="6"/>
  <c r="K49" i="7"/>
  <c r="W49" i="6"/>
  <c r="O49" i="7"/>
  <c r="AA49" i="6"/>
  <c r="G52" i="7"/>
  <c r="S52" i="6"/>
  <c r="K52" i="7"/>
  <c r="W52" i="6"/>
  <c r="G7" i="7"/>
  <c r="E62" i="22" s="1"/>
  <c r="S7" i="6"/>
  <c r="K7" i="7"/>
  <c r="I62" i="22" s="1"/>
  <c r="W7" i="6"/>
  <c r="O7" i="7"/>
  <c r="M62" i="22" s="1"/>
  <c r="AA7" i="6"/>
  <c r="G11" i="7"/>
  <c r="S11" i="6"/>
  <c r="K11" i="7"/>
  <c r="W11" i="6"/>
  <c r="O11" i="7"/>
  <c r="AA11" i="6"/>
  <c r="G16" i="7"/>
  <c r="S16" i="6"/>
  <c r="K16" i="7"/>
  <c r="W16" i="6"/>
  <c r="O16" i="7"/>
  <c r="AA16" i="6"/>
  <c r="H38" i="7"/>
  <c r="F72" i="22" s="1"/>
  <c r="F81" i="22" s="1"/>
  <c r="T38" i="6"/>
  <c r="L38" i="7"/>
  <c r="J72" i="22" s="1"/>
  <c r="J81" i="22" s="1"/>
  <c r="X38" i="6"/>
  <c r="G46" i="7"/>
  <c r="S46" i="6"/>
  <c r="K46" i="7"/>
  <c r="W46" i="6"/>
  <c r="H49" i="7"/>
  <c r="T49" i="6"/>
  <c r="L49" i="7"/>
  <c r="X49" i="6"/>
  <c r="L52" i="7"/>
  <c r="X52" i="6"/>
  <c r="H7" i="7"/>
  <c r="F62" i="22" s="1"/>
  <c r="T7" i="6"/>
  <c r="L7" i="7"/>
  <c r="J62" i="22" s="1"/>
  <c r="X7" i="6"/>
  <c r="H11" i="7"/>
  <c r="T11" i="6"/>
  <c r="L11" i="7"/>
  <c r="X11" i="6"/>
  <c r="H16" i="7"/>
  <c r="T16" i="6"/>
  <c r="L16" i="7"/>
  <c r="X16" i="6"/>
  <c r="H19" i="7"/>
  <c r="T19" i="6"/>
  <c r="L19" i="7"/>
  <c r="X19" i="6"/>
  <c r="H22" i="7"/>
  <c r="T22" i="6"/>
  <c r="L22" i="7"/>
  <c r="X22" i="6"/>
  <c r="H26" i="7"/>
  <c r="T26" i="6"/>
  <c r="L26" i="7"/>
  <c r="X26" i="6"/>
  <c r="I34" i="7"/>
  <c r="G70" i="22" s="1"/>
  <c r="G79" i="22" s="1"/>
  <c r="U34" i="6"/>
  <c r="M34" i="7"/>
  <c r="K70" i="22" s="1"/>
  <c r="K79" i="22" s="1"/>
  <c r="Y34" i="6"/>
  <c r="I38" i="7"/>
  <c r="G72" i="22" s="1"/>
  <c r="G81" i="22" s="1"/>
  <c r="U38" i="6"/>
  <c r="M38" i="7"/>
  <c r="K72" i="22" s="1"/>
  <c r="K81" i="22" s="1"/>
  <c r="Y38" i="6"/>
  <c r="I43" i="7"/>
  <c r="U43" i="6"/>
  <c r="H46" i="7"/>
  <c r="T46" i="6"/>
  <c r="L46" i="7"/>
  <c r="X46" i="6"/>
  <c r="I52" i="7"/>
  <c r="U52" i="6"/>
  <c r="M52" i="7"/>
  <c r="Y52" i="6"/>
  <c r="I7" i="7"/>
  <c r="G62" i="22" s="1"/>
  <c r="U7" i="6"/>
  <c r="M7" i="7"/>
  <c r="K62" i="22" s="1"/>
  <c r="Y7" i="6"/>
  <c r="I11" i="7"/>
  <c r="U11" i="6"/>
  <c r="M11" i="7"/>
  <c r="Y11" i="6"/>
  <c r="I16" i="7"/>
  <c r="U16" i="6"/>
  <c r="M16" i="7"/>
  <c r="Y16" i="6"/>
  <c r="U19" i="6"/>
  <c r="Y19" i="6"/>
  <c r="I22" i="7"/>
  <c r="U22" i="6"/>
  <c r="M22" i="7"/>
  <c r="Y22" i="6"/>
  <c r="I26" i="7"/>
  <c r="U26" i="6"/>
  <c r="M26" i="7"/>
  <c r="Y26" i="6"/>
  <c r="F34" i="7"/>
  <c r="D70" i="22" s="1"/>
  <c r="D79" i="22" s="1"/>
  <c r="R34" i="6"/>
  <c r="V34" i="6"/>
  <c r="N34" i="7"/>
  <c r="L70" i="22" s="1"/>
  <c r="L79" i="22" s="1"/>
  <c r="Z34" i="6"/>
  <c r="F38" i="7"/>
  <c r="D72" i="22" s="1"/>
  <c r="D81" i="22" s="1"/>
  <c r="R38" i="6"/>
  <c r="AB38" i="6"/>
  <c r="J38" i="7"/>
  <c r="H72" i="22" s="1"/>
  <c r="H81" i="22" s="1"/>
  <c r="V38" i="6"/>
  <c r="N38" i="7"/>
  <c r="L72" i="22" s="1"/>
  <c r="L81" i="22" s="1"/>
  <c r="Z38" i="6"/>
  <c r="F43" i="7"/>
  <c r="AB43" i="6"/>
  <c r="R43" i="6"/>
  <c r="J43" i="7"/>
  <c r="V43" i="6"/>
  <c r="U46" i="6"/>
  <c r="Y46" i="6"/>
  <c r="AB49" i="6"/>
  <c r="R49" i="6"/>
  <c r="J49" i="7"/>
  <c r="V49" i="6"/>
  <c r="N49" i="7"/>
  <c r="Z49" i="6"/>
  <c r="R52" i="6"/>
  <c r="V52" i="6"/>
  <c r="N52" i="7"/>
  <c r="Z52" i="6"/>
  <c r="N22" i="25"/>
  <c r="AA34" i="6"/>
  <c r="O34" i="7"/>
  <c r="M70" i="22" s="1"/>
  <c r="M79" i="22" s="1"/>
  <c r="E66" i="25"/>
  <c r="C64" i="25"/>
  <c r="J66" i="25"/>
  <c r="F63" i="25"/>
  <c r="F66" i="25"/>
  <c r="E60" i="25"/>
  <c r="L64" i="25"/>
  <c r="J65" i="25"/>
  <c r="I65" i="25"/>
  <c r="K22" i="25"/>
  <c r="H22" i="25"/>
  <c r="H65" i="25"/>
  <c r="I66" i="25"/>
  <c r="E63" i="25"/>
  <c r="L65" i="25"/>
  <c r="H11" i="25"/>
  <c r="D41" i="25"/>
  <c r="D65" i="25" s="1"/>
  <c r="I48" i="25"/>
  <c r="I60" i="25" s="1"/>
  <c r="D20" i="25"/>
  <c r="D22" i="25" s="1"/>
  <c r="E19" i="25"/>
  <c r="E22" i="25" s="1"/>
  <c r="F21" i="25"/>
  <c r="F22" i="25" s="1"/>
  <c r="L16" i="25"/>
  <c r="L48" i="25"/>
  <c r="L36" i="25"/>
  <c r="L42" i="25" s="1"/>
  <c r="L66" i="25" s="1"/>
  <c r="C30" i="25"/>
  <c r="C42" i="25" s="1"/>
  <c r="C66" i="25" s="1"/>
  <c r="N54" i="25"/>
  <c r="L54" i="25"/>
  <c r="J39" i="25"/>
  <c r="J63" i="25" s="1"/>
  <c r="N43" i="7"/>
  <c r="Z43" i="6"/>
  <c r="O43" i="7"/>
  <c r="AA43" i="6"/>
  <c r="M43" i="7"/>
  <c r="Y43" i="6"/>
  <c r="N60" i="25"/>
  <c r="M57" i="25"/>
  <c r="L60" i="25"/>
  <c r="N42" i="25"/>
  <c r="N63" i="25"/>
  <c r="M39" i="25"/>
  <c r="M63" i="25" s="1"/>
  <c r="L39" i="25"/>
  <c r="M48" i="25"/>
  <c r="M60" i="25" s="1"/>
  <c r="L63" i="25"/>
  <c r="M30" i="25"/>
  <c r="M42" i="25" s="1"/>
  <c r="M66" i="25" s="1"/>
  <c r="E43" i="7"/>
  <c r="Q46" i="6"/>
  <c r="E38" i="7"/>
  <c r="C72" i="22" s="1"/>
  <c r="C81" i="22" s="1"/>
  <c r="F52" i="7"/>
  <c r="K19" i="7"/>
  <c r="M46" i="7"/>
  <c r="Q22" i="6"/>
  <c r="Q43" i="6"/>
  <c r="J52" i="7"/>
  <c r="E34" i="7"/>
  <c r="C70" i="22" s="1"/>
  <c r="C79" i="22" s="1"/>
  <c r="E22" i="7"/>
  <c r="O19" i="7"/>
  <c r="Q11" i="6"/>
  <c r="Y30" i="6"/>
  <c r="P22" i="6"/>
  <c r="P30" i="6"/>
  <c r="P11" i="6"/>
  <c r="Q38" i="6"/>
  <c r="P43" i="6"/>
  <c r="P46" i="6"/>
  <c r="E49" i="7"/>
  <c r="Q52" i="6"/>
  <c r="D30" i="7"/>
  <c r="B68" i="22" s="1"/>
  <c r="R30" i="6"/>
  <c r="D22" i="7"/>
  <c r="Q30" i="6"/>
  <c r="P38" i="6"/>
  <c r="P49" i="6"/>
  <c r="P52" i="6"/>
  <c r="T30" i="6"/>
  <c r="X30" i="6"/>
  <c r="P7" i="6"/>
  <c r="P19" i="6"/>
  <c r="P26" i="6"/>
  <c r="P34" i="6"/>
  <c r="E11" i="6"/>
  <c r="I11" i="6"/>
  <c r="M11" i="6"/>
  <c r="F11" i="6"/>
  <c r="J11" i="6"/>
  <c r="N11" i="6"/>
  <c r="G11" i="6"/>
  <c r="K11" i="6"/>
  <c r="O11" i="6"/>
  <c r="D11" i="6"/>
  <c r="H11" i="6"/>
  <c r="L11" i="6"/>
  <c r="F19" i="6"/>
  <c r="J19" i="6"/>
  <c r="N19" i="6"/>
  <c r="G19" i="6"/>
  <c r="K19" i="6"/>
  <c r="O19" i="6"/>
  <c r="D19" i="6"/>
  <c r="H19" i="6"/>
  <c r="L19" i="6"/>
  <c r="E19" i="7"/>
  <c r="E19" i="6"/>
  <c r="I19" i="6"/>
  <c r="M19" i="6"/>
  <c r="F26" i="6"/>
  <c r="J26" i="6"/>
  <c r="N26" i="6"/>
  <c r="G26" i="6"/>
  <c r="K26" i="6"/>
  <c r="O26" i="6"/>
  <c r="D26" i="6"/>
  <c r="H26" i="6"/>
  <c r="L26" i="6"/>
  <c r="E26" i="7"/>
  <c r="E26" i="6"/>
  <c r="I26" i="6"/>
  <c r="M26" i="6"/>
  <c r="E34" i="6"/>
  <c r="I34" i="6"/>
  <c r="M34" i="6"/>
  <c r="F34" i="6"/>
  <c r="J34" i="6"/>
  <c r="N34" i="6"/>
  <c r="G34" i="6"/>
  <c r="K34" i="6"/>
  <c r="O34" i="6"/>
  <c r="D34" i="6"/>
  <c r="H34" i="6"/>
  <c r="L34" i="6"/>
  <c r="Q34" i="6"/>
  <c r="D11" i="7"/>
  <c r="P16" i="6"/>
  <c r="D7" i="6"/>
  <c r="H7" i="6"/>
  <c r="L7" i="6"/>
  <c r="E7" i="6"/>
  <c r="I7" i="6"/>
  <c r="M7" i="6"/>
  <c r="F7" i="6"/>
  <c r="J7" i="6"/>
  <c r="N7" i="6"/>
  <c r="G7" i="6"/>
  <c r="K7" i="6"/>
  <c r="O7" i="6"/>
  <c r="D16" i="6"/>
  <c r="H16" i="6"/>
  <c r="L16" i="6"/>
  <c r="E16" i="6"/>
  <c r="I16" i="6"/>
  <c r="M16" i="6"/>
  <c r="F16" i="6"/>
  <c r="J16" i="6"/>
  <c r="N16" i="6"/>
  <c r="E16" i="7"/>
  <c r="G16" i="6"/>
  <c r="K16" i="6"/>
  <c r="O16" i="6"/>
  <c r="O22" i="6"/>
  <c r="K22" i="6"/>
  <c r="G22" i="6"/>
  <c r="O30" i="6"/>
  <c r="K30" i="6"/>
  <c r="G30" i="6"/>
  <c r="O38" i="6"/>
  <c r="K38" i="6"/>
  <c r="G38" i="6"/>
  <c r="M43" i="6"/>
  <c r="I43" i="6"/>
  <c r="E43" i="6"/>
  <c r="O46" i="6"/>
  <c r="K46" i="6"/>
  <c r="G46" i="6"/>
  <c r="M49" i="6"/>
  <c r="I49" i="6"/>
  <c r="E49" i="6"/>
  <c r="O52" i="6"/>
  <c r="K52" i="6"/>
  <c r="G52" i="6"/>
  <c r="D43" i="7"/>
  <c r="E46" i="7"/>
  <c r="N22" i="6"/>
  <c r="J22" i="6"/>
  <c r="F22" i="6"/>
  <c r="N30" i="6"/>
  <c r="J30" i="6"/>
  <c r="F30" i="6"/>
  <c r="N38" i="6"/>
  <c r="J38" i="6"/>
  <c r="F38" i="6"/>
  <c r="L43" i="6"/>
  <c r="H43" i="6"/>
  <c r="D43" i="6"/>
  <c r="N46" i="6"/>
  <c r="J46" i="6"/>
  <c r="F46" i="6"/>
  <c r="L49" i="6"/>
  <c r="H49" i="6"/>
  <c r="D49" i="6"/>
  <c r="N52" i="6"/>
  <c r="J52" i="6"/>
  <c r="F52" i="6"/>
  <c r="M22" i="6"/>
  <c r="I22" i="6"/>
  <c r="E22" i="6"/>
  <c r="M30" i="6"/>
  <c r="I30" i="6"/>
  <c r="E30" i="6"/>
  <c r="M38" i="6"/>
  <c r="I38" i="6"/>
  <c r="E38" i="6"/>
  <c r="O43" i="6"/>
  <c r="K43" i="6"/>
  <c r="G43" i="6"/>
  <c r="M46" i="6"/>
  <c r="I46" i="6"/>
  <c r="E46" i="6"/>
  <c r="O49" i="6"/>
  <c r="K49" i="6"/>
  <c r="G49" i="6"/>
  <c r="M52" i="6"/>
  <c r="I52" i="6"/>
  <c r="E52" i="6"/>
  <c r="D46" i="7"/>
  <c r="L22" i="6"/>
  <c r="H22" i="6"/>
  <c r="L30" i="6"/>
  <c r="H30" i="6"/>
  <c r="L38" i="6"/>
  <c r="H38" i="6"/>
  <c r="N43" i="6"/>
  <c r="J43" i="6"/>
  <c r="L46" i="6"/>
  <c r="H46" i="6"/>
  <c r="N49" i="6"/>
  <c r="J49" i="6"/>
  <c r="L52" i="6"/>
  <c r="H52" i="6"/>
  <c r="J8" i="35"/>
  <c r="J9" i="35"/>
  <c r="N9" i="35"/>
  <c r="N3" i="35"/>
  <c r="I11" i="35" s="1"/>
  <c r="L9" i="35"/>
  <c r="J3" i="35"/>
  <c r="J5" i="35"/>
  <c r="K7" i="35"/>
  <c r="M7" i="35"/>
  <c r="N4" i="35"/>
  <c r="I12" i="35" s="1"/>
  <c r="N2" i="35"/>
  <c r="I10" i="35" s="1"/>
  <c r="J4" i="35"/>
  <c r="L5" i="35"/>
  <c r="J7" i="35"/>
  <c r="I5" i="35"/>
  <c r="K4" i="35"/>
  <c r="L8" i="35"/>
  <c r="I3" i="35"/>
  <c r="K8" i="35"/>
  <c r="O5" i="35"/>
  <c r="O4" i="35"/>
  <c r="O3" i="35"/>
  <c r="O2" i="35"/>
  <c r="M2" i="35"/>
  <c r="J6" i="35"/>
  <c r="I9" i="35"/>
  <c r="L4" i="35"/>
  <c r="K6" i="35"/>
  <c r="M5" i="35"/>
  <c r="I6" i="35"/>
  <c r="M9" i="35"/>
  <c r="L6" i="35"/>
  <c r="O9" i="35"/>
  <c r="O8" i="35"/>
  <c r="O7" i="35"/>
  <c r="O6" i="35"/>
  <c r="L7" i="35"/>
  <c r="J2" i="35"/>
  <c r="K2" i="35"/>
  <c r="E46" i="35"/>
  <c r="F46" i="35" s="1"/>
  <c r="F11" i="34"/>
  <c r="D47" i="35" s="1"/>
  <c r="C9" i="34"/>
  <c r="N66" i="25" l="1"/>
  <c r="B56" i="35"/>
  <c r="M12" i="34" s="1"/>
  <c r="G56" i="35"/>
  <c r="E16" i="34" s="1"/>
  <c r="C50" i="35" s="1"/>
  <c r="D56" i="35"/>
  <c r="D14" i="34" s="1"/>
  <c r="B49" i="35" s="1"/>
  <c r="J11" i="35"/>
  <c r="J12" i="35"/>
  <c r="J10" i="35"/>
  <c r="G11" i="34"/>
  <c r="E47" i="35" s="1"/>
  <c r="G46" i="35"/>
  <c r="H11" i="34"/>
  <c r="P9" i="34" l="1"/>
  <c r="D12" i="34"/>
  <c r="B48" i="35" s="1"/>
  <c r="F12" i="34"/>
  <c r="D48" i="35" s="1"/>
  <c r="E12" i="34"/>
  <c r="C48" i="35" s="1"/>
  <c r="C12" i="34"/>
  <c r="A64" i="35" s="1"/>
  <c r="O9" i="34"/>
  <c r="E14" i="34"/>
  <c r="C49" i="35" s="1"/>
  <c r="D16" i="34"/>
  <c r="B50" i="35" s="1"/>
  <c r="F16" i="34"/>
  <c r="D50" i="35" s="1"/>
  <c r="C16" i="34"/>
  <c r="A50" i="35" s="1"/>
  <c r="F14" i="34"/>
  <c r="D49" i="35" s="1"/>
  <c r="C14" i="34"/>
  <c r="A49" i="35" s="1"/>
  <c r="G14" i="34"/>
  <c r="E49" i="35" s="1"/>
  <c r="G12" i="34"/>
  <c r="E48" i="35" s="1"/>
  <c r="G16" i="34"/>
  <c r="E50" i="35" s="1"/>
  <c r="F47" i="35"/>
  <c r="H12" i="34"/>
  <c r="F48" i="35" s="1"/>
  <c r="H14" i="34"/>
  <c r="F49" i="35" s="1"/>
  <c r="H16" i="34"/>
  <c r="F50" i="35" s="1"/>
  <c r="H46" i="35"/>
  <c r="I11" i="34"/>
  <c r="C52" i="35" l="1"/>
  <c r="A48" i="35"/>
  <c r="B52" i="35"/>
  <c r="A66" i="35"/>
  <c r="D52" i="35"/>
  <c r="A65" i="35"/>
  <c r="F52" i="35"/>
  <c r="E52" i="35"/>
  <c r="G47" i="35"/>
  <c r="I16" i="34"/>
  <c r="G50" i="35" s="1"/>
  <c r="I12" i="34"/>
  <c r="G48" i="35" s="1"/>
  <c r="I14" i="34"/>
  <c r="G49" i="35" s="1"/>
  <c r="J11" i="34"/>
  <c r="I46" i="35"/>
  <c r="G52" i="35" l="1"/>
  <c r="K11" i="34"/>
  <c r="J46" i="35"/>
  <c r="H47" i="35"/>
  <c r="J12" i="34"/>
  <c r="H48" i="35" s="1"/>
  <c r="J16" i="34"/>
  <c r="H50" i="35" s="1"/>
  <c r="J14" i="34"/>
  <c r="H49" i="35" s="1"/>
  <c r="H52" i="35" l="1"/>
  <c r="K46" i="35"/>
  <c r="L11" i="34"/>
  <c r="I47" i="35"/>
  <c r="K16" i="34"/>
  <c r="I50" i="35" s="1"/>
  <c r="K14" i="34"/>
  <c r="I49" i="35" s="1"/>
  <c r="K12" i="34"/>
  <c r="I48" i="35" s="1"/>
  <c r="I52" i="35" l="1"/>
  <c r="J47" i="35"/>
  <c r="L16" i="34"/>
  <c r="J50" i="35" s="1"/>
  <c r="L12" i="34"/>
  <c r="L14" i="34"/>
  <c r="J49" i="35" s="1"/>
  <c r="L46" i="35"/>
  <c r="N11" i="34" s="1"/>
  <c r="M11" i="34"/>
  <c r="J48" i="35" l="1"/>
  <c r="J52" i="35" s="1"/>
  <c r="K47" i="35"/>
  <c r="K48" i="35"/>
  <c r="M16" i="34"/>
  <c r="K50" i="35" s="1"/>
  <c r="M14" i="34"/>
  <c r="K49" i="35" s="1"/>
  <c r="L47" i="35"/>
  <c r="N12" i="34"/>
  <c r="N16" i="34"/>
  <c r="N14" i="34"/>
  <c r="K52" i="35" l="1"/>
  <c r="P16" i="34"/>
  <c r="L50" i="35"/>
  <c r="O16" i="34"/>
  <c r="L49" i="35"/>
  <c r="O14" i="34"/>
  <c r="P14" i="34"/>
  <c r="L48" i="35"/>
  <c r="P12" i="34"/>
  <c r="O12" i="34"/>
  <c r="L52" i="35" l="1"/>
  <c r="D63" i="35" s="1"/>
  <c r="B63" i="35" l="1"/>
  <c r="C63" i="35" l="1"/>
  <c r="C64" i="35"/>
  <c r="D65" i="35"/>
  <c r="D66" i="35"/>
  <c r="B65" i="35"/>
  <c r="C66" i="35"/>
  <c r="B64" i="35"/>
  <c r="B66" i="35"/>
  <c r="C65" i="35"/>
  <c r="D64" i="35"/>
</calcChain>
</file>

<file path=xl/sharedStrings.xml><?xml version="1.0" encoding="utf-8"?>
<sst xmlns="http://schemas.openxmlformats.org/spreadsheetml/2006/main" count="3072" uniqueCount="731">
  <si>
    <t>Numbers</t>
  </si>
  <si>
    <t xml:space="preserve">  </t>
  </si>
  <si>
    <t>Vehicles Licensed</t>
  </si>
  <si>
    <t>thousands</t>
  </si>
  <si>
    <t>New Registrations</t>
  </si>
  <si>
    <t>millions</t>
  </si>
  <si>
    <r>
      <t>Passenger Journeys (boardings)</t>
    </r>
    <r>
      <rPr>
        <vertAlign val="superscript"/>
        <sz val="10"/>
        <rFont val="Arial"/>
        <family val="2"/>
      </rPr>
      <t>3</t>
    </r>
  </si>
  <si>
    <t>..</t>
  </si>
  <si>
    <r>
      <t>Vehicle Kilometres</t>
    </r>
    <r>
      <rPr>
        <vertAlign val="superscript"/>
        <sz val="10"/>
        <rFont val="Arial"/>
        <family val="2"/>
      </rPr>
      <t>3</t>
    </r>
  </si>
  <si>
    <r>
      <t>Passenger Revenue</t>
    </r>
    <r>
      <rPr>
        <vertAlign val="superscript"/>
        <sz val="10"/>
        <rFont val="Arial"/>
        <family val="2"/>
      </rPr>
      <t xml:space="preserve"> </t>
    </r>
  </si>
  <si>
    <t>£ million</t>
  </si>
  <si>
    <t>Freight Lifted</t>
  </si>
  <si>
    <t>million tonnes</t>
  </si>
  <si>
    <r>
      <t xml:space="preserve">Rail </t>
    </r>
    <r>
      <rPr>
        <vertAlign val="superscript"/>
        <sz val="10"/>
        <rFont val="Arial"/>
        <family val="2"/>
      </rPr>
      <t>2</t>
    </r>
  </si>
  <si>
    <t>Coastwise traffic</t>
  </si>
  <si>
    <t>One Port traffic</t>
  </si>
  <si>
    <t>Inland waterway traffic</t>
  </si>
  <si>
    <r>
      <t xml:space="preserve">Pipelines </t>
    </r>
    <r>
      <rPr>
        <vertAlign val="superscript"/>
        <sz val="10"/>
        <rFont val="Arial"/>
        <family val="2"/>
      </rPr>
      <t>5</t>
    </r>
  </si>
  <si>
    <t>kilometres</t>
  </si>
  <si>
    <t>Trunk (A and M)</t>
  </si>
  <si>
    <t>Other Major (A and M)</t>
  </si>
  <si>
    <t>Minor Roads</t>
  </si>
  <si>
    <t>Road Traffic</t>
  </si>
  <si>
    <t>million vehicle-kilometres</t>
  </si>
  <si>
    <t>Motorways</t>
  </si>
  <si>
    <t xml:space="preserve">A roads </t>
  </si>
  <si>
    <t>All roads (incl. B, C, uncl.)</t>
  </si>
  <si>
    <t>Killed</t>
  </si>
  <si>
    <t>Killed and Serious</t>
  </si>
  <si>
    <t>All (Killed, Serious, Slight)</t>
  </si>
  <si>
    <t xml:space="preserve">  ORR data:</t>
  </si>
  <si>
    <t>Air Transport</t>
  </si>
  <si>
    <t>Terminal Passengers</t>
  </si>
  <si>
    <t>Transport Movements</t>
  </si>
  <si>
    <t>thousand tonnes</t>
  </si>
  <si>
    <t>Freight</t>
  </si>
  <si>
    <t>Passengers</t>
  </si>
  <si>
    <t>Vehicles</t>
  </si>
  <si>
    <t>DfT has revised the figures for the light goods and goods body types back to 2001. DfT does not have the underlying data to revise earlier years' figures.</t>
  </si>
  <si>
    <t>Financial years</t>
  </si>
  <si>
    <t>The DfT have revised figures from 2004/05 onwards as a result of methodological improvements. Figures prior to this period are not directly comparable.</t>
  </si>
  <si>
    <t>Freight lifted in Scotland by UK-registered hauliers, regardless of whether the destination is in Scotland, elsewhere in the UK or outwith the UK.</t>
  </si>
  <si>
    <t>The figures for 2004 onwards are not compatible with those for earlier years due to changes in methodology and processing system for the survey.</t>
  </si>
  <si>
    <t xml:space="preserve">ScotRail introduced a new methodology which better estimates Strathclyde Zonecard journeys from 2009/10. Figures from 2003/04 onwards </t>
  </si>
  <si>
    <t>present the impact of this on previously reported data to provide a more meaningful year on year comparison. Note that this has no impact on actual</t>
  </si>
  <si>
    <t xml:space="preserve">The Office of Rail Regulation (ORR) produce total passenger figures. These are not adjusted to reflect ScotRail's revised methdology and are therefore </t>
  </si>
  <si>
    <t>not comparable with ScotRail figures.</t>
  </si>
  <si>
    <t>Passenger Revenue</t>
  </si>
  <si>
    <t>Place of work</t>
  </si>
  <si>
    <t>Works from home</t>
  </si>
  <si>
    <t>Does not work from home</t>
  </si>
  <si>
    <t>Sample size (=100%)</t>
  </si>
  <si>
    <t>Walking</t>
  </si>
  <si>
    <t xml:space="preserve">Car or Van </t>
  </si>
  <si>
    <t>Driver</t>
  </si>
  <si>
    <t>Passenger</t>
  </si>
  <si>
    <t>Bicycle</t>
  </si>
  <si>
    <t>Bus</t>
  </si>
  <si>
    <t>Rail, including underground</t>
  </si>
  <si>
    <t>Other</t>
  </si>
  <si>
    <t>Travel to school</t>
  </si>
  <si>
    <t>Bus (school or service)</t>
  </si>
  <si>
    <t>School bus</t>
  </si>
  <si>
    <t>Service bus</t>
  </si>
  <si>
    <t>No car</t>
  </si>
  <si>
    <t>One car</t>
  </si>
  <si>
    <t>Two Cars</t>
  </si>
  <si>
    <t>Three or more cars</t>
  </si>
  <si>
    <t>One or more cars</t>
  </si>
  <si>
    <t>Two or more cars</t>
  </si>
  <si>
    <t>1+ Bicycles which can be used by adults</t>
  </si>
  <si>
    <t>Sample size</t>
  </si>
  <si>
    <t xml:space="preserve">Driving (aged 17+) </t>
  </si>
  <si>
    <t>Those with a full driving licence</t>
  </si>
  <si>
    <t xml:space="preserve">Male </t>
  </si>
  <si>
    <t>Female</t>
  </si>
  <si>
    <t>All</t>
  </si>
  <si>
    <t xml:space="preserve">Frequency of driving </t>
  </si>
  <si>
    <t>Every day</t>
  </si>
  <si>
    <t>At least three times a week</t>
  </si>
  <si>
    <t>Once or twice a week</t>
  </si>
  <si>
    <t>At least 2-3 times a month</t>
  </si>
  <si>
    <t>At least once a month</t>
  </si>
  <si>
    <t>Less than once a month</t>
  </si>
  <si>
    <t>Holds full licence, never drives</t>
  </si>
  <si>
    <t>Does not have a full driving licence</t>
  </si>
  <si>
    <t>Frequency of use of local bus/train service (aged 16+)</t>
  </si>
  <si>
    <t>Bus service</t>
  </si>
  <si>
    <t>Every day or almost every day</t>
  </si>
  <si>
    <t>2 or 3 times per week</t>
  </si>
  <si>
    <t>About once a week</t>
  </si>
  <si>
    <t>Once or twice a month</t>
  </si>
  <si>
    <t>Not used in the past month</t>
  </si>
  <si>
    <t>Train service</t>
  </si>
  <si>
    <t xml:space="preserve">Sample size (=100%) </t>
  </si>
  <si>
    <t>2.  Employed adults (aged 16+) not working from home</t>
  </si>
  <si>
    <t>Passenger journeys</t>
  </si>
  <si>
    <t>to / from other parts of UK</t>
  </si>
  <si>
    <t xml:space="preserve">Rail </t>
  </si>
  <si>
    <t>Total these modes</t>
  </si>
  <si>
    <t>to / from other countries</t>
  </si>
  <si>
    <t xml:space="preserve">Total cross-border passengers </t>
  </si>
  <si>
    <t>Rail</t>
  </si>
  <si>
    <t>Air</t>
  </si>
  <si>
    <t>Ferry</t>
  </si>
  <si>
    <t>millions of tonnes lifted</t>
  </si>
  <si>
    <t>to other parts of UK</t>
  </si>
  <si>
    <t>Water</t>
  </si>
  <si>
    <t>from other parts of UK</t>
  </si>
  <si>
    <t>Total to / from other parts of UK</t>
  </si>
  <si>
    <t>Road</t>
  </si>
  <si>
    <t>to other countries</t>
  </si>
  <si>
    <t>from other countries</t>
  </si>
  <si>
    <t>Total to / from other countries</t>
  </si>
  <si>
    <t>Total</t>
  </si>
  <si>
    <t>Total cross-border freight</t>
  </si>
  <si>
    <t>Scotland / Northern Ireland ferries</t>
  </si>
  <si>
    <t>Freight lifted by UK HGVs only - does not include freight carried by other HGVs or by other types of vehicle (such as light goods vehicles)</t>
  </si>
  <si>
    <t>The figures for 2004 onwards are not directly comparable with earlier years, due to changes to the survey's methodology &amp; processing.</t>
  </si>
  <si>
    <t>The Rail figures for "outwith UK" include freight  taken to Scottish, English or Welsh ports for export.</t>
  </si>
  <si>
    <t>Figures relate only to exports/imports from major ports only.  Note these have increased over the years.</t>
  </si>
  <si>
    <t>The Rail figures for "outwith UK" include freight  imported at an English or Welsh port, then brought into Scotland by rail.</t>
  </si>
  <si>
    <t>thousand</t>
  </si>
  <si>
    <t>Scotland</t>
  </si>
  <si>
    <t>GB</t>
  </si>
  <si>
    <r>
      <t>Scotland</t>
    </r>
    <r>
      <rPr>
        <vertAlign val="superscript"/>
        <sz val="10"/>
        <rFont val="Arial"/>
        <family val="2"/>
      </rPr>
      <t>3</t>
    </r>
  </si>
  <si>
    <t xml:space="preserve">Motorway </t>
  </si>
  <si>
    <t xml:space="preserve">GB </t>
  </si>
  <si>
    <t>All roads (incl. B, C, unclassified)</t>
  </si>
  <si>
    <t>million</t>
  </si>
  <si>
    <t xml:space="preserve">Air terminal passengers </t>
  </si>
  <si>
    <t>UK</t>
  </si>
  <si>
    <t xml:space="preserve">Freight Lifted </t>
  </si>
  <si>
    <t>These figures are for freight lifted by Heavy Goods Vehicles.  The GB figures are for freight transported within GB; the Scottish</t>
  </si>
  <si>
    <t xml:space="preserve">figures include small amounts of freight destined for Northern Ireland and outside the UK. </t>
  </si>
  <si>
    <t>The GB figures relate to motor vehicle traffic only, and therefore exclude a small amount of pedal cycle traffic.</t>
  </si>
  <si>
    <t xml:space="preserve">Total passenger figures are produced by the ORR and have not been adjusted to reflect ScotRail's revised zonecard methdology. </t>
  </si>
  <si>
    <t xml:space="preserve">Figures are based on the origin and destination of trips and do not count stages of these trips separately. </t>
  </si>
  <si>
    <t>Average household expenditure</t>
  </si>
  <si>
    <t xml:space="preserve"> </t>
  </si>
  <si>
    <t>per 100 population</t>
  </si>
  <si>
    <t>kilometres per 1,000 population</t>
  </si>
  <si>
    <t>vehicle kilometres per head</t>
  </si>
  <si>
    <t>A Roads</t>
  </si>
  <si>
    <r>
      <t xml:space="preserve">GB </t>
    </r>
    <r>
      <rPr>
        <vertAlign val="superscript"/>
        <sz val="10"/>
        <rFont val="Arial"/>
        <family val="2"/>
      </rPr>
      <t>2</t>
    </r>
  </si>
  <si>
    <t>All roads (incl. B, C and unclassified)</t>
  </si>
  <si>
    <t>per 1,000 population</t>
  </si>
  <si>
    <t>per head</t>
  </si>
  <si>
    <t>tonnes per head</t>
  </si>
  <si>
    <t xml:space="preserve">UK </t>
  </si>
  <si>
    <t>Car</t>
  </si>
  <si>
    <t>vehicle</t>
  </si>
  <si>
    <t>passenger</t>
  </si>
  <si>
    <t>terminal</t>
  </si>
  <si>
    <t>passengers</t>
  </si>
  <si>
    <t>journeys</t>
  </si>
  <si>
    <t>on selected</t>
  </si>
  <si>
    <t>on major</t>
  </si>
  <si>
    <t>on</t>
  </si>
  <si>
    <t>originating</t>
  </si>
  <si>
    <t>at</t>
  </si>
  <si>
    <t>ferry</t>
  </si>
  <si>
    <t xml:space="preserve">roads </t>
  </si>
  <si>
    <t>local</t>
  </si>
  <si>
    <t>in</t>
  </si>
  <si>
    <t>airports</t>
  </si>
  <si>
    <r>
      <t xml:space="preserve">services </t>
    </r>
    <r>
      <rPr>
        <vertAlign val="superscript"/>
        <sz val="10"/>
        <rFont val="Arial"/>
        <family val="2"/>
      </rPr>
      <t>4</t>
    </r>
  </si>
  <si>
    <t>(M and A)</t>
  </si>
  <si>
    <r>
      <t xml:space="preserve">services </t>
    </r>
    <r>
      <rPr>
        <vertAlign val="superscript"/>
        <sz val="10"/>
        <rFont val="Arial"/>
        <family val="2"/>
      </rPr>
      <t>2</t>
    </r>
  </si>
  <si>
    <t>Index,  1985 = 100</t>
  </si>
  <si>
    <t>The figures for Car and Air are for calendar years; latterly, the figures for Bus and Rail</t>
  </si>
  <si>
    <t xml:space="preserve">are for the financial years which start in the specified calendar years (eg the 1996 figures are for 1996-97) </t>
  </si>
  <si>
    <t xml:space="preserve">Pre-1975, the figures are the totals of passenger journeys for the Scottish Bus Group and the four city corporations.  Therefore, </t>
  </si>
  <si>
    <t>they include any non-stage (non-local) services run by these operators, and exclude other operators' stage (local) services.</t>
  </si>
  <si>
    <t>Glasgow Corporation's figures may have included passenger journeys on trolley buses and the Glasgow Underground.</t>
  </si>
  <si>
    <t xml:space="preserve">Figures from 2004 onwards have been subject to revision due to methodological improvements </t>
  </si>
  <si>
    <t>caused by the withdrawal of the Kyle-Kyleakin service when the Skye Bridge opened in October 1995.</t>
  </si>
  <si>
    <t>(a)  freight lifted  - millions of tonnes</t>
  </si>
  <si>
    <t>Coastal</t>
  </si>
  <si>
    <t>Coast-</t>
  </si>
  <si>
    <t>Inland</t>
  </si>
  <si>
    <t>ship-</t>
  </si>
  <si>
    <t>wise</t>
  </si>
  <si>
    <t>water-</t>
  </si>
  <si>
    <t>ping</t>
  </si>
  <si>
    <t>way</t>
  </si>
  <si>
    <t>lifted in</t>
  </si>
  <si>
    <t>see</t>
  </si>
  <si>
    <t>notes</t>
  </si>
  <si>
    <t>Index, 1985 = 100</t>
  </si>
  <si>
    <t>1. The figures for 'road', 'rail', 'coastwise shipping' and 'inland waterways' are the total amounts lifted in Scotland.</t>
  </si>
  <si>
    <t xml:space="preserve">     The category of 'coastal shipping' is shown for historical reasons.  It is defined in a different way:</t>
  </si>
  <si>
    <t xml:space="preserve">     the total lifted elsewhere in the UK which is delivered in Scotland.</t>
  </si>
  <si>
    <t xml:space="preserve">     The 'pipeline' figure is the estimated amount of crude oil carried by on-shore pipelines which are </t>
  </si>
  <si>
    <t xml:space="preserve">     over 50km in length. </t>
  </si>
  <si>
    <t xml:space="preserve">     This table does not show one port traffic to / from oil rigs and the sea bed.</t>
  </si>
  <si>
    <t>2.  The figures are all for calendar years except for the figures for "rail" from 1985,</t>
  </si>
  <si>
    <t xml:space="preserve">       which are for the financial years which start in the specified calendar years </t>
  </si>
  <si>
    <t xml:space="preserve">       (e.g. the rail figures for 1997 are for 1997-98).</t>
  </si>
  <si>
    <t>4. A new system for collecting port statistics was introduced in 2000. Data prior to that are on a different basis.</t>
  </si>
  <si>
    <t>5. Changes to the methodology for collecting road freight data mean that previous figures are not comparable.</t>
  </si>
  <si>
    <t>Note: the columns for the index part of this table are hidden</t>
  </si>
  <si>
    <t>(b)  freight moved  - millions of tonne-kilometres</t>
  </si>
  <si>
    <t>Coastwise</t>
  </si>
  <si>
    <t>Pipeline</t>
  </si>
  <si>
    <t>shipping</t>
  </si>
  <si>
    <t>waterway</t>
  </si>
  <si>
    <t>millions of tonne-kilometres</t>
  </si>
  <si>
    <t>1968</t>
  </si>
  <si>
    <t>1. The figures for 'road', 'rail', 'coastwise shipping' and 'inland waterways' relate to freight lifted in Scotland;</t>
  </si>
  <si>
    <t xml:space="preserve">     for 'pipeline' it is the estimated tonne-kilometres for crude oil carried by on-shore pipelines which are </t>
  </si>
  <si>
    <t xml:space="preserve">     over 50km in length.  This table does not show the tonne-kilometres for one port traffic to / from oil rigs </t>
  </si>
  <si>
    <t xml:space="preserve">     and the sea bed or for coastal shipping (as defined in part [a] of this table).</t>
  </si>
  <si>
    <t>2.  The figures are all for calendar years except for the figures for rail,</t>
  </si>
  <si>
    <t>3. Over 50km</t>
  </si>
  <si>
    <t xml:space="preserve">Year </t>
  </si>
  <si>
    <t>A roads</t>
  </si>
  <si>
    <t>Minor</t>
  </si>
  <si>
    <t>All roads</t>
  </si>
  <si>
    <t>major</t>
  </si>
  <si>
    <t>roads</t>
  </si>
  <si>
    <t>(B, C &amp;</t>
  </si>
  <si>
    <t>(M &amp; A)</t>
  </si>
  <si>
    <t>unclassif.)</t>
  </si>
  <si>
    <t>million vehicle kilometres</t>
  </si>
  <si>
    <t xml:space="preserve">index 1985=100 </t>
  </si>
  <si>
    <t>New</t>
  </si>
  <si>
    <t xml:space="preserve">Reported </t>
  </si>
  <si>
    <t>licensed</t>
  </si>
  <si>
    <t>registr-</t>
  </si>
  <si>
    <t>road</t>
  </si>
  <si>
    <t>ations</t>
  </si>
  <si>
    <t>casualties</t>
  </si>
  <si>
    <t>of</t>
  </si>
  <si>
    <t>vehicles</t>
  </si>
  <si>
    <t>all severities</t>
  </si>
  <si>
    <t>number</t>
  </si>
  <si>
    <t>index 1985=100</t>
  </si>
  <si>
    <t>1</t>
  </si>
  <si>
    <t>2</t>
  </si>
  <si>
    <t>3</t>
  </si>
  <si>
    <t xml:space="preserve">1. The figures for vehicles licensed for 1974 to 1978 are on different bases, due to the effect on the annual "census" </t>
  </si>
  <si>
    <t xml:space="preserve">    of the transfer of licensing records from local offices to the then DVLC </t>
  </si>
  <si>
    <t xml:space="preserve">2. For years up to 1992 estimates are taken from the DVLA annual vehicle census, from 1993 onwards </t>
  </si>
  <si>
    <t xml:space="preserve">    estimates are taken from the Vehicle Information Database and are not consistent with previous years.</t>
  </si>
  <si>
    <t xml:space="preserve">    The VID figure for 1992 was 1,840,000 compared with the DVLA figure of 1,884,000. </t>
  </si>
  <si>
    <t xml:space="preserve">3. New registration results to 1994 are taken from geographical analysis provided by DVLA.  Results for 1995 onwards are </t>
  </si>
  <si>
    <t xml:space="preserve">    estimated using post town area data.  The vehicle taxation system was subject to major revisions from July 1995. </t>
  </si>
  <si>
    <t xml:space="preserve">4. DfT has revised the figures for the light goods and goods body types back to 2001. DfT does not have the underlying </t>
  </si>
  <si>
    <t xml:space="preserve">    data to revise earlier years' figures.</t>
  </si>
  <si>
    <r>
      <t>Table S4</t>
    </r>
    <r>
      <rPr>
        <sz val="16"/>
        <rFont val="Arial"/>
        <family val="2"/>
      </rPr>
      <t xml:space="preserve">   Summary of cross-border transport </t>
    </r>
  </si>
  <si>
    <r>
      <t xml:space="preserve">Air </t>
    </r>
    <r>
      <rPr>
        <vertAlign val="superscript"/>
        <sz val="14"/>
        <rFont val="Arial"/>
        <family val="2"/>
      </rPr>
      <t>1</t>
    </r>
  </si>
  <si>
    <r>
      <t xml:space="preserve">Ferry </t>
    </r>
    <r>
      <rPr>
        <vertAlign val="superscript"/>
        <sz val="14"/>
        <rFont val="Arial"/>
        <family val="2"/>
      </rPr>
      <t>2</t>
    </r>
  </si>
  <si>
    <r>
      <t xml:space="preserve">Air </t>
    </r>
    <r>
      <rPr>
        <vertAlign val="superscript"/>
        <sz val="14"/>
        <rFont val="Arial"/>
        <family val="2"/>
      </rPr>
      <t>3</t>
    </r>
  </si>
  <si>
    <r>
      <t xml:space="preserve">Ferry </t>
    </r>
    <r>
      <rPr>
        <vertAlign val="superscript"/>
        <sz val="14"/>
        <rFont val="Arial"/>
        <family val="2"/>
      </rPr>
      <t>4</t>
    </r>
  </si>
  <si>
    <r>
      <t xml:space="preserve">Road </t>
    </r>
    <r>
      <rPr>
        <vertAlign val="superscript"/>
        <sz val="14"/>
        <rFont val="Arial"/>
        <family val="2"/>
      </rPr>
      <t>5</t>
    </r>
  </si>
  <si>
    <r>
      <t xml:space="preserve">Rail </t>
    </r>
    <r>
      <rPr>
        <vertAlign val="superscript"/>
        <sz val="14"/>
        <rFont val="Arial"/>
        <family val="2"/>
      </rPr>
      <t>6</t>
    </r>
  </si>
  <si>
    <r>
      <t xml:space="preserve">Water </t>
    </r>
    <r>
      <rPr>
        <vertAlign val="superscript"/>
        <sz val="14"/>
        <rFont val="Arial"/>
        <family val="2"/>
      </rPr>
      <t>7</t>
    </r>
  </si>
  <si>
    <r>
      <t xml:space="preserve">Rail </t>
    </r>
    <r>
      <rPr>
        <vertAlign val="superscript"/>
        <sz val="14"/>
        <rFont val="Arial"/>
        <family val="2"/>
      </rPr>
      <t>8</t>
    </r>
  </si>
  <si>
    <r>
      <t xml:space="preserve">England, Wales or Northern Ireland - for the purposes of this table, UK offshore </t>
    </r>
    <r>
      <rPr>
        <i/>
        <sz val="10"/>
        <rFont val="Arial MT"/>
      </rPr>
      <t>is not</t>
    </r>
    <r>
      <rPr>
        <sz val="10"/>
        <rFont val="Arial MT"/>
      </rPr>
      <t xml:space="preserve"> counted as another part of the UK. </t>
    </r>
  </si>
  <si>
    <r>
      <t>on transport and vehicles</t>
    </r>
    <r>
      <rPr>
        <b/>
        <vertAlign val="superscript"/>
        <sz val="10"/>
        <rFont val="Arial"/>
        <family val="2"/>
      </rPr>
      <t>3</t>
    </r>
  </si>
  <si>
    <r>
      <t xml:space="preserve">Table SGB2   </t>
    </r>
    <r>
      <rPr>
        <sz val="12"/>
        <rFont val="Arial"/>
        <family val="2"/>
      </rPr>
      <t>Comparisons of Scotland and Great Britain (or UK) - index numbers</t>
    </r>
  </si>
  <si>
    <r>
      <t>Public Road Lengths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>(all roads)</t>
    </r>
  </si>
  <si>
    <r>
      <t>Table H1</t>
    </r>
    <r>
      <rPr>
        <sz val="12"/>
        <rFont val="Arial"/>
        <family val="2"/>
      </rPr>
      <t xml:space="preserve">   Summary of passenger traffic</t>
    </r>
  </si>
  <si>
    <r>
      <t xml:space="preserve">Year </t>
    </r>
    <r>
      <rPr>
        <vertAlign val="superscript"/>
        <sz val="12"/>
        <rFont val="Arial"/>
        <family val="2"/>
      </rPr>
      <t>1</t>
    </r>
  </si>
  <si>
    <r>
      <t>Table H2</t>
    </r>
    <r>
      <rPr>
        <sz val="12"/>
        <rFont val="Arial"/>
        <family val="2"/>
      </rPr>
      <t xml:space="preserve">  Summary of freight traffic</t>
    </r>
    <r>
      <rPr>
        <vertAlign val="superscript"/>
        <sz val="12"/>
        <rFont val="Arial"/>
        <family val="2"/>
      </rPr>
      <t>1</t>
    </r>
  </si>
  <si>
    <r>
      <t xml:space="preserve">Year </t>
    </r>
    <r>
      <rPr>
        <b/>
        <vertAlign val="superscript"/>
        <sz val="10"/>
        <rFont val="Arial"/>
        <family val="2"/>
      </rPr>
      <t>2</t>
    </r>
  </si>
  <si>
    <r>
      <t xml:space="preserve">Pipeline </t>
    </r>
    <r>
      <rPr>
        <b/>
        <vertAlign val="superscript"/>
        <sz val="10"/>
        <rFont val="Arial"/>
        <family val="2"/>
      </rPr>
      <t>3</t>
    </r>
  </si>
  <si>
    <r>
      <t>1999</t>
    </r>
    <r>
      <rPr>
        <vertAlign val="superscript"/>
        <sz val="12"/>
        <rFont val="Arial"/>
        <family val="2"/>
      </rPr>
      <t>4</t>
    </r>
  </si>
  <si>
    <r>
      <t>2003</t>
    </r>
    <r>
      <rPr>
        <vertAlign val="superscript"/>
        <sz val="12"/>
        <rFont val="Arial"/>
        <family val="2"/>
      </rPr>
      <t>5</t>
    </r>
  </si>
  <si>
    <r>
      <t xml:space="preserve">     the 'coastal shipping' figure is the total lifted in Scotland </t>
    </r>
    <r>
      <rPr>
        <i/>
        <sz val="10"/>
        <rFont val="Arial MT"/>
      </rPr>
      <t>plus</t>
    </r>
  </si>
  <si>
    <r>
      <t>3.</t>
    </r>
    <r>
      <rPr>
        <vertAlign val="superscript"/>
        <sz val="10"/>
        <rFont val="Arial"/>
        <family val="2"/>
      </rPr>
      <t xml:space="preserve"> </t>
    </r>
    <r>
      <rPr>
        <sz val="10"/>
        <rFont val="Arial MT"/>
      </rPr>
      <t xml:space="preserve"> As a result of changes arising from the 1968 Transport Act, figures from 1968 onwards are not comparable with those of previous years.</t>
    </r>
  </si>
  <si>
    <r>
      <t xml:space="preserve">Pipeline </t>
    </r>
    <r>
      <rPr>
        <b/>
        <vertAlign val="superscript"/>
        <sz val="10"/>
        <rFont val="Arial"/>
        <family val="2"/>
      </rPr>
      <t>3,6</t>
    </r>
  </si>
  <si>
    <r>
      <t>Table H3:</t>
    </r>
    <r>
      <rPr>
        <sz val="12"/>
        <rFont val="Arial"/>
        <family val="2"/>
      </rPr>
      <t xml:space="preserve"> Traffic estimates</t>
    </r>
  </si>
  <si>
    <r>
      <t>Table H4</t>
    </r>
    <r>
      <rPr>
        <sz val="12"/>
        <rFont val="Arial"/>
        <family val="2"/>
      </rPr>
      <t xml:space="preserve">   Other vehicle related statistics </t>
    </r>
  </si>
  <si>
    <t>Figure 1:  Vehicles licensed</t>
  </si>
  <si>
    <t xml:space="preserve">NB: breaks exist in the series due to changes in the collection method. In 1978 collection moved from local taxation offices to the DVLA </t>
  </si>
  <si>
    <t>(annual vehicle census) while figures from 1993 onwards originate from the DfT Vehicle Information Database.</t>
  </si>
  <si>
    <t>Figure 2:  New registrations of vehicles</t>
  </si>
  <si>
    <t xml:space="preserve">NB: a break in the series exists in 1994. Results prior to this are taken from DVLA geographical analysis.  Results for 1995 onwards </t>
  </si>
  <si>
    <t>are estimated using post town area data.</t>
  </si>
  <si>
    <t>vehicles licensed</t>
  </si>
  <si>
    <t>new basis</t>
  </si>
  <si>
    <t>new registrations</t>
  </si>
  <si>
    <t>NB: the "1992" figure of 1.84 million on the new basis comes from "STS 2003" page 43, para 4.1.2</t>
  </si>
  <si>
    <t>NB: breaks in the series exist as the DfT revised its method of estimating traffic volumes from 1993. Estimates of traffic on minor roads</t>
  </si>
  <si>
    <t>are not available prior to 1993.</t>
  </si>
  <si>
    <t>Major roads (M &amp; A)</t>
  </si>
  <si>
    <t>continued</t>
  </si>
  <si>
    <t>Cars on major roads (M &amp; A)</t>
  </si>
  <si>
    <t>Injuries</t>
  </si>
  <si>
    <t xml:space="preserve">NB:     Due to methodological improvements bus figures are not strictly comparable ( prior to 1999/00 and from 2004/05 onwards). </t>
  </si>
  <si>
    <t xml:space="preserve">             Rail figures up to 1990/91 were provided by British Rail, but now provided by the Office of Rail Regulation.</t>
  </si>
  <si>
    <t xml:space="preserve">NB: First ScotRail took over the franchise in 2003, therefore earlier do not exist. Rail figures prior to 1990/91 were provided by British Rail. </t>
  </si>
  <si>
    <t xml:space="preserve">      Rail figures up to 1990/91 were provided by British Rail, but now provided by the Office of Rail Regulation.</t>
  </si>
  <si>
    <t xml:space="preserve">        The Skye bridge opened in 1995 and may impact on ferry patronage figures.</t>
  </si>
  <si>
    <t>**** NOT LINKED   *****</t>
  </si>
  <si>
    <t>Local Bus</t>
  </si>
  <si>
    <t>Ferries</t>
  </si>
  <si>
    <t>All rail</t>
  </si>
  <si>
    <t>ScotRail</t>
  </si>
  <si>
    <t>Scotrail revised</t>
  </si>
  <si>
    <t>Ferry (selected services)</t>
  </si>
  <si>
    <t>All vehicles licensed</t>
  </si>
  <si>
    <t>Passenger Journeys</t>
  </si>
  <si>
    <t>Local bus: Scot</t>
  </si>
  <si>
    <t>Local bus: GB</t>
  </si>
  <si>
    <t>Rail: Scot</t>
  </si>
  <si>
    <t>Rail: GB</t>
  </si>
  <si>
    <t>Air (Sco)</t>
  </si>
  <si>
    <t>Air (UK)</t>
  </si>
  <si>
    <t>Air: Scot</t>
  </si>
  <si>
    <t>Air: UK</t>
  </si>
  <si>
    <t>NB: breaks appear in the series due to changes in the survey methodology and processing.</t>
  </si>
  <si>
    <t>NB: breaks appear in the series due to changes in the survey methodology and processing. The increase in pipeline figures between 1989 and 1990 is believed to be due to a change in coverage.</t>
  </si>
  <si>
    <t>Coastwise shipping</t>
  </si>
  <si>
    <t>Inland waterway</t>
  </si>
  <si>
    <t>Detailed figures underlying the table - NB: the units used vary from topic to topic, and (in some cases) there are more decimal places than appear in the table</t>
  </si>
  <si>
    <t>RED BOLD = arbitrary estimate because "STS" did not separate "Rest of World" from "UK offshore" for those years</t>
  </si>
  <si>
    <t>Passenger numbers</t>
  </si>
  <si>
    <t>Originating in Scotland</t>
  </si>
  <si>
    <t>Table 7.2</t>
  </si>
  <si>
    <t>Into Scotland</t>
  </si>
  <si>
    <t>Total  - other UK</t>
  </si>
  <si>
    <t>Table 8.6</t>
  </si>
  <si>
    <t>To / from other UK airports</t>
  </si>
  <si>
    <t>To / from other countries</t>
  </si>
  <si>
    <t>Eire</t>
  </si>
  <si>
    <t>Europe</t>
  </si>
  <si>
    <t>North America</t>
  </si>
  <si>
    <t>Rest of World</t>
  </si>
  <si>
    <t>Total outwith UK</t>
  </si>
  <si>
    <t>Total cross-border (other UK and outwith UK)</t>
  </si>
  <si>
    <t>To / from N Ireland - other UK</t>
  </si>
  <si>
    <t>Rosyth / Zeebrugge &amp; Shetland Europe - outwith UK</t>
  </si>
  <si>
    <t>Freight lifted</t>
  </si>
  <si>
    <t>Table 3.1</t>
  </si>
  <si>
    <t>Total - to elsewhere in UK</t>
  </si>
  <si>
    <t>Outwith UK</t>
  </si>
  <si>
    <t>Total leaving Scotland</t>
  </si>
  <si>
    <t>With a destination in Scotland</t>
  </si>
  <si>
    <t>Total - from elsewhere in UK</t>
  </si>
  <si>
    <t>Total entering Scotland</t>
  </si>
  <si>
    <t>Total cross-border to/from</t>
  </si>
  <si>
    <t>to/from elsewhere in UK</t>
  </si>
  <si>
    <t>to/from outwith UK</t>
  </si>
  <si>
    <t>Table 7.13</t>
  </si>
  <si>
    <t>DfT Waterborne Freight bulletin</t>
  </si>
  <si>
    <t>Scotland West Coast</t>
  </si>
  <si>
    <t>plus</t>
  </si>
  <si>
    <t>Scotland East Coast</t>
  </si>
  <si>
    <t>less</t>
  </si>
  <si>
    <t>destination within Scotland</t>
  </si>
  <si>
    <t>gives</t>
  </si>
  <si>
    <t>Destination in Scotland</t>
  </si>
  <si>
    <t>origin within Scotland</t>
  </si>
  <si>
    <t>(major) Ports</t>
  </si>
  <si>
    <t>Table 9.2</t>
  </si>
  <si>
    <t>Exports</t>
  </si>
  <si>
    <t>'000 tonnes</t>
  </si>
  <si>
    <t>Imports</t>
  </si>
  <si>
    <t>All water</t>
  </si>
  <si>
    <t>(calc'd)</t>
  </si>
  <si>
    <r>
      <t xml:space="preserve">Road   </t>
    </r>
    <r>
      <rPr>
        <u/>
        <sz val="10"/>
        <rFont val="Arial"/>
        <family val="2"/>
      </rPr>
      <t xml:space="preserve"> (freight lifted by UK HGVs)</t>
    </r>
  </si>
  <si>
    <t>2000</t>
  </si>
  <si>
    <t>England</t>
  </si>
  <si>
    <t>-</t>
  </si>
  <si>
    <t xml:space="preserve">Wales </t>
  </si>
  <si>
    <t>NI</t>
  </si>
  <si>
    <t>(1) The UK,GB, NI and E &amp; W figures are based on 2005 mid-year estimates as 2006 not due to be published until August 2007.</t>
  </si>
  <si>
    <t xml:space="preserve">Public Road Lengths </t>
  </si>
  <si>
    <r>
      <t xml:space="preserve">GB </t>
    </r>
    <r>
      <rPr>
        <vertAlign val="superscript"/>
        <sz val="10"/>
        <rFont val="Arial"/>
        <family val="2"/>
      </rPr>
      <t>1</t>
    </r>
  </si>
  <si>
    <r>
      <t xml:space="preserve">Rail </t>
    </r>
    <r>
      <rPr>
        <vertAlign val="superscript"/>
        <sz val="10"/>
        <rFont val="Arial"/>
        <family val="2"/>
      </rPr>
      <t>3</t>
    </r>
  </si>
  <si>
    <r>
      <t xml:space="preserve">2006 </t>
    </r>
    <r>
      <rPr>
        <vertAlign val="superscript"/>
        <sz val="12"/>
        <rFont val="Arial"/>
        <family val="2"/>
      </rPr>
      <t>6</t>
    </r>
  </si>
  <si>
    <r>
      <t xml:space="preserve">2007 </t>
    </r>
    <r>
      <rPr>
        <vertAlign val="superscript"/>
        <sz val="12"/>
        <rFont val="Arial"/>
        <family val="2"/>
      </rPr>
      <t>6</t>
    </r>
  </si>
  <si>
    <r>
      <t xml:space="preserve">2008 </t>
    </r>
    <r>
      <rPr>
        <vertAlign val="superscript"/>
        <sz val="12"/>
        <rFont val="Arial"/>
        <family val="2"/>
      </rPr>
      <t>6</t>
    </r>
  </si>
  <si>
    <r>
      <t xml:space="preserve">2009 </t>
    </r>
    <r>
      <rPr>
        <vertAlign val="superscript"/>
        <sz val="12"/>
        <rFont val="Arial"/>
        <family val="2"/>
      </rPr>
      <t>6</t>
    </r>
  </si>
  <si>
    <t>6.  Domestic freight estimates for 2006 to 2009 were revised on 27 October 2011</t>
  </si>
  <si>
    <r>
      <t xml:space="preserve">Road </t>
    </r>
    <r>
      <rPr>
        <vertAlign val="superscript"/>
        <sz val="10"/>
        <rFont val="Arial"/>
        <family val="2"/>
      </rPr>
      <t>4, 9</t>
    </r>
  </si>
  <si>
    <r>
      <t xml:space="preserve">Vehicles Licensed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(all vehicles)</t>
    </r>
  </si>
  <si>
    <r>
      <t xml:space="preserve">Pipelines </t>
    </r>
    <r>
      <rPr>
        <vertAlign val="superscript"/>
        <sz val="10"/>
        <rFont val="Arial"/>
        <family val="2"/>
      </rPr>
      <t>7</t>
    </r>
  </si>
  <si>
    <r>
      <t xml:space="preserve">Road </t>
    </r>
    <r>
      <rPr>
        <vertAlign val="superscript"/>
        <sz val="10"/>
        <rFont val="Arial"/>
        <family val="2"/>
      </rPr>
      <t>6, 8</t>
    </r>
  </si>
  <si>
    <t>See Chapter 2 for more detail.  Figures from 2006 include Government support for buses which is not available for the two previous years.</t>
  </si>
  <si>
    <t>Table DWF0309</t>
  </si>
  <si>
    <t>Table 7.3</t>
  </si>
  <si>
    <r>
      <t>Trunk (A and M)</t>
    </r>
    <r>
      <rPr>
        <vertAlign val="superscript"/>
        <sz val="10"/>
        <rFont val="Arial"/>
        <family val="2"/>
      </rPr>
      <t>10</t>
    </r>
  </si>
  <si>
    <t>Table 9.13(a,b)</t>
  </si>
  <si>
    <r>
      <t xml:space="preserve">Motorways </t>
    </r>
    <r>
      <rPr>
        <vertAlign val="superscript"/>
        <sz val="10"/>
        <rFont val="Arial"/>
        <family val="2"/>
      </rPr>
      <t>11</t>
    </r>
  </si>
  <si>
    <t>11    Changes in the layout of the M74/M77/M8 during 2012 are likely to have affected the traffic data for motorways.</t>
  </si>
  <si>
    <t xml:space="preserve"> journeys undertaken.</t>
  </si>
  <si>
    <t>Figures for 1999 and earlier years are available on the website. They are approximate as they include an element of estimation.</t>
  </si>
  <si>
    <t>See Chapter 2 of Scottish Transport Statistics for more detail.  Figures from 2006 include Government support for buses which is not available for the two previous years.</t>
  </si>
  <si>
    <t xml:space="preserve"> journeys undertaken. </t>
  </si>
  <si>
    <t xml:space="preserve">The Rosyth / Zeebrugge service started in May 2002, there was a drop in the frequency of service from November 2005 and the passenger service ceased in December 2010.  </t>
  </si>
  <si>
    <t>Figures for services between Lerwick and other countries are available from 1998.</t>
  </si>
  <si>
    <t>10   Figures for 2012 are provisional.</t>
  </si>
  <si>
    <t>6. Pipeline figures for 2012 are provisional.</t>
  </si>
  <si>
    <t xml:space="preserve">3. The estimated amounts of crude oil and products carried by pipelines over 50km in length. 2012 figures are provisional. </t>
  </si>
  <si>
    <t xml:space="preserve">The estimated amounts of crude oil and products carried by pipelines over 50km in length. 2012 figures are provisional. </t>
  </si>
  <si>
    <t xml:space="preserve">10    Totals have been revised in  2012 to include slip roads on Trunk A roads which had previously excluded.  </t>
  </si>
  <si>
    <t>column percentages</t>
  </si>
  <si>
    <t xml:space="preserve">not comparable with ScotRail figures.  There is a series break between 2007-08 and 2008-09 due to a change in the methodology. </t>
  </si>
  <si>
    <t>From 2008-09 estimates of PTE travel (zone cards) are included.</t>
  </si>
  <si>
    <t xml:space="preserve">Figures from 1995 onwards were revised by ORR in 2013 due to improvements to methodology.  There is a series break between </t>
  </si>
  <si>
    <t>2007-08 and 2008-09 due to a change in the methodology. From 2008-09 estimates of PTE travel (zone cards) are included.</t>
  </si>
  <si>
    <r>
      <t>All Roads</t>
    </r>
    <r>
      <rPr>
        <vertAlign val="superscript"/>
        <sz val="10"/>
        <rFont val="Arial"/>
        <family val="2"/>
      </rPr>
      <t>10, 12</t>
    </r>
  </si>
  <si>
    <t xml:space="preserve">  See Road Network chapter for more information. Data for 2012 were extracted from the database on 10 October 2013.</t>
  </si>
  <si>
    <t>Figures in 2001-02 and 2002-03 were affected by industrial action.</t>
  </si>
  <si>
    <t>Figure 3:  Traffic (vehicle kilometres)</t>
  </si>
  <si>
    <t>Figure 4:  Reported road casualties</t>
  </si>
  <si>
    <t>Figure 5:  Passenger numbers: local bus and rail</t>
  </si>
  <si>
    <t>Figure 7:  Vehicles licensed per 100 population</t>
  </si>
  <si>
    <t>Figure 8:  Passenger numbers per head of population: local bus and rail</t>
  </si>
  <si>
    <t>Figure 9:  Passenger numbers per head of population: rail and air</t>
  </si>
  <si>
    <t>Figure 10:  Freight lifted: road and coastwise shipping</t>
  </si>
  <si>
    <t>Figure 11:  Freight lifted: coastwise shipping, pipelines, inland waterway, rail</t>
  </si>
  <si>
    <r>
      <t xml:space="preserve">Ferries  </t>
    </r>
    <r>
      <rPr>
        <vertAlign val="superscript"/>
        <sz val="10"/>
        <rFont val="Arial"/>
        <family val="2"/>
      </rPr>
      <t>8</t>
    </r>
  </si>
  <si>
    <t xml:space="preserve">on routes </t>
  </si>
  <si>
    <t>within Scotland</t>
  </si>
  <si>
    <t>and to NI and</t>
  </si>
  <si>
    <t>Selected</t>
  </si>
  <si>
    <r>
      <t>services</t>
    </r>
    <r>
      <rPr>
        <vertAlign val="superscript"/>
        <sz val="10"/>
        <rFont val="Arial"/>
        <family val="2"/>
      </rPr>
      <t>4</t>
    </r>
  </si>
  <si>
    <t>This grouping was used in STS until 2012 and includes those routes for which figures are available back to 1973: Caledonian MacBrayne,</t>
  </si>
  <si>
    <t xml:space="preserve"> P&amp;O Scottish Ferries / NorthLink Orkney and Shetland Ferries, and Orkney Ferries. The figures from 1995 are affected by the reduction in traffic </t>
  </si>
  <si>
    <r>
      <t xml:space="preserve">Europe </t>
    </r>
    <r>
      <rPr>
        <vertAlign val="superscript"/>
        <sz val="10"/>
        <rFont val="Arial"/>
        <family val="2"/>
      </rPr>
      <t>5</t>
    </r>
  </si>
  <si>
    <t>Ferry (all services)</t>
  </si>
  <si>
    <t>Figure 6:  Passenger numbers: rail, air and ferry</t>
  </si>
  <si>
    <t xml:space="preserve">Services to Europe, Northern Ireland and within Scotland (Previous versions of STS only included services where data is availabla back to 1975, this can still be </t>
  </si>
  <si>
    <t xml:space="preserve">found in Table H1). </t>
  </si>
  <si>
    <t xml:space="preserve">All ferry routes within Scotland, between Scotland and Northern Ireland and between Scotland and Europe, for which passenger data is </t>
  </si>
  <si>
    <t>availabe (see chapter 9 for more detail)</t>
  </si>
  <si>
    <t xml:space="preserve">   of which on routes within Scotland</t>
  </si>
  <si>
    <t>Reported Road Accident Casualties</t>
  </si>
  <si>
    <t>9    Domestic freight estimates for 2006 to 2009 were revised on 27 October 2011.  Data for later years has not been published by DfT.</t>
  </si>
  <si>
    <r>
      <t xml:space="preserve">2012 </t>
    </r>
    <r>
      <rPr>
        <vertAlign val="superscript"/>
        <sz val="12"/>
        <rFont val="Arial"/>
        <family val="2"/>
      </rPr>
      <t>1</t>
    </r>
  </si>
  <si>
    <t>1.  The increase in motorway traffic in 2012 is the result of new motorway opening.  More detail can be found in the road network chapter.</t>
  </si>
  <si>
    <t>Old Population Estimates</t>
  </si>
  <si>
    <t>Revised population Estimates (2010 Census)</t>
  </si>
  <si>
    <r>
      <t xml:space="preserve">Table S3   Summary of Scottish Household Survey results </t>
    </r>
    <r>
      <rPr>
        <b/>
        <vertAlign val="superscript"/>
        <sz val="14"/>
        <rFont val="Arial"/>
        <family val="2"/>
      </rPr>
      <t>1</t>
    </r>
  </si>
  <si>
    <t>Driver car/van</t>
  </si>
  <si>
    <t>Passenger car/van</t>
  </si>
  <si>
    <t>Taxi/minicab</t>
  </si>
  <si>
    <t>% Public and Active Travel (National Indicator 48)</t>
  </si>
  <si>
    <t>.</t>
  </si>
  <si>
    <t>Percentage of car / van stages delayed by traffic congestion</t>
  </si>
  <si>
    <t>National Indicator 4</t>
  </si>
  <si>
    <t>1. The apparent year-to-year fluctuations in some of the figures may be due to sampling variability.</t>
  </si>
  <si>
    <t>3. The Travel diary methodology changed in 2007 and in 2012 creating a break in the time series.</t>
  </si>
  <si>
    <t>4. From 2012 Q4 the question was changed to ask about access to cars / vans instead of just cars.</t>
  </si>
  <si>
    <t>1991</t>
  </si>
  <si>
    <t>1992</t>
  </si>
  <si>
    <t>percent</t>
  </si>
  <si>
    <t>thousand kilometres</t>
  </si>
  <si>
    <t>billion vehicle kilometres</t>
  </si>
  <si>
    <t>Reported Road Accident Casualties: Killed or Seriously Injured</t>
  </si>
  <si>
    <r>
      <t xml:space="preserve">Local bus passenger journeys </t>
    </r>
    <r>
      <rPr>
        <b/>
        <vertAlign val="superscript"/>
        <sz val="10"/>
        <rFont val="Arial"/>
        <family val="2"/>
      </rPr>
      <t>2, 4</t>
    </r>
  </si>
  <si>
    <r>
      <t xml:space="preserve">Rail passenger journeys </t>
    </r>
    <r>
      <rPr>
        <b/>
        <vertAlign val="superscript"/>
        <sz val="10"/>
        <rFont val="Arial"/>
        <family val="2"/>
      </rPr>
      <t>4, 5, 6</t>
    </r>
  </si>
  <si>
    <t>Car (or van, minibus, works van)</t>
  </si>
  <si>
    <t>Public transport (bus, rail, underground)</t>
  </si>
  <si>
    <t xml:space="preserve">Figures are for combined years e.g. 2011 covers 2011/12. </t>
  </si>
  <si>
    <t>DfT  revised its methodlogy from 2004, causing a break in the series.</t>
  </si>
  <si>
    <t>SUMMARY</t>
  </si>
  <si>
    <t xml:space="preserve">            SUMMARY</t>
  </si>
  <si>
    <t xml:space="preserve">             SUMMARY</t>
  </si>
  <si>
    <r>
      <t xml:space="preserve">Rail </t>
    </r>
    <r>
      <rPr>
        <b/>
        <vertAlign val="superscript"/>
        <sz val="10"/>
        <rFont val="Arial"/>
        <family val="2"/>
      </rPr>
      <t>7</t>
    </r>
  </si>
  <si>
    <t xml:space="preserve">7. Revisions made to rail freight from 2001 onwards due to an error in the formula for calculating the figures </t>
  </si>
  <si>
    <t xml:space="preserve"> Domestic freight estimates for 2006 to 2009 were revised on 27 October 2011.  Later years have yet to be published by DfT.</t>
  </si>
  <si>
    <t xml:space="preserve">Figs for 2008-09 onwards have been revised due to an error in the LENNON calculation of journeys between Edinburgh and Glasgow. </t>
  </si>
  <si>
    <t>Topic:</t>
  </si>
  <si>
    <t>TOPIC</t>
  </si>
  <si>
    <t>PAGE</t>
  </si>
  <si>
    <t>Transport Summary</t>
  </si>
  <si>
    <t>Transport Summary Index Numbers</t>
  </si>
  <si>
    <t>Cross-Border Traffic</t>
  </si>
  <si>
    <r>
      <t xml:space="preserve">   ORR Rail journeys in/from Scotland </t>
    </r>
    <r>
      <rPr>
        <vertAlign val="superscript"/>
        <sz val="10"/>
        <rFont val="Arial"/>
        <family val="2"/>
      </rPr>
      <t>7</t>
    </r>
  </si>
  <si>
    <t xml:space="preserve">   ORR Passenger receipts (£2012 mill)</t>
  </si>
  <si>
    <t>Private and Light Goods</t>
  </si>
  <si>
    <t>All Vehicles</t>
  </si>
  <si>
    <t>VARIABLEREF</t>
  </si>
  <si>
    <t>Category 1:</t>
  </si>
  <si>
    <t>Category 2:</t>
  </si>
  <si>
    <t>Category 3:</t>
  </si>
  <si>
    <r>
      <t xml:space="preserve">Passenger Rail </t>
    </r>
    <r>
      <rPr>
        <vertAlign val="superscript"/>
        <sz val="10"/>
        <rFont val="Arial"/>
        <family val="2"/>
      </rPr>
      <t>2,6</t>
    </r>
  </si>
  <si>
    <t>Row Correction</t>
  </si>
  <si>
    <t>Keynum</t>
  </si>
  <si>
    <t>School Bus</t>
  </si>
  <si>
    <t>Service Bus</t>
  </si>
  <si>
    <t>Clean Variable</t>
  </si>
  <si>
    <r>
      <t xml:space="preserve">Travel to work </t>
    </r>
    <r>
      <rPr>
        <vertAlign val="superscript"/>
        <sz val="10"/>
        <rFont val="Arial"/>
        <family val="2"/>
      </rPr>
      <t>2</t>
    </r>
  </si>
  <si>
    <r>
      <t xml:space="preserve">Modal share of all journeys </t>
    </r>
    <r>
      <rPr>
        <vertAlign val="superscript"/>
        <sz val="10"/>
        <rFont val="Arial"/>
        <family val="2"/>
      </rPr>
      <t>3</t>
    </r>
  </si>
  <si>
    <r>
      <t>Household access to car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/ bike</t>
    </r>
  </si>
  <si>
    <t>VARIABLE(ACTIVE)</t>
  </si>
  <si>
    <t>Clean Topic</t>
  </si>
  <si>
    <t>Routing for variable</t>
  </si>
  <si>
    <r>
      <t>Local Bus Services</t>
    </r>
    <r>
      <rPr>
        <vertAlign val="superscript"/>
        <sz val="10"/>
        <rFont val="Arial"/>
        <family val="2"/>
      </rPr>
      <t>2</t>
    </r>
  </si>
  <si>
    <r>
      <t xml:space="preserve">Reported Road Accident Casualties </t>
    </r>
    <r>
      <rPr>
        <vertAlign val="superscript"/>
        <sz val="10"/>
        <rFont val="Arial"/>
        <family val="2"/>
      </rPr>
      <t>10</t>
    </r>
  </si>
  <si>
    <t>Household access to car or bike</t>
  </si>
  <si>
    <t>Percentage working from home</t>
  </si>
  <si>
    <t>Modes of travel to school</t>
  </si>
  <si>
    <t>Modes of travel to work</t>
  </si>
  <si>
    <t>Modes of travel - all journeys</t>
  </si>
  <si>
    <t>How often people drive</t>
  </si>
  <si>
    <t>Bus service - frequency of use</t>
  </si>
  <si>
    <t>Train service - frequency of use</t>
  </si>
  <si>
    <t>Cleanactive</t>
  </si>
  <si>
    <t>ScotRail passenger journeys</t>
  </si>
  <si>
    <t>One or more bicycles which can be used by adults</t>
  </si>
  <si>
    <t>Passenger journeys to or from other parts of UK</t>
  </si>
  <si>
    <t>Passenger journeys to or from other countries</t>
  </si>
  <si>
    <r>
      <t xml:space="preserve">  ScotRail passenger journeys </t>
    </r>
    <r>
      <rPr>
        <vertAlign val="superscript"/>
        <sz val="10"/>
        <rFont val="Arial"/>
        <family val="2"/>
      </rPr>
      <t>6</t>
    </r>
  </si>
  <si>
    <r>
      <t xml:space="preserve">Air </t>
    </r>
    <r>
      <rPr>
        <vertAlign val="superscript"/>
        <sz val="10"/>
        <rFont val="Arial"/>
        <family val="2"/>
      </rPr>
      <t>1</t>
    </r>
  </si>
  <si>
    <r>
      <t xml:space="preserve">Ferry </t>
    </r>
    <r>
      <rPr>
        <vertAlign val="superscript"/>
        <sz val="10"/>
        <rFont val="Arial"/>
        <family val="2"/>
      </rPr>
      <t>2</t>
    </r>
  </si>
  <si>
    <r>
      <t xml:space="preserve">Air </t>
    </r>
    <r>
      <rPr>
        <vertAlign val="superscript"/>
        <sz val="10"/>
        <rFont val="Arial"/>
        <family val="2"/>
      </rPr>
      <t>3</t>
    </r>
  </si>
  <si>
    <r>
      <t xml:space="preserve">Ferry </t>
    </r>
    <r>
      <rPr>
        <vertAlign val="superscript"/>
        <sz val="10"/>
        <rFont val="Arial"/>
        <family val="2"/>
      </rPr>
      <t>4</t>
    </r>
  </si>
  <si>
    <r>
      <t xml:space="preserve">Road </t>
    </r>
    <r>
      <rPr>
        <vertAlign val="superscript"/>
        <sz val="10"/>
        <rFont val="Arial"/>
        <family val="2"/>
      </rPr>
      <t>5, 9</t>
    </r>
  </si>
  <si>
    <r>
      <t xml:space="preserve">Road </t>
    </r>
    <r>
      <rPr>
        <vertAlign val="superscript"/>
        <sz val="10"/>
        <rFont val="Arial"/>
        <family val="2"/>
      </rPr>
      <t>5</t>
    </r>
  </si>
  <si>
    <r>
      <t xml:space="preserve">Rail </t>
    </r>
    <r>
      <rPr>
        <vertAlign val="superscript"/>
        <sz val="10"/>
        <rFont val="Arial"/>
        <family val="2"/>
      </rPr>
      <t>6</t>
    </r>
  </si>
  <si>
    <r>
      <t xml:space="preserve">Water </t>
    </r>
    <r>
      <rPr>
        <vertAlign val="superscript"/>
        <sz val="10"/>
        <rFont val="Arial"/>
        <family val="2"/>
      </rPr>
      <t>7</t>
    </r>
  </si>
  <si>
    <r>
      <t xml:space="preserve">Rail </t>
    </r>
    <r>
      <rPr>
        <vertAlign val="superscript"/>
        <sz val="10"/>
        <rFont val="Arial"/>
        <family val="2"/>
      </rPr>
      <t>8</t>
    </r>
  </si>
  <si>
    <t>Total (Rail, Ferry and Air)</t>
  </si>
  <si>
    <t>Total (Ferry and Air)</t>
  </si>
  <si>
    <t>Total (Road, Rail and Water)</t>
  </si>
  <si>
    <t>Freight delivered to other parts of UK</t>
  </si>
  <si>
    <t>Freight delivered from other parts of UK</t>
  </si>
  <si>
    <t>Total freight delivered to or from other parts of UK</t>
  </si>
  <si>
    <t>Freight delivered to other countries</t>
  </si>
  <si>
    <t>Freight delivered from other countries</t>
  </si>
  <si>
    <t>Total freight delivered to or from other countries</t>
  </si>
  <si>
    <t>Total cross-border freight delivered</t>
  </si>
  <si>
    <t>Scotland/Great Britain Comparisons</t>
  </si>
  <si>
    <t>Vehicles Licensed  (all vehicles)</t>
  </si>
  <si>
    <t>Public Road Lengths  (all roads)</t>
  </si>
  <si>
    <r>
      <t xml:space="preserve">Local bus passenger journeys </t>
    </r>
    <r>
      <rPr>
        <vertAlign val="superscript"/>
        <sz val="10"/>
        <rFont val="Arial"/>
        <family val="2"/>
      </rPr>
      <t>2, 4</t>
    </r>
  </si>
  <si>
    <r>
      <t xml:space="preserve">Rail passenger journeys </t>
    </r>
    <r>
      <rPr>
        <vertAlign val="superscript"/>
        <sz val="10"/>
        <rFont val="Arial"/>
        <family val="2"/>
      </rPr>
      <t>4, 5, 6</t>
    </r>
  </si>
  <si>
    <t>Travel to Work   (Autumn: Labour Force Survey)</t>
  </si>
  <si>
    <t>Great Britain</t>
  </si>
  <si>
    <t>Scotland/Great Britain Comparisons Relative to Population</t>
  </si>
  <si>
    <t>Local bus passenger journeys</t>
  </si>
  <si>
    <t>Rail passenger journeys</t>
  </si>
  <si>
    <t>Road (Scotland)</t>
  </si>
  <si>
    <t>Road (Great Britain)</t>
  </si>
  <si>
    <t>Rail (Scotland)</t>
  </si>
  <si>
    <t>Rail(Great Britain)</t>
  </si>
  <si>
    <t>Coastwise (Scotland)</t>
  </si>
  <si>
    <t>Coastwise (Great Britain)</t>
  </si>
  <si>
    <t>Pipelines (Scotland)</t>
  </si>
  <si>
    <t>Pipelines (Great Britain)</t>
  </si>
  <si>
    <t>Rail (Great Britain)</t>
  </si>
  <si>
    <t>Car (Scotland)</t>
  </si>
  <si>
    <t>Car (Great Britain)</t>
  </si>
  <si>
    <t>Public Transport (Scotland)</t>
  </si>
  <si>
    <t>Public Transport (Great Britain)</t>
  </si>
  <si>
    <t>Unit</t>
  </si>
  <si>
    <t>(thousands)</t>
  </si>
  <si>
    <t>Vehicle Kilometres</t>
  </si>
  <si>
    <t>(£millions)</t>
  </si>
  <si>
    <t>(millions)</t>
  </si>
  <si>
    <t>(million tonnes)</t>
  </si>
  <si>
    <t>Pipelines</t>
  </si>
  <si>
    <t xml:space="preserve">Trunk (A and M) </t>
  </si>
  <si>
    <t>(km)</t>
  </si>
  <si>
    <t xml:space="preserve">Other Major (A and M) </t>
  </si>
  <si>
    <t xml:space="preserve">All Roads </t>
  </si>
  <si>
    <t xml:space="preserve">Motorways </t>
  </si>
  <si>
    <t>(million vehicle-km)</t>
  </si>
  <si>
    <t xml:space="preserve">All roads (incl. B, C, uncl.) </t>
  </si>
  <si>
    <t xml:space="preserve"> (£2012 millions)</t>
  </si>
  <si>
    <t>Units</t>
  </si>
  <si>
    <t>(thousand tonnes)</t>
  </si>
  <si>
    <t xml:space="preserve">Walking </t>
  </si>
  <si>
    <t>(%)</t>
  </si>
  <si>
    <t xml:space="preserve">Taxi/minicab </t>
  </si>
  <si>
    <t xml:space="preserve">Bicycle </t>
  </si>
  <si>
    <t xml:space="preserve">Bus (school or service) </t>
  </si>
  <si>
    <t xml:space="preserve">School Bus </t>
  </si>
  <si>
    <t xml:space="preserve">Service Bus </t>
  </si>
  <si>
    <t xml:space="preserve">Rail, including underground </t>
  </si>
  <si>
    <t xml:space="preserve">Other </t>
  </si>
  <si>
    <t>(millions of tonnes)</t>
  </si>
  <si>
    <t>(thousand)</t>
  </si>
  <si>
    <t>(per 100 population)</t>
  </si>
  <si>
    <t>(thousand km)</t>
  </si>
  <si>
    <t>(km per 1,000 population)</t>
  </si>
  <si>
    <t>(billion vehicle km)</t>
  </si>
  <si>
    <t>(vehicle km per head)</t>
  </si>
  <si>
    <t>(million)</t>
  </si>
  <si>
    <t>(per 1,000 population)</t>
  </si>
  <si>
    <t>(per head)</t>
  </si>
  <si>
    <t>(tonnes per head)</t>
  </si>
  <si>
    <t>Scotland/Great Britain Comparisons Index Numbers</t>
  </si>
  <si>
    <t>Alternative Unit</t>
  </si>
  <si>
    <t>Alternative Units</t>
  </si>
  <si>
    <t>All Roads (Scotland)</t>
  </si>
  <si>
    <t>All Roads (Great Britain)</t>
  </si>
  <si>
    <t>A Roads (Great Britain)</t>
  </si>
  <si>
    <t>A Roads (Scotland)</t>
  </si>
  <si>
    <t>Motorways (Scotland)</t>
  </si>
  <si>
    <t>Motorways (Great Britain)</t>
  </si>
  <si>
    <t>Total length of all public roads</t>
  </si>
  <si>
    <t>Air passengers</t>
  </si>
  <si>
    <t>Number of vehicles licensed</t>
  </si>
  <si>
    <t>Local Bus Statistics</t>
  </si>
  <si>
    <t>Air Transport Statistics</t>
  </si>
  <si>
    <t>Ferry Statistics</t>
  </si>
  <si>
    <t>Driving license ownership</t>
  </si>
  <si>
    <t>Households with at least one car (National Travel Survey)</t>
  </si>
  <si>
    <t>Rail Passenger Statistics</t>
  </si>
  <si>
    <t>Scottish Transport Statistics: Interactive tables and charts - Summary Chapter</t>
  </si>
  <si>
    <t>Scottish Household Survey Results</t>
  </si>
  <si>
    <t>ORR Scottish passenger receipts</t>
  </si>
  <si>
    <t>ORR Scottish rail passenger journeys</t>
  </si>
  <si>
    <t>Passengers (all)</t>
  </si>
  <si>
    <t>Vehicles (all)</t>
  </si>
  <si>
    <t>Passengers (routes within Scotland)</t>
  </si>
  <si>
    <t>Vehicles (routes within Scotland)</t>
  </si>
  <si>
    <t>Traffic congestion - percentage of journey stages delayed</t>
  </si>
  <si>
    <t>Reported Road Accident Casualties - Killed or Seriously Injured</t>
  </si>
  <si>
    <t>Break1</t>
  </si>
  <si>
    <t>Break2</t>
  </si>
  <si>
    <t>Section:</t>
  </si>
  <si>
    <t>CALL TABLE FOR BAR CHART</t>
  </si>
  <si>
    <t>Comparator year</t>
  </si>
  <si>
    <t>LATEST YEAR ALL PRESENT FLAG</t>
  </si>
  <si>
    <r>
      <t xml:space="preserve">Households with a Car </t>
    </r>
    <r>
      <rPr>
        <vertAlign val="superscript"/>
        <sz val="10"/>
        <rFont val="Arial"/>
        <family val="2"/>
      </rPr>
      <t xml:space="preserve">1  </t>
    </r>
    <r>
      <rPr>
        <sz val="10"/>
        <rFont val="Arial"/>
        <family val="2"/>
      </rPr>
      <t>(National Travel Survey)</t>
    </r>
  </si>
  <si>
    <t>(not calculated per head)</t>
  </si>
  <si>
    <t>CALL TABLE FOR LINE GRAPH</t>
  </si>
  <si>
    <t xml:space="preserve">          SUMMARY</t>
  </si>
  <si>
    <t xml:space="preserve">   SUMMARY</t>
  </si>
  <si>
    <t xml:space="preserve">      SUMMARY</t>
  </si>
  <si>
    <r>
      <t xml:space="preserve">Table S1 </t>
    </r>
    <r>
      <rPr>
        <sz val="14"/>
        <rFont val="Arial"/>
        <family val="2"/>
      </rPr>
      <t xml:space="preserve"> Summary of Transport in Scotland</t>
    </r>
  </si>
  <si>
    <r>
      <t xml:space="preserve">Private and Light Goods </t>
    </r>
    <r>
      <rPr>
        <vertAlign val="superscript"/>
        <sz val="14"/>
        <rFont val="Arial"/>
        <family val="2"/>
      </rPr>
      <t>1</t>
    </r>
  </si>
  <si>
    <r>
      <t xml:space="preserve">All Vehicles </t>
    </r>
    <r>
      <rPr>
        <vertAlign val="superscript"/>
        <sz val="14"/>
        <rFont val="Arial"/>
        <family val="2"/>
      </rPr>
      <t xml:space="preserve">1 </t>
    </r>
    <r>
      <rPr>
        <sz val="14"/>
        <rFont val="Arial"/>
        <family val="2"/>
      </rPr>
      <t xml:space="preserve"> </t>
    </r>
  </si>
  <si>
    <r>
      <t>Local Bus Services</t>
    </r>
    <r>
      <rPr>
        <b/>
        <vertAlign val="superscript"/>
        <sz val="14"/>
        <rFont val="Arial"/>
        <family val="2"/>
      </rPr>
      <t>2</t>
    </r>
  </si>
  <si>
    <r>
      <t>Passenger Journeys (boardings)</t>
    </r>
    <r>
      <rPr>
        <vertAlign val="superscript"/>
        <sz val="14"/>
        <rFont val="Arial"/>
        <family val="2"/>
      </rPr>
      <t>3</t>
    </r>
  </si>
  <si>
    <r>
      <t>Vehicle Kilometres</t>
    </r>
    <r>
      <rPr>
        <vertAlign val="superscript"/>
        <sz val="14"/>
        <rFont val="Arial"/>
        <family val="2"/>
      </rPr>
      <t>3</t>
    </r>
  </si>
  <si>
    <r>
      <t>Passenger Revenue</t>
    </r>
    <r>
      <rPr>
        <vertAlign val="superscript"/>
        <sz val="14"/>
        <rFont val="Arial"/>
        <family val="2"/>
      </rPr>
      <t xml:space="preserve"> </t>
    </r>
  </si>
  <si>
    <r>
      <t>at latest year's prices</t>
    </r>
    <r>
      <rPr>
        <vertAlign val="superscript"/>
        <sz val="14"/>
        <rFont val="Arial"/>
        <family val="2"/>
      </rPr>
      <t>3</t>
    </r>
    <r>
      <rPr>
        <sz val="14"/>
        <rFont val="Arial"/>
        <family val="2"/>
      </rPr>
      <t xml:space="preserve"> </t>
    </r>
  </si>
  <si>
    <r>
      <t xml:space="preserve">Road </t>
    </r>
    <r>
      <rPr>
        <vertAlign val="superscript"/>
        <sz val="14"/>
        <rFont val="Arial"/>
        <family val="2"/>
      </rPr>
      <t>4, 9</t>
    </r>
  </si>
  <si>
    <r>
      <t xml:space="preserve">Rail </t>
    </r>
    <r>
      <rPr>
        <vertAlign val="superscript"/>
        <sz val="14"/>
        <rFont val="Arial"/>
        <family val="2"/>
      </rPr>
      <t>2</t>
    </r>
  </si>
  <si>
    <r>
      <t xml:space="preserve">Pipelines </t>
    </r>
    <r>
      <rPr>
        <vertAlign val="superscript"/>
        <sz val="14"/>
        <rFont val="Arial"/>
        <family val="2"/>
      </rPr>
      <t>5</t>
    </r>
  </si>
  <si>
    <r>
      <t>Trunk (A and M)</t>
    </r>
    <r>
      <rPr>
        <vertAlign val="superscript"/>
        <sz val="14"/>
        <rFont val="Arial"/>
        <family val="2"/>
      </rPr>
      <t>10</t>
    </r>
  </si>
  <si>
    <r>
      <t>All Roads</t>
    </r>
    <r>
      <rPr>
        <vertAlign val="superscript"/>
        <sz val="14"/>
        <rFont val="Arial"/>
        <family val="2"/>
      </rPr>
      <t>10, 12</t>
    </r>
  </si>
  <si>
    <r>
      <t xml:space="preserve">Motorways </t>
    </r>
    <r>
      <rPr>
        <vertAlign val="superscript"/>
        <sz val="14"/>
        <rFont val="Arial"/>
        <family val="2"/>
      </rPr>
      <t>11</t>
    </r>
  </si>
  <si>
    <r>
      <t xml:space="preserve">Reported Road Accident Casualties </t>
    </r>
    <r>
      <rPr>
        <b/>
        <vertAlign val="superscript"/>
        <sz val="14"/>
        <rFont val="Arial"/>
        <family val="2"/>
      </rPr>
      <t>10</t>
    </r>
  </si>
  <si>
    <r>
      <t xml:space="preserve">Passenger Rail </t>
    </r>
    <r>
      <rPr>
        <b/>
        <vertAlign val="superscript"/>
        <sz val="14"/>
        <rFont val="Arial"/>
        <family val="2"/>
      </rPr>
      <t>2,6</t>
    </r>
  </si>
  <si>
    <r>
      <t xml:space="preserve">  ScotRail</t>
    </r>
    <r>
      <rPr>
        <sz val="14"/>
        <rFont val="Arial"/>
        <family val="2"/>
      </rPr>
      <t xml:space="preserve"> passenger journeys </t>
    </r>
    <r>
      <rPr>
        <vertAlign val="superscript"/>
        <sz val="14"/>
        <rFont val="Arial"/>
        <family val="2"/>
      </rPr>
      <t>6</t>
    </r>
  </si>
  <si>
    <r>
      <t xml:space="preserve">   Rail journeys in/from Scotland </t>
    </r>
    <r>
      <rPr>
        <vertAlign val="superscript"/>
        <sz val="14"/>
        <rFont val="Arial"/>
        <family val="2"/>
      </rPr>
      <t>7</t>
    </r>
  </si>
  <si>
    <r>
      <t xml:space="preserve">Ferries  </t>
    </r>
    <r>
      <rPr>
        <vertAlign val="superscript"/>
        <sz val="14"/>
        <rFont val="Arial"/>
        <family val="2"/>
      </rPr>
      <t>8</t>
    </r>
  </si>
  <si>
    <r>
      <t>Table S2</t>
    </r>
    <r>
      <rPr>
        <sz val="14"/>
        <rFont val="Arial"/>
        <family val="2"/>
      </rPr>
      <t xml:space="preserve">   Summary of Transport in Scotland - index numbers</t>
    </r>
  </si>
  <si>
    <r>
      <t>at latest year's prices( 2006=100)</t>
    </r>
    <r>
      <rPr>
        <vertAlign val="superscript"/>
        <sz val="14"/>
        <rFont val="Arial"/>
        <family val="2"/>
      </rPr>
      <t>3</t>
    </r>
    <r>
      <rPr>
        <sz val="14"/>
        <rFont val="Arial"/>
        <family val="2"/>
      </rPr>
      <t xml:space="preserve"> </t>
    </r>
  </si>
  <si>
    <r>
      <t xml:space="preserve">All Roads </t>
    </r>
    <r>
      <rPr>
        <vertAlign val="superscript"/>
        <sz val="14"/>
        <rFont val="Arial"/>
        <family val="2"/>
      </rPr>
      <t>12</t>
    </r>
  </si>
  <si>
    <r>
      <t xml:space="preserve">  Rail journeys in/from Scotland </t>
    </r>
    <r>
      <rPr>
        <vertAlign val="superscript"/>
        <sz val="14"/>
        <rFont val="Arial"/>
        <family val="2"/>
      </rPr>
      <t>7</t>
    </r>
  </si>
  <si>
    <r>
      <t xml:space="preserve">Modal share of all journeys </t>
    </r>
    <r>
      <rPr>
        <b/>
        <vertAlign val="superscript"/>
        <sz val="14"/>
        <rFont val="Arial"/>
        <family val="2"/>
      </rPr>
      <t>3</t>
    </r>
  </si>
  <si>
    <r>
      <t xml:space="preserve">Travel to work </t>
    </r>
    <r>
      <rPr>
        <b/>
        <vertAlign val="superscript"/>
        <sz val="14"/>
        <rFont val="Arial"/>
        <family val="2"/>
      </rPr>
      <t>2</t>
    </r>
  </si>
  <si>
    <r>
      <t>Household access to car</t>
    </r>
    <r>
      <rPr>
        <b/>
        <vertAlign val="superscript"/>
        <sz val="14"/>
        <rFont val="Arial"/>
        <family val="2"/>
      </rPr>
      <t>4</t>
    </r>
    <r>
      <rPr>
        <b/>
        <sz val="14"/>
        <rFont val="Arial"/>
        <family val="2"/>
      </rPr>
      <t xml:space="preserve"> / bike</t>
    </r>
  </si>
  <si>
    <r>
      <t xml:space="preserve">Table SGB1   </t>
    </r>
    <r>
      <rPr>
        <sz val="14"/>
        <rFont val="Arial"/>
        <family val="2"/>
      </rPr>
      <t>Comparisons of Scotland and Great Britain (or the UK) - numbers</t>
    </r>
  </si>
  <si>
    <r>
      <t xml:space="preserve">Vehicles Licensed  </t>
    </r>
    <r>
      <rPr>
        <sz val="14"/>
        <rFont val="Arial"/>
        <family val="2"/>
      </rPr>
      <t>(all vehicles)</t>
    </r>
  </si>
  <si>
    <r>
      <t xml:space="preserve">Households with a Car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 </t>
    </r>
    <r>
      <rPr>
        <sz val="14"/>
        <rFont val="Arial"/>
        <family val="2"/>
      </rPr>
      <t>(National Travel Survey)</t>
    </r>
  </si>
  <si>
    <r>
      <t xml:space="preserve">Public Road Lengths  </t>
    </r>
    <r>
      <rPr>
        <sz val="14"/>
        <rFont val="Arial"/>
        <family val="2"/>
      </rPr>
      <t>(all roads)</t>
    </r>
  </si>
  <si>
    <r>
      <t>GB</t>
    </r>
    <r>
      <rPr>
        <vertAlign val="superscript"/>
        <sz val="14"/>
        <rFont val="Arial"/>
        <family val="2"/>
      </rPr>
      <t xml:space="preserve"> 2</t>
    </r>
  </si>
  <si>
    <r>
      <t xml:space="preserve">GB </t>
    </r>
    <r>
      <rPr>
        <vertAlign val="superscript"/>
        <sz val="14"/>
        <rFont val="Arial"/>
        <family val="2"/>
      </rPr>
      <t>3</t>
    </r>
  </si>
  <si>
    <r>
      <t xml:space="preserve">Scotland </t>
    </r>
    <r>
      <rPr>
        <vertAlign val="superscript"/>
        <sz val="14"/>
        <rFont val="Arial"/>
        <family val="2"/>
      </rPr>
      <t>12</t>
    </r>
  </si>
  <si>
    <r>
      <t xml:space="preserve">Local bus passenger journeys </t>
    </r>
    <r>
      <rPr>
        <b/>
        <vertAlign val="superscript"/>
        <sz val="14"/>
        <rFont val="Arial"/>
        <family val="2"/>
      </rPr>
      <t>2, 4</t>
    </r>
  </si>
  <si>
    <r>
      <t xml:space="preserve">Rail passenger journeys </t>
    </r>
    <r>
      <rPr>
        <b/>
        <vertAlign val="superscript"/>
        <sz val="14"/>
        <rFont val="Arial"/>
        <family val="2"/>
      </rPr>
      <t>4, 5, 6</t>
    </r>
  </si>
  <si>
    <r>
      <t xml:space="preserve">Road </t>
    </r>
    <r>
      <rPr>
        <vertAlign val="superscript"/>
        <sz val="14"/>
        <rFont val="Arial"/>
        <family val="2"/>
      </rPr>
      <t>8, 9</t>
    </r>
  </si>
  <si>
    <r>
      <t xml:space="preserve">Rail </t>
    </r>
    <r>
      <rPr>
        <vertAlign val="superscript"/>
        <sz val="14"/>
        <rFont val="Arial"/>
        <family val="2"/>
      </rPr>
      <t>4</t>
    </r>
  </si>
  <si>
    <r>
      <t xml:space="preserve">Pipelines </t>
    </r>
    <r>
      <rPr>
        <vertAlign val="superscript"/>
        <sz val="14"/>
        <rFont val="Arial"/>
        <family val="2"/>
      </rPr>
      <t>7</t>
    </r>
  </si>
  <si>
    <r>
      <t xml:space="preserve">Travel to Work   </t>
    </r>
    <r>
      <rPr>
        <sz val="14"/>
        <rFont val="Arial"/>
        <family val="2"/>
      </rPr>
      <t>(Autumn: Labour Force Survey)</t>
    </r>
  </si>
  <si>
    <t xml:space="preserve">    SUMMARY</t>
  </si>
  <si>
    <r>
      <t xml:space="preserve">Table SGB3 </t>
    </r>
    <r>
      <rPr>
        <sz val="14"/>
        <rFont val="Arial"/>
        <family val="2"/>
      </rPr>
      <t xml:space="preserve"> Comparisons of Scotland and Great Britain (or UK) - relative to the population</t>
    </r>
    <r>
      <rPr>
        <vertAlign val="superscript"/>
        <sz val="14"/>
        <rFont val="Arial"/>
        <family val="2"/>
      </rPr>
      <t xml:space="preserve"> </t>
    </r>
  </si>
  <si>
    <r>
      <t xml:space="preserve">GB </t>
    </r>
    <r>
      <rPr>
        <vertAlign val="superscript"/>
        <sz val="14"/>
        <rFont val="Arial"/>
        <family val="2"/>
      </rPr>
      <t>1</t>
    </r>
  </si>
  <si>
    <r>
      <t xml:space="preserve">Rail </t>
    </r>
    <r>
      <rPr>
        <vertAlign val="superscript"/>
        <sz val="14"/>
        <rFont val="Arial"/>
        <family val="2"/>
      </rPr>
      <t>3</t>
    </r>
  </si>
  <si>
    <t xml:space="preserve">          Index 2004=100</t>
  </si>
  <si>
    <t xml:space="preserve">      Index 2004=100</t>
  </si>
  <si>
    <t xml:space="preserve">   Passenger receipts (£2013 mill)</t>
  </si>
  <si>
    <t xml:space="preserve">  Passenger receipts (£2013 mill)</t>
  </si>
  <si>
    <t>Figures are based on the origin and destination of trips and do not count stages of these trips separately</t>
  </si>
  <si>
    <r>
      <t xml:space="preserve">GB </t>
    </r>
    <r>
      <rPr>
        <vertAlign val="superscript"/>
        <sz val="14"/>
        <rFont val="Arial"/>
        <family val="2"/>
      </rPr>
      <t>10, 11</t>
    </r>
  </si>
  <si>
    <t>Contents</t>
  </si>
  <si>
    <t>Time series</t>
  </si>
  <si>
    <t>Summary Chapter Interactive Chart - Time Series</t>
  </si>
  <si>
    <t>Table S1</t>
  </si>
  <si>
    <t>Table S2</t>
  </si>
  <si>
    <t>Table S3</t>
  </si>
  <si>
    <t>Table S4</t>
  </si>
  <si>
    <t>Summary of Scottish Household Survey results</t>
  </si>
  <si>
    <t xml:space="preserve">Summary of cross-border transport </t>
  </si>
  <si>
    <t>Table SGB1</t>
  </si>
  <si>
    <t>Comparisons of Scotland and Great Britain (or the UK) - numbers</t>
  </si>
  <si>
    <t>Summary of Transport in Scotland - numbers</t>
  </si>
  <si>
    <t>Summary of Transport in Scotland - index</t>
  </si>
  <si>
    <t>Table SGB2</t>
  </si>
  <si>
    <t>Comparisons of Scotland and Great Britain (or the UK) - index</t>
  </si>
  <si>
    <t>Table SGB3</t>
  </si>
  <si>
    <t xml:space="preserve">Comparisons of Scotland and Great Britain (or the UK) - relative to the population </t>
  </si>
  <si>
    <t>Table H1</t>
  </si>
  <si>
    <t>Summary of passenger traffic</t>
  </si>
  <si>
    <t>Summary of freight traffic lifted</t>
  </si>
  <si>
    <t>Summary of freight traffic moved</t>
  </si>
  <si>
    <t>Traffic estimates</t>
  </si>
  <si>
    <t>Table H3</t>
  </si>
  <si>
    <t xml:space="preserve">Other vehicle related statistics </t>
  </si>
  <si>
    <t>Table H4</t>
  </si>
  <si>
    <t>Figure 1</t>
  </si>
  <si>
    <t>Figure 2</t>
  </si>
  <si>
    <t>Figure 3</t>
  </si>
  <si>
    <t>Figure 4</t>
  </si>
  <si>
    <t>Figure 5</t>
  </si>
  <si>
    <t>Figure 6</t>
  </si>
  <si>
    <t>Figure 7</t>
  </si>
  <si>
    <t>Figure 8</t>
  </si>
  <si>
    <t>Figure 9</t>
  </si>
  <si>
    <t>Figure 10</t>
  </si>
  <si>
    <t>Figure 11</t>
  </si>
  <si>
    <t>Vehicles licensed</t>
  </si>
  <si>
    <t>New registrations of vehicles</t>
  </si>
  <si>
    <t>Traffic (vehicle kilometres)</t>
  </si>
  <si>
    <t>Reported road casualties</t>
  </si>
  <si>
    <t>Passenger numbers: local bus and rail</t>
  </si>
  <si>
    <t>Passenger numbers: rail, air and ferry</t>
  </si>
  <si>
    <t>Vehicles licensed per 100 population</t>
  </si>
  <si>
    <t>Passenger numbers per head of population: local bus and rail</t>
  </si>
  <si>
    <t>Passenger numbers per head of population: rail and air</t>
  </si>
  <si>
    <t>Freight lifted: road and coastwise shipping</t>
  </si>
  <si>
    <t>Freight lifted: coastwise shipping, pipelines, inland waterway, rail</t>
  </si>
  <si>
    <t>Table H2a</t>
  </si>
  <si>
    <t>Table H2b</t>
  </si>
  <si>
    <t>Services to Europe, Northern Ireland and within Scotland (Previous versions of STS only included services where data is availabla back to 1975, this</t>
  </si>
  <si>
    <t xml:space="preserve"> as the figures are new estimates and considered as ‘data under development'.</t>
  </si>
  <si>
    <t xml:space="preserve"> can still be found in Table H1). Figures for passenger numbers on the Corran ferry service in 2013 and 2014 have not been included in the total for Scotland </t>
  </si>
  <si>
    <t xml:space="preserve"> Domestic freight estimates for 2006 to 2009 were revised on 27 October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</si>
</sst>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0.0"/>
    <numFmt numFmtId="165" formatCode="0.000"/>
    <numFmt numFmtId="166" formatCode="#,##0.0"/>
    <numFmt numFmtId="167" formatCode="#,##0.000"/>
    <numFmt numFmtId="168" formatCode="_-* #,##0.0_-;\-* #,##0.0_-;_-* &quot;-&quot;??_-;_-@_-"/>
    <numFmt numFmtId="169" formatCode="_-* #,##0_-;\-* #,##0_-;_-* &quot;-&quot;??_-;_-@_-"/>
    <numFmt numFmtId="170" formatCode="#,##0_);\(#,##0\)"/>
    <numFmt numFmtId="171" formatCode="General_)"/>
    <numFmt numFmtId="172" formatCode="0.0_ ;\-0.0\ "/>
    <numFmt numFmtId="173" formatCode="#,###.0,"/>
    <numFmt numFmtId="174" formatCode="#,##0.0;\-#,##0.0"/>
    <numFmt numFmtId="175" formatCode="0.0%"/>
    <numFmt numFmtId="176" formatCode="0_ ;\-0\ "/>
    <numFmt numFmtId="177" formatCode="#,##0.0;;;"/>
    <numFmt numFmtId="178" formatCode="0.00000"/>
    <numFmt numFmtId="179" formatCode="#,##0.0000"/>
  </numFmts>
  <fonts count="90">
    <font>
      <sz val="10"/>
      <name val="Arial"/>
    </font>
    <font>
      <sz val="10"/>
      <name val="Arial"/>
      <family val="2"/>
    </font>
    <font>
      <sz val="12"/>
      <name val="Arial MT"/>
    </font>
    <font>
      <sz val="8"/>
      <name val="Arial MT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 MT"/>
    </font>
    <font>
      <sz val="10"/>
      <name val="Arial"/>
      <family val="2"/>
    </font>
    <font>
      <b/>
      <sz val="12"/>
      <name val="Arial MT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 MT"/>
    </font>
    <font>
      <sz val="12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 MT"/>
    </font>
    <font>
      <sz val="14"/>
      <name val="Arial"/>
      <family val="2"/>
    </font>
    <font>
      <i/>
      <sz val="14"/>
      <name val="Arial"/>
      <family val="2"/>
    </font>
    <font>
      <b/>
      <vertAlign val="superscript"/>
      <sz val="14"/>
      <name val="Arial"/>
      <family val="2"/>
    </font>
    <font>
      <sz val="11"/>
      <name val="Arial MT"/>
    </font>
    <font>
      <sz val="11"/>
      <name val="Arial"/>
      <family val="2"/>
    </font>
    <font>
      <sz val="16"/>
      <name val="Arial"/>
      <family val="2"/>
    </font>
    <font>
      <b/>
      <i/>
      <sz val="14"/>
      <name val="Arial"/>
      <family val="2"/>
    </font>
    <font>
      <sz val="14"/>
      <color indexed="12"/>
      <name val="Arial"/>
      <family val="2"/>
    </font>
    <font>
      <vertAlign val="superscript"/>
      <sz val="14"/>
      <name val="Arial"/>
      <family val="2"/>
    </font>
    <font>
      <sz val="14"/>
      <color indexed="12"/>
      <name val="Arial MT"/>
    </font>
    <font>
      <i/>
      <sz val="14"/>
      <color indexed="12"/>
      <name val="Arial"/>
      <family val="2"/>
    </font>
    <font>
      <i/>
      <sz val="10"/>
      <name val="Arial MT"/>
    </font>
    <font>
      <sz val="8"/>
      <name val="LinePrinter"/>
    </font>
    <font>
      <vertAlign val="superscript"/>
      <sz val="12"/>
      <name val="Arial"/>
      <family val="2"/>
    </font>
    <font>
      <i/>
      <sz val="12"/>
      <name val="Arial"/>
      <family val="2"/>
    </font>
    <font>
      <i/>
      <sz val="12"/>
      <name val="Arial MT"/>
    </font>
    <font>
      <b/>
      <sz val="10"/>
      <name val="Arial"/>
      <family val="2"/>
    </font>
    <font>
      <i/>
      <sz val="10"/>
      <name val="Arial"/>
      <family val="2"/>
    </font>
    <font>
      <sz val="12"/>
      <color indexed="12"/>
      <name val="Arial MT"/>
    </font>
    <font>
      <i/>
      <sz val="12"/>
      <color indexed="12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b/>
      <sz val="24"/>
      <name val="Arial MT"/>
    </font>
    <font>
      <sz val="24"/>
      <name val="Arial MT"/>
    </font>
    <font>
      <sz val="10"/>
      <color indexed="12"/>
      <name val="Arial"/>
      <family val="2"/>
    </font>
    <font>
      <sz val="14"/>
      <name val="Times New Roman"/>
      <family val="1"/>
    </font>
    <font>
      <sz val="12"/>
      <color indexed="56"/>
      <name val="Arial MT"/>
    </font>
    <font>
      <sz val="18"/>
      <name val="Arial MT"/>
    </font>
    <font>
      <sz val="12"/>
      <name val="Times New Roman"/>
      <family val="1"/>
    </font>
    <font>
      <sz val="9"/>
      <color indexed="12"/>
      <name val="Arial"/>
      <family val="2"/>
    </font>
    <font>
      <b/>
      <sz val="10"/>
      <color indexed="53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indexed="4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 MT"/>
    </font>
    <font>
      <sz val="10"/>
      <color indexed="56"/>
      <name val="Arial MT"/>
    </font>
    <font>
      <sz val="10"/>
      <color indexed="56"/>
      <name val="Arial"/>
      <family val="2"/>
    </font>
    <font>
      <sz val="9.5"/>
      <name val="Arial MT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i/>
      <sz val="12"/>
      <color theme="1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rgb="FF1020D0"/>
      <name val="Arial"/>
      <family val="2"/>
    </font>
    <font>
      <b/>
      <sz val="18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b/>
      <sz val="14"/>
      <name val="Arial MT"/>
    </font>
    <font>
      <sz val="14"/>
      <color indexed="10"/>
      <name val="Arial MT"/>
    </font>
    <font>
      <b/>
      <sz val="14"/>
      <color indexed="10"/>
      <name val="Arial MT"/>
    </font>
    <font>
      <b/>
      <sz val="14"/>
      <color rgb="FF000000"/>
      <name val="Calibri"/>
      <family val="2"/>
    </font>
    <font>
      <sz val="14"/>
      <color rgb="FF000000"/>
      <name val="Arial"/>
      <family val="2"/>
    </font>
    <font>
      <b/>
      <sz val="18"/>
      <name val="Arial MT"/>
    </font>
    <font>
      <b/>
      <sz val="16"/>
      <name val="Arial MT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u/>
      <sz val="14"/>
      <name val="Arial"/>
      <family val="2"/>
    </font>
    <font>
      <i/>
      <sz val="14"/>
      <name val="Arial MT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sz val="16"/>
      <name val="Arial MT"/>
    </font>
    <font>
      <sz val="14"/>
      <name val="LinePrinter"/>
    </font>
    <font>
      <sz val="14"/>
      <color rgb="FF0000FF"/>
      <name val="Arial"/>
      <family val="2"/>
    </font>
    <font>
      <sz val="14"/>
      <color rgb="FF000000"/>
      <name val="Calibri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8FE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Dashed">
        <color rgb="FF000000"/>
      </left>
      <right/>
      <top/>
      <bottom/>
      <diagonal/>
    </border>
    <border>
      <left/>
      <right style="mediumDashed">
        <color rgb="FF000000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58" fillId="0" borderId="0"/>
    <xf numFmtId="0" fontId="7" fillId="0" borderId="0"/>
    <xf numFmtId="0" fontId="7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0" fontId="53" fillId="0" borderId="0"/>
    <xf numFmtId="9" fontId="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1" fillId="0" borderId="0" applyNumberFormat="0" applyFill="0" applyBorder="0" applyAlignment="0" applyProtection="0"/>
  </cellStyleXfs>
  <cellXfs count="712">
    <xf numFmtId="0" fontId="0" fillId="0" borderId="0" xfId="0"/>
    <xf numFmtId="171" fontId="5" fillId="2" borderId="0" xfId="9" applyFont="1" applyFill="1" applyAlignment="1">
      <alignment horizontal="left"/>
    </xf>
    <xf numFmtId="171" fontId="2" fillId="2" borderId="0" xfId="9" applyFont="1" applyFill="1"/>
    <xf numFmtId="171" fontId="2" fillId="2" borderId="0" xfId="9" applyFont="1" applyFill="1" applyAlignment="1">
      <alignment horizontal="right"/>
    </xf>
    <xf numFmtId="171" fontId="6" fillId="2" borderId="0" xfId="9" applyFont="1" applyFill="1"/>
    <xf numFmtId="171" fontId="4" fillId="2" borderId="0" xfId="9" applyFont="1" applyFill="1" applyBorder="1" applyAlignment="1">
      <alignment horizontal="left"/>
    </xf>
    <xf numFmtId="171" fontId="7" fillId="2" borderId="0" xfId="9" applyFont="1" applyFill="1" applyBorder="1"/>
    <xf numFmtId="171" fontId="7" fillId="2" borderId="0" xfId="9" applyFont="1" applyFill="1" applyBorder="1" applyAlignment="1">
      <alignment horizontal="right"/>
    </xf>
    <xf numFmtId="171" fontId="7" fillId="2" borderId="0" xfId="9" applyFont="1" applyFill="1"/>
    <xf numFmtId="171" fontId="2" fillId="2" borderId="0" xfId="9" applyFill="1"/>
    <xf numFmtId="171" fontId="5" fillId="2" borderId="1" xfId="9" applyFont="1" applyFill="1" applyBorder="1"/>
    <xf numFmtId="171" fontId="8" fillId="2" borderId="0" xfId="9" applyFont="1" applyFill="1"/>
    <xf numFmtId="171" fontId="9" fillId="2" borderId="0" xfId="9" applyFont="1" applyFill="1" applyBorder="1"/>
    <xf numFmtId="171" fontId="9" fillId="2" borderId="0" xfId="9" applyFont="1" applyFill="1"/>
    <xf numFmtId="171" fontId="9" fillId="2" borderId="0" xfId="9" applyFont="1" applyFill="1" applyAlignment="1">
      <alignment horizontal="left"/>
    </xf>
    <xf numFmtId="171" fontId="10" fillId="2" borderId="0" xfId="9" applyFont="1" applyFill="1" applyAlignment="1">
      <alignment horizontal="right"/>
    </xf>
    <xf numFmtId="171" fontId="7" fillId="2" borderId="0" xfId="9" applyFont="1" applyFill="1" applyAlignment="1">
      <alignment horizontal="left"/>
    </xf>
    <xf numFmtId="3" fontId="4" fillId="2" borderId="0" xfId="9" applyNumberFormat="1" applyFont="1" applyFill="1" applyAlignment="1">
      <alignment horizontal="right"/>
    </xf>
    <xf numFmtId="171" fontId="4" fillId="2" borderId="0" xfId="9" applyFont="1" applyFill="1"/>
    <xf numFmtId="1" fontId="2" fillId="2" borderId="0" xfId="9" applyNumberFormat="1" applyFill="1"/>
    <xf numFmtId="3" fontId="4" fillId="2" borderId="0" xfId="9" applyNumberFormat="1" applyFont="1" applyFill="1" applyBorder="1"/>
    <xf numFmtId="3" fontId="4" fillId="2" borderId="0" xfId="9" applyNumberFormat="1" applyFont="1" applyFill="1" applyBorder="1" applyAlignment="1">
      <alignment horizontal="right"/>
    </xf>
    <xf numFmtId="166" fontId="4" fillId="2" borderId="0" xfId="9" applyNumberFormat="1" applyFont="1" applyFill="1" applyBorder="1" applyAlignment="1">
      <alignment horizontal="right"/>
    </xf>
    <xf numFmtId="171" fontId="2" fillId="2" borderId="0" xfId="9" applyFill="1" applyAlignment="1">
      <alignment horizontal="right"/>
    </xf>
    <xf numFmtId="3" fontId="4" fillId="2" borderId="0" xfId="9" applyNumberFormat="1" applyFont="1" applyFill="1"/>
    <xf numFmtId="2" fontId="4" fillId="2" borderId="0" xfId="9" applyNumberFormat="1" applyFont="1" applyFill="1" applyAlignment="1">
      <alignment horizontal="right"/>
    </xf>
    <xf numFmtId="2" fontId="4" fillId="2" borderId="0" xfId="9" applyNumberFormat="1" applyFont="1" applyFill="1" applyBorder="1" applyAlignment="1">
      <alignment horizontal="right"/>
    </xf>
    <xf numFmtId="171" fontId="7" fillId="2" borderId="0" xfId="9" applyFont="1" applyFill="1" applyBorder="1" applyAlignment="1">
      <alignment horizontal="left"/>
    </xf>
    <xf numFmtId="171" fontId="7" fillId="2" borderId="4" xfId="9" applyFont="1" applyFill="1" applyBorder="1"/>
    <xf numFmtId="171" fontId="13" fillId="2" borderId="0" xfId="9" applyFont="1" applyFill="1"/>
    <xf numFmtId="171" fontId="7" fillId="2" borderId="0" xfId="9" applyFont="1" applyFill="1" applyAlignment="1">
      <alignment horizontal="right"/>
    </xf>
    <xf numFmtId="164" fontId="14" fillId="2" borderId="0" xfId="9" applyNumberFormat="1" applyFont="1" applyFill="1" applyProtection="1"/>
    <xf numFmtId="164" fontId="14" fillId="2" borderId="3" xfId="9" applyNumberFormat="1" applyFont="1" applyFill="1" applyBorder="1" applyProtection="1"/>
    <xf numFmtId="164" fontId="14" fillId="2" borderId="0" xfId="9" applyNumberFormat="1" applyFont="1" applyFill="1" applyBorder="1" applyProtection="1"/>
    <xf numFmtId="171" fontId="2" fillId="2" borderId="0" xfId="8" applyFont="1" applyFill="1"/>
    <xf numFmtId="171" fontId="4" fillId="2" borderId="0" xfId="8" applyFont="1" applyFill="1" applyBorder="1" applyAlignment="1">
      <alignment horizontal="left"/>
    </xf>
    <xf numFmtId="171" fontId="17" fillId="2" borderId="0" xfId="8" applyFont="1" applyFill="1"/>
    <xf numFmtId="171" fontId="16" fillId="2" borderId="0" xfId="8" applyFont="1" applyFill="1" applyAlignment="1">
      <alignment horizontal="left"/>
    </xf>
    <xf numFmtId="171" fontId="4" fillId="2" borderId="0" xfId="8" applyFont="1" applyFill="1" applyBorder="1"/>
    <xf numFmtId="171" fontId="15" fillId="2" borderId="0" xfId="9" applyFont="1" applyFill="1" applyAlignment="1">
      <alignment horizontal="left"/>
    </xf>
    <xf numFmtId="171" fontId="16" fillId="2" borderId="1" xfId="9" applyFont="1" applyFill="1" applyBorder="1" applyAlignment="1">
      <alignment horizontal="right"/>
    </xf>
    <xf numFmtId="171" fontId="17" fillId="2" borderId="0" xfId="9" applyFont="1" applyFill="1"/>
    <xf numFmtId="171" fontId="24" fillId="2" borderId="0" xfId="9" applyFont="1" applyFill="1"/>
    <xf numFmtId="171" fontId="19" fillId="2" borderId="0" xfId="9" applyFont="1" applyFill="1"/>
    <xf numFmtId="171" fontId="19" fillId="2" borderId="0" xfId="9" applyFont="1" applyFill="1" applyAlignment="1">
      <alignment horizontal="right"/>
    </xf>
    <xf numFmtId="171" fontId="18" fillId="2" borderId="0" xfId="9" applyFont="1" applyFill="1"/>
    <xf numFmtId="171" fontId="16" fillId="2" borderId="0" xfId="9" applyFont="1" applyFill="1" applyAlignment="1">
      <alignment horizontal="left"/>
    </xf>
    <xf numFmtId="171" fontId="16" fillId="2" borderId="0" xfId="9" applyFont="1" applyFill="1"/>
    <xf numFmtId="3" fontId="17" fillId="2" borderId="0" xfId="9" applyNumberFormat="1" applyFont="1" applyFill="1"/>
    <xf numFmtId="171" fontId="18" fillId="2" borderId="0" xfId="9" applyFont="1" applyFill="1" applyAlignment="1">
      <alignment horizontal="left"/>
    </xf>
    <xf numFmtId="4" fontId="25" fillId="2" borderId="0" xfId="9" applyNumberFormat="1" applyFont="1" applyFill="1" applyAlignment="1">
      <alignment horizontal="right"/>
    </xf>
    <xf numFmtId="171" fontId="27" fillId="2" borderId="0" xfId="9" applyFont="1" applyFill="1"/>
    <xf numFmtId="171" fontId="28" fillId="2" borderId="0" xfId="9" applyFont="1" applyFill="1" applyAlignment="1">
      <alignment horizontal="right"/>
    </xf>
    <xf numFmtId="166" fontId="25" fillId="2" borderId="0" xfId="9" applyNumberFormat="1" applyFont="1" applyFill="1" applyAlignment="1">
      <alignment horizontal="right"/>
    </xf>
    <xf numFmtId="166" fontId="25" fillId="2" borderId="3" xfId="9" applyNumberFormat="1" applyFont="1" applyFill="1" applyBorder="1" applyAlignment="1">
      <alignment horizontal="right"/>
    </xf>
    <xf numFmtId="164" fontId="25" fillId="2" borderId="0" xfId="9" applyNumberFormat="1" applyFont="1" applyFill="1" applyBorder="1" applyAlignment="1">
      <alignment horizontal="right"/>
    </xf>
    <xf numFmtId="164" fontId="25" fillId="2" borderId="0" xfId="9" applyNumberFormat="1" applyFont="1" applyFill="1" applyAlignment="1">
      <alignment horizontal="right"/>
    </xf>
    <xf numFmtId="171" fontId="25" fillId="2" borderId="0" xfId="9" applyFont="1" applyFill="1" applyBorder="1" applyAlignment="1">
      <alignment horizontal="right"/>
    </xf>
    <xf numFmtId="171" fontId="18" fillId="2" borderId="0" xfId="9" applyFont="1" applyFill="1" applyBorder="1"/>
    <xf numFmtId="171" fontId="18" fillId="2" borderId="0" xfId="9" applyFont="1" applyFill="1" applyBorder="1" applyAlignment="1">
      <alignment horizontal="left"/>
    </xf>
    <xf numFmtId="171" fontId="2" fillId="2" borderId="4" xfId="9" applyFont="1" applyFill="1" applyBorder="1"/>
    <xf numFmtId="171" fontId="21" fillId="2" borderId="0" xfId="9" applyFont="1" applyFill="1" applyAlignment="1">
      <alignment horizontal="center"/>
    </xf>
    <xf numFmtId="171" fontId="5" fillId="2" borderId="0" xfId="9" applyFont="1" applyFill="1"/>
    <xf numFmtId="171" fontId="4" fillId="2" borderId="0" xfId="9" applyFont="1" applyFill="1" applyAlignment="1">
      <alignment horizontal="right"/>
    </xf>
    <xf numFmtId="1" fontId="4" fillId="2" borderId="0" xfId="9" applyNumberFormat="1" applyFont="1" applyFill="1" applyAlignment="1">
      <alignment horizontal="right"/>
    </xf>
    <xf numFmtId="164" fontId="4" fillId="2" borderId="0" xfId="9" applyNumberFormat="1" applyFont="1" applyFill="1" applyAlignment="1">
      <alignment horizontal="right"/>
    </xf>
    <xf numFmtId="164" fontId="4" fillId="2" borderId="3" xfId="9" applyNumberFormat="1" applyFont="1" applyFill="1" applyBorder="1" applyAlignment="1">
      <alignment horizontal="right"/>
    </xf>
    <xf numFmtId="3" fontId="4" fillId="2" borderId="0" xfId="1" applyNumberFormat="1" applyFont="1" applyFill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171" fontId="11" fillId="2" borderId="0" xfId="9" quotePrefix="1" applyFont="1" applyFill="1"/>
    <xf numFmtId="171" fontId="30" fillId="2" borderId="0" xfId="9" applyFont="1" applyFill="1"/>
    <xf numFmtId="1" fontId="4" fillId="2" borderId="0" xfId="9" applyNumberFormat="1" applyFont="1" applyFill="1"/>
    <xf numFmtId="1" fontId="4" fillId="2" borderId="0" xfId="9" applyNumberFormat="1" applyFont="1" applyFill="1" applyBorder="1"/>
    <xf numFmtId="164" fontId="4" fillId="2" borderId="0" xfId="9" applyNumberFormat="1" applyFont="1" applyFill="1" applyProtection="1"/>
    <xf numFmtId="164" fontId="4" fillId="2" borderId="0" xfId="9" applyNumberFormat="1" applyFont="1" applyFill="1" applyAlignment="1" applyProtection="1">
      <alignment horizontal="right"/>
    </xf>
    <xf numFmtId="164" fontId="4" fillId="2" borderId="0" xfId="11" applyNumberFormat="1" applyFont="1" applyFill="1" applyAlignment="1">
      <alignment horizontal="right"/>
    </xf>
    <xf numFmtId="169" fontId="4" fillId="2" borderId="0" xfId="1" applyNumberFormat="1" applyFont="1" applyFill="1" applyBorder="1"/>
    <xf numFmtId="171" fontId="7" fillId="2" borderId="0" xfId="9" applyFont="1" applyFill="1" applyAlignment="1">
      <alignment horizontal="center"/>
    </xf>
    <xf numFmtId="171" fontId="7" fillId="2" borderId="0" xfId="9" applyFont="1" applyFill="1" applyBorder="1" applyAlignment="1">
      <alignment horizontal="center"/>
    </xf>
    <xf numFmtId="1" fontId="14" fillId="2" borderId="0" xfId="9" applyNumberFormat="1" applyFont="1" applyFill="1" applyProtection="1"/>
    <xf numFmtId="164" fontId="4" fillId="2" borderId="4" xfId="9" applyNumberFormat="1" applyFont="1" applyFill="1" applyBorder="1" applyAlignment="1" applyProtection="1">
      <alignment horizontal="right"/>
    </xf>
    <xf numFmtId="171" fontId="5" fillId="2" borderId="0" xfId="9" quotePrefix="1" applyFont="1" applyFill="1" applyBorder="1" applyAlignment="1">
      <alignment horizontal="left"/>
    </xf>
    <xf numFmtId="171" fontId="5" fillId="2" borderId="5" xfId="9" quotePrefix="1" applyFont="1" applyFill="1" applyBorder="1" applyAlignment="1">
      <alignment horizontal="right"/>
    </xf>
    <xf numFmtId="171" fontId="5" fillId="2" borderId="5" xfId="9" applyFont="1" applyFill="1" applyBorder="1"/>
    <xf numFmtId="171" fontId="5" fillId="2" borderId="5" xfId="9" quotePrefix="1" applyFont="1" applyFill="1" applyBorder="1" applyAlignment="1">
      <alignment horizontal="left"/>
    </xf>
    <xf numFmtId="171" fontId="5" fillId="2" borderId="5" xfId="9" applyFont="1" applyFill="1" applyBorder="1" applyAlignment="1">
      <alignment horizontal="center"/>
    </xf>
    <xf numFmtId="171" fontId="7" fillId="2" borderId="0" xfId="9" applyFont="1" applyFill="1" applyBorder="1" applyAlignment="1">
      <alignment horizontal="centerContinuous"/>
    </xf>
    <xf numFmtId="171" fontId="10" fillId="2" borderId="3" xfId="9" applyFont="1" applyFill="1" applyBorder="1" applyAlignment="1">
      <alignment horizontal="right"/>
    </xf>
    <xf numFmtId="171" fontId="14" fillId="2" borderId="0" xfId="9" applyFont="1" applyFill="1" applyAlignment="1">
      <alignment horizontal="right"/>
    </xf>
    <xf numFmtId="1" fontId="14" fillId="2" borderId="0" xfId="9" applyNumberFormat="1" applyFont="1" applyFill="1" applyAlignment="1">
      <alignment horizontal="right"/>
    </xf>
    <xf numFmtId="171" fontId="4" fillId="2" borderId="0" xfId="9" applyFont="1" applyFill="1" applyAlignment="1">
      <alignment horizontal="center"/>
    </xf>
    <xf numFmtId="3" fontId="4" fillId="2" borderId="4" xfId="9" applyNumberFormat="1" applyFont="1" applyFill="1" applyBorder="1" applyAlignment="1">
      <alignment horizontal="right"/>
    </xf>
    <xf numFmtId="1" fontId="14" fillId="2" borderId="4" xfId="9" applyNumberFormat="1" applyFont="1" applyFill="1" applyBorder="1" applyAlignment="1">
      <alignment horizontal="right"/>
    </xf>
    <xf numFmtId="37" fontId="32" fillId="2" borderId="0" xfId="9" applyNumberFormat="1" applyFont="1" applyFill="1" applyAlignment="1">
      <alignment horizontal="right"/>
    </xf>
    <xf numFmtId="37" fontId="4" fillId="2" borderId="0" xfId="9" applyNumberFormat="1" applyFont="1" applyFill="1" applyAlignment="1">
      <alignment horizontal="right"/>
    </xf>
    <xf numFmtId="37" fontId="32" fillId="2" borderId="4" xfId="9" applyNumberFormat="1" applyFont="1" applyFill="1" applyBorder="1" applyAlignment="1">
      <alignment horizontal="right"/>
    </xf>
    <xf numFmtId="37" fontId="4" fillId="2" borderId="4" xfId="9" applyNumberFormat="1" applyFont="1" applyFill="1" applyBorder="1" applyAlignment="1">
      <alignment horizontal="right"/>
    </xf>
    <xf numFmtId="164" fontId="4" fillId="2" borderId="4" xfId="9" applyNumberFormat="1" applyFont="1" applyFill="1" applyBorder="1" applyAlignment="1">
      <alignment horizontal="right"/>
    </xf>
    <xf numFmtId="164" fontId="4" fillId="2" borderId="0" xfId="9" applyNumberFormat="1" applyFont="1" applyFill="1" applyBorder="1" applyAlignment="1">
      <alignment horizontal="right"/>
    </xf>
    <xf numFmtId="1" fontId="14" fillId="2" borderId="0" xfId="9" applyNumberFormat="1" applyFont="1" applyFill="1" applyBorder="1" applyAlignment="1">
      <alignment horizontal="right"/>
    </xf>
    <xf numFmtId="37" fontId="4" fillId="2" borderId="0" xfId="9" applyNumberFormat="1" applyFont="1" applyFill="1" applyBorder="1" applyAlignment="1">
      <alignment horizontal="right"/>
    </xf>
    <xf numFmtId="1" fontId="14" fillId="2" borderId="1" xfId="9" applyNumberFormat="1" applyFont="1" applyFill="1" applyBorder="1" applyAlignment="1">
      <alignment horizontal="right"/>
    </xf>
    <xf numFmtId="171" fontId="11" fillId="2" borderId="0" xfId="9" quotePrefix="1" applyFont="1" applyFill="1" applyBorder="1" applyAlignment="1" applyProtection="1">
      <alignment horizontal="left"/>
      <protection locked="0"/>
    </xf>
    <xf numFmtId="171" fontId="4" fillId="2" borderId="0" xfId="9" applyFont="1" applyFill="1" applyBorder="1" applyAlignment="1">
      <alignment horizontal="center"/>
    </xf>
    <xf numFmtId="171" fontId="7" fillId="2" borderId="0" xfId="9" quotePrefix="1" applyFont="1" applyFill="1" applyBorder="1" applyAlignment="1">
      <alignment horizontal="left"/>
    </xf>
    <xf numFmtId="2" fontId="4" fillId="2" borderId="0" xfId="9" applyNumberFormat="1" applyFont="1" applyFill="1" applyBorder="1"/>
    <xf numFmtId="174" fontId="4" fillId="2" borderId="0" xfId="9" applyNumberFormat="1" applyFont="1" applyFill="1" applyBorder="1" applyAlignment="1">
      <alignment horizontal="right"/>
    </xf>
    <xf numFmtId="39" fontId="4" fillId="2" borderId="0" xfId="9" applyNumberFormat="1" applyFont="1" applyFill="1" applyBorder="1" applyAlignment="1">
      <alignment horizontal="right"/>
    </xf>
    <xf numFmtId="4" fontId="4" fillId="2" borderId="0" xfId="9" applyNumberFormat="1" applyFont="1" applyFill="1"/>
    <xf numFmtId="171" fontId="7" fillId="2" borderId="6" xfId="9" applyFont="1" applyFill="1" applyBorder="1"/>
    <xf numFmtId="171" fontId="7" fillId="2" borderId="7" xfId="9" applyFont="1" applyFill="1" applyBorder="1"/>
    <xf numFmtId="169" fontId="4" fillId="2" borderId="0" xfId="1" applyNumberFormat="1" applyFont="1" applyFill="1"/>
    <xf numFmtId="171" fontId="18" fillId="2" borderId="0" xfId="9" quotePrefix="1" applyFont="1" applyFill="1" applyBorder="1" applyAlignment="1">
      <alignment horizontal="left"/>
    </xf>
    <xf numFmtId="171" fontId="33" fillId="2" borderId="0" xfId="9" applyFont="1" applyFill="1"/>
    <xf numFmtId="171" fontId="2" fillId="2" borderId="0" xfId="9" applyFill="1" applyBorder="1"/>
    <xf numFmtId="171" fontId="34" fillId="2" borderId="5" xfId="9" quotePrefix="1" applyFont="1" applyFill="1" applyBorder="1" applyAlignment="1">
      <alignment horizontal="center"/>
    </xf>
    <xf numFmtId="171" fontId="2" fillId="2" borderId="5" xfId="9" applyFill="1" applyBorder="1" applyAlignment="1">
      <alignment horizontal="center"/>
    </xf>
    <xf numFmtId="171" fontId="34" fillId="2" borderId="5" xfId="9" applyFont="1" applyFill="1" applyBorder="1" applyAlignment="1">
      <alignment horizontal="center"/>
    </xf>
    <xf numFmtId="171" fontId="34" fillId="2" borderId="5" xfId="9" applyFont="1" applyFill="1" applyBorder="1" applyAlignment="1">
      <alignment horizontal="right"/>
    </xf>
    <xf numFmtId="171" fontId="2" fillId="2" borderId="5" xfId="9" applyFill="1" applyBorder="1" applyAlignment="1">
      <alignment horizontal="right"/>
    </xf>
    <xf numFmtId="171" fontId="2" fillId="2" borderId="0" xfId="9" applyFill="1" applyBorder="1" applyAlignment="1">
      <alignment horizontal="center"/>
    </xf>
    <xf numFmtId="171" fontId="34" fillId="2" borderId="0" xfId="9" applyFont="1" applyFill="1" applyBorder="1" applyAlignment="1">
      <alignment horizontal="right"/>
    </xf>
    <xf numFmtId="171" fontId="34" fillId="2" borderId="0" xfId="9" applyFont="1" applyFill="1" applyBorder="1" applyAlignment="1">
      <alignment horizontal="center"/>
    </xf>
    <xf numFmtId="171" fontId="34" fillId="2" borderId="3" xfId="9" applyFont="1" applyFill="1" applyBorder="1" applyAlignment="1">
      <alignment horizontal="right"/>
    </xf>
    <xf numFmtId="171" fontId="2" fillId="2" borderId="0" xfId="9" applyFill="1" applyBorder="1" applyAlignment="1">
      <alignment horizontal="right"/>
    </xf>
    <xf numFmtId="171" fontId="10" fillId="2" borderId="0" xfId="9" applyFont="1" applyFill="1" applyBorder="1" applyAlignment="1">
      <alignment horizontal="center"/>
    </xf>
    <xf numFmtId="171" fontId="10" fillId="2" borderId="3" xfId="9" applyFont="1" applyFill="1" applyBorder="1" applyAlignment="1">
      <alignment horizontal="center"/>
    </xf>
    <xf numFmtId="171" fontId="2" fillId="2" borderId="4" xfId="9" applyFill="1" applyBorder="1" applyAlignment="1">
      <alignment horizontal="center"/>
    </xf>
    <xf numFmtId="171" fontId="10" fillId="2" borderId="4" xfId="9" applyFont="1" applyFill="1" applyBorder="1" applyAlignment="1">
      <alignment horizontal="center"/>
    </xf>
    <xf numFmtId="171" fontId="10" fillId="2" borderId="8" xfId="9" applyFont="1" applyFill="1" applyBorder="1" applyAlignment="1">
      <alignment horizontal="center"/>
    </xf>
    <xf numFmtId="171" fontId="2" fillId="2" borderId="4" xfId="9" applyFill="1" applyBorder="1" applyAlignment="1">
      <alignment horizontal="right"/>
    </xf>
    <xf numFmtId="171" fontId="2" fillId="2" borderId="3" xfId="9" applyFill="1" applyBorder="1" applyAlignment="1">
      <alignment horizontal="right"/>
    </xf>
    <xf numFmtId="171" fontId="35" fillId="2" borderId="3" xfId="9" applyFont="1" applyFill="1" applyBorder="1" applyAlignment="1">
      <alignment horizontal="right"/>
    </xf>
    <xf numFmtId="171" fontId="35" fillId="2" borderId="0" xfId="9" applyFont="1" applyFill="1" applyAlignment="1">
      <alignment horizontal="right"/>
    </xf>
    <xf numFmtId="171" fontId="2" fillId="2" borderId="0" xfId="9" applyFill="1" applyAlignment="1">
      <alignment horizontal="center"/>
    </xf>
    <xf numFmtId="164" fontId="2" fillId="2" borderId="0" xfId="9" applyNumberFormat="1" applyFill="1" applyAlignment="1">
      <alignment horizontal="right"/>
    </xf>
    <xf numFmtId="164" fontId="32" fillId="2" borderId="0" xfId="9" applyNumberFormat="1" applyFont="1" applyFill="1" applyAlignment="1">
      <alignment horizontal="right"/>
    </xf>
    <xf numFmtId="164" fontId="2" fillId="2" borderId="3" xfId="9" applyNumberFormat="1" applyFill="1" applyBorder="1" applyAlignment="1">
      <alignment horizontal="right"/>
    </xf>
    <xf numFmtId="171" fontId="36" fillId="2" borderId="0" xfId="9" applyFont="1" applyFill="1" applyAlignment="1">
      <alignment horizontal="right"/>
    </xf>
    <xf numFmtId="164" fontId="37" fillId="2" borderId="0" xfId="9" applyNumberFormat="1" applyFont="1" applyFill="1" applyAlignment="1">
      <alignment horizontal="right"/>
    </xf>
    <xf numFmtId="171" fontId="4" fillId="2" borderId="0" xfId="9" quotePrefix="1" applyFont="1" applyFill="1" applyAlignment="1">
      <alignment horizontal="center"/>
    </xf>
    <xf numFmtId="1" fontId="37" fillId="2" borderId="0" xfId="9" applyNumberFormat="1" applyFont="1" applyFill="1" applyAlignment="1">
      <alignment horizontal="right"/>
    </xf>
    <xf numFmtId="171" fontId="4" fillId="2" borderId="0" xfId="9" applyFont="1" applyFill="1" applyBorder="1" applyAlignment="1">
      <alignment horizontal="right"/>
    </xf>
    <xf numFmtId="1" fontId="4" fillId="2" borderId="0" xfId="9" applyNumberFormat="1" applyFont="1" applyFill="1" applyBorder="1" applyAlignment="1">
      <alignment horizontal="right"/>
    </xf>
    <xf numFmtId="171" fontId="4" fillId="2" borderId="0" xfId="9" quotePrefix="1" applyFont="1" applyFill="1" applyBorder="1" applyAlignment="1">
      <alignment horizontal="center"/>
    </xf>
    <xf numFmtId="171" fontId="13" fillId="2" borderId="0" xfId="9" quotePrefix="1" applyFont="1" applyFill="1" applyAlignment="1">
      <alignment horizontal="left"/>
    </xf>
    <xf numFmtId="171" fontId="13" fillId="2" borderId="0" xfId="9" applyFont="1" applyFill="1" applyAlignment="1">
      <alignment horizontal="left"/>
    </xf>
    <xf numFmtId="171" fontId="38" fillId="2" borderId="0" xfId="9" applyFont="1" applyFill="1"/>
    <xf numFmtId="171" fontId="16" fillId="2" borderId="0" xfId="9" applyFont="1" applyFill="1" applyAlignment="1">
      <alignment horizontal="left" indent="5"/>
    </xf>
    <xf numFmtId="171" fontId="2" fillId="2" borderId="6" xfId="9" applyFill="1" applyBorder="1"/>
    <xf numFmtId="171" fontId="34" fillId="2" borderId="0" xfId="9" applyFont="1" applyFill="1" applyAlignment="1">
      <alignment horizontal="center"/>
    </xf>
    <xf numFmtId="171" fontId="34" fillId="2" borderId="0" xfId="9" applyFont="1" applyFill="1" applyAlignment="1">
      <alignment horizontal="right"/>
    </xf>
    <xf numFmtId="171" fontId="10" fillId="2" borderId="0" xfId="9" applyFont="1" applyFill="1" applyAlignment="1">
      <alignment horizontal="center"/>
    </xf>
    <xf numFmtId="171" fontId="10" fillId="2" borderId="6" xfId="9" applyFont="1" applyFill="1" applyBorder="1" applyAlignment="1">
      <alignment horizontal="center"/>
    </xf>
    <xf numFmtId="3" fontId="2" fillId="2" borderId="0" xfId="1" applyNumberFormat="1" applyFont="1" applyFill="1" applyAlignment="1">
      <alignment horizontal="right"/>
    </xf>
    <xf numFmtId="1" fontId="4" fillId="2" borderId="4" xfId="9" applyNumberFormat="1" applyFont="1" applyFill="1" applyBorder="1" applyAlignment="1">
      <alignment horizontal="right"/>
    </xf>
    <xf numFmtId="1" fontId="32" fillId="2" borderId="0" xfId="9" applyNumberFormat="1" applyFont="1" applyFill="1" applyAlignment="1">
      <alignment horizontal="right"/>
    </xf>
    <xf numFmtId="3" fontId="4" fillId="2" borderId="4" xfId="1" applyNumberFormat="1" applyFont="1" applyFill="1" applyBorder="1" applyAlignment="1">
      <alignment horizontal="right"/>
    </xf>
    <xf numFmtId="3" fontId="4" fillId="2" borderId="0" xfId="11" applyNumberFormat="1" applyFont="1" applyFill="1" applyBorder="1" applyAlignment="1">
      <alignment horizontal="right"/>
    </xf>
    <xf numFmtId="1" fontId="4" fillId="2" borderId="6" xfId="9" applyNumberFormat="1" applyFont="1" applyFill="1" applyBorder="1" applyAlignment="1">
      <alignment horizontal="right"/>
    </xf>
    <xf numFmtId="171" fontId="5" fillId="2" borderId="0" xfId="9" applyFont="1" applyFill="1" applyBorder="1" applyAlignment="1">
      <alignment horizontal="left"/>
    </xf>
    <xf numFmtId="171" fontId="39" fillId="2" borderId="5" xfId="9" quotePrefix="1" applyFont="1" applyFill="1" applyBorder="1" applyAlignment="1">
      <alignment horizontal="right"/>
    </xf>
    <xf numFmtId="171" fontId="39" fillId="2" borderId="5" xfId="9" applyFont="1" applyFill="1" applyBorder="1"/>
    <xf numFmtId="171" fontId="39" fillId="2" borderId="5" xfId="9" applyFont="1" applyFill="1" applyBorder="1" applyAlignment="1">
      <alignment horizontal="center"/>
    </xf>
    <xf numFmtId="171" fontId="39" fillId="2" borderId="9" xfId="9" applyFont="1" applyFill="1" applyBorder="1" applyAlignment="1">
      <alignment horizontal="center"/>
    </xf>
    <xf numFmtId="171" fontId="22" fillId="2" borderId="0" xfId="9" applyFont="1" applyFill="1" applyBorder="1"/>
    <xf numFmtId="171" fontId="39" fillId="2" borderId="0" xfId="9" applyFont="1" applyFill="1" applyBorder="1" applyAlignment="1">
      <alignment horizontal="center"/>
    </xf>
    <xf numFmtId="171" fontId="39" fillId="2" borderId="3" xfId="9" applyFont="1" applyFill="1" applyBorder="1" applyAlignment="1">
      <alignment horizontal="center"/>
    </xf>
    <xf numFmtId="171" fontId="7" fillId="2" borderId="3" xfId="9" applyFont="1" applyFill="1" applyBorder="1" applyAlignment="1">
      <alignment horizontal="center"/>
    </xf>
    <xf numFmtId="171" fontId="7" fillId="2" borderId="4" xfId="9" applyFont="1" applyFill="1" applyBorder="1" applyAlignment="1">
      <alignment horizontal="center"/>
    </xf>
    <xf numFmtId="171" fontId="7" fillId="2" borderId="8" xfId="9" applyFont="1" applyFill="1" applyBorder="1" applyAlignment="1">
      <alignment horizontal="center"/>
    </xf>
    <xf numFmtId="1" fontId="4" fillId="2" borderId="3" xfId="9" applyNumberFormat="1" applyFont="1" applyFill="1" applyBorder="1" applyAlignment="1">
      <alignment horizontal="right"/>
    </xf>
    <xf numFmtId="171" fontId="11" fillId="2" borderId="0" xfId="9" applyFont="1" applyFill="1" applyAlignment="1">
      <alignment horizontal="left"/>
    </xf>
    <xf numFmtId="37" fontId="4" fillId="2" borderId="3" xfId="9" applyNumberFormat="1" applyFont="1" applyFill="1" applyBorder="1" applyAlignment="1">
      <alignment horizontal="right"/>
    </xf>
    <xf numFmtId="171" fontId="11" fillId="2" borderId="0" xfId="9" applyFont="1" applyFill="1" applyBorder="1" applyAlignment="1" applyProtection="1">
      <alignment horizontal="left"/>
      <protection locked="0"/>
    </xf>
    <xf numFmtId="171" fontId="4" fillId="2" borderId="2" xfId="9" applyFont="1" applyFill="1" applyBorder="1" applyAlignment="1">
      <alignment horizontal="center"/>
    </xf>
    <xf numFmtId="1" fontId="4" fillId="2" borderId="4" xfId="9" applyNumberFormat="1" applyFont="1" applyFill="1" applyBorder="1"/>
    <xf numFmtId="1" fontId="7" fillId="2" borderId="0" xfId="9" applyNumberFormat="1" applyFont="1" applyFill="1" applyBorder="1"/>
    <xf numFmtId="37" fontId="4" fillId="2" borderId="0" xfId="9" applyNumberFormat="1" applyFont="1" applyFill="1" applyBorder="1" applyAlignment="1">
      <alignment horizontal="center"/>
    </xf>
    <xf numFmtId="1" fontId="4" fillId="2" borderId="0" xfId="9" applyNumberFormat="1" applyFont="1" applyFill="1" applyBorder="1" applyAlignment="1">
      <alignment horizontal="center"/>
    </xf>
    <xf numFmtId="171" fontId="39" fillId="2" borderId="10" xfId="9" applyFont="1" applyFill="1" applyBorder="1"/>
    <xf numFmtId="171" fontId="22" fillId="2" borderId="2" xfId="9" applyFont="1" applyFill="1" applyBorder="1"/>
    <xf numFmtId="171" fontId="7" fillId="2" borderId="2" xfId="9" applyFont="1" applyFill="1" applyBorder="1"/>
    <xf numFmtId="171" fontId="7" fillId="2" borderId="11" xfId="9" applyFont="1" applyFill="1" applyBorder="1"/>
    <xf numFmtId="1" fontId="4" fillId="2" borderId="0" xfId="9" applyNumberFormat="1" applyFont="1" applyFill="1" applyAlignment="1"/>
    <xf numFmtId="171" fontId="37" fillId="2" borderId="4" xfId="9" applyFont="1" applyFill="1" applyBorder="1" applyAlignment="1">
      <alignment horizontal="right"/>
    </xf>
    <xf numFmtId="171" fontId="11" fillId="2" borderId="0" xfId="9" quotePrefix="1" applyFont="1" applyFill="1" applyBorder="1" applyAlignment="1">
      <alignment horizontal="left"/>
    </xf>
    <xf numFmtId="3" fontId="4" fillId="2" borderId="0" xfId="9" applyNumberFormat="1" applyFont="1" applyFill="1" applyBorder="1" applyAlignment="1">
      <alignment horizontal="right" wrapText="1"/>
    </xf>
    <xf numFmtId="37" fontId="7" fillId="2" borderId="0" xfId="9" applyNumberFormat="1" applyFont="1" applyFill="1" applyBorder="1" applyAlignment="1">
      <alignment horizontal="center"/>
    </xf>
    <xf numFmtId="1" fontId="7" fillId="2" borderId="0" xfId="9" applyNumberFormat="1" applyFont="1" applyFill="1" applyBorder="1" applyAlignment="1">
      <alignment horizontal="center"/>
    </xf>
    <xf numFmtId="169" fontId="7" fillId="0" borderId="0" xfId="1" applyNumberFormat="1" applyFont="1"/>
    <xf numFmtId="169" fontId="7" fillId="0" borderId="0" xfId="1" applyNumberFormat="1" applyFont="1" applyFill="1"/>
    <xf numFmtId="171" fontId="40" fillId="0" borderId="0" xfId="10" applyFont="1"/>
    <xf numFmtId="171" fontId="41" fillId="0" borderId="0" xfId="10" applyFont="1"/>
    <xf numFmtId="171" fontId="2" fillId="0" borderId="0" xfId="10"/>
    <xf numFmtId="171" fontId="18" fillId="0" borderId="0" xfId="10" applyFont="1"/>
    <xf numFmtId="171" fontId="2" fillId="0" borderId="0" xfId="10" applyAlignment="1">
      <alignment wrapText="1"/>
    </xf>
    <xf numFmtId="1" fontId="42" fillId="0" borderId="0" xfId="10" applyNumberFormat="1" applyFont="1"/>
    <xf numFmtId="2" fontId="42" fillId="0" borderId="0" xfId="10" applyNumberFormat="1" applyFont="1"/>
    <xf numFmtId="37" fontId="42" fillId="0" borderId="0" xfId="10" applyNumberFormat="1" applyFont="1"/>
    <xf numFmtId="37" fontId="2" fillId="0" borderId="0" xfId="10" applyNumberFormat="1"/>
    <xf numFmtId="171" fontId="2" fillId="0" borderId="0" xfId="10" applyFont="1"/>
    <xf numFmtId="171" fontId="43" fillId="0" borderId="0" xfId="10" applyFont="1"/>
    <xf numFmtId="171" fontId="44" fillId="0" borderId="0" xfId="10" applyFont="1"/>
    <xf numFmtId="171" fontId="45" fillId="0" borderId="0" xfId="10" applyFont="1"/>
    <xf numFmtId="171" fontId="17" fillId="0" borderId="0" xfId="10" applyFont="1"/>
    <xf numFmtId="171" fontId="18" fillId="0" borderId="0" xfId="10" applyFont="1" applyAlignment="1">
      <alignment horizontal="left" indent="1"/>
    </xf>
    <xf numFmtId="171" fontId="8" fillId="0" borderId="0" xfId="10" applyFont="1" applyAlignment="1">
      <alignment wrapText="1"/>
    </xf>
    <xf numFmtId="171" fontId="2" fillId="0" borderId="0" xfId="10" applyAlignment="1">
      <alignment horizontal="right"/>
    </xf>
    <xf numFmtId="171" fontId="42" fillId="0" borderId="0" xfId="10" applyFont="1"/>
    <xf numFmtId="4" fontId="42" fillId="0" borderId="0" xfId="10" applyNumberFormat="1" applyFont="1"/>
    <xf numFmtId="4" fontId="5" fillId="0" borderId="0" xfId="10" applyNumberFormat="1" applyFont="1"/>
    <xf numFmtId="4" fontId="5" fillId="0" borderId="0" xfId="10" applyNumberFormat="1" applyFont="1" applyFill="1" applyAlignment="1">
      <alignment horizontal="right"/>
    </xf>
    <xf numFmtId="171" fontId="8" fillId="0" borderId="0" xfId="10" applyFont="1"/>
    <xf numFmtId="171" fontId="3" fillId="0" borderId="0" xfId="10" applyFont="1" applyAlignment="1">
      <alignment horizontal="left" indent="9"/>
    </xf>
    <xf numFmtId="171" fontId="36" fillId="0" borderId="0" xfId="10" applyFont="1"/>
    <xf numFmtId="171" fontId="4" fillId="0" borderId="0" xfId="10" applyFont="1" applyAlignment="1">
      <alignment horizontal="left"/>
    </xf>
    <xf numFmtId="171" fontId="46" fillId="0" borderId="0" xfId="10" applyFont="1"/>
    <xf numFmtId="171" fontId="47" fillId="0" borderId="0" xfId="10" applyFont="1"/>
    <xf numFmtId="1" fontId="2" fillId="0" borderId="0" xfId="10" applyNumberFormat="1"/>
    <xf numFmtId="2" fontId="18" fillId="0" borderId="0" xfId="10" applyNumberFormat="1" applyFont="1"/>
    <xf numFmtId="171" fontId="13" fillId="0" borderId="0" xfId="8" applyFont="1"/>
    <xf numFmtId="171" fontId="1" fillId="0" borderId="0" xfId="8" applyFont="1"/>
    <xf numFmtId="171" fontId="9" fillId="0" borderId="0" xfId="8" applyFont="1"/>
    <xf numFmtId="171" fontId="9" fillId="0" borderId="0" xfId="8" quotePrefix="1" applyFont="1" applyAlignment="1">
      <alignment horizontal="right"/>
    </xf>
    <xf numFmtId="171" fontId="54" fillId="0" borderId="0" xfId="8" applyFont="1" applyAlignment="1">
      <alignment horizontal="right"/>
    </xf>
    <xf numFmtId="171" fontId="54" fillId="0" borderId="0" xfId="8" applyFont="1"/>
    <xf numFmtId="0" fontId="54" fillId="0" borderId="0" xfId="0" applyFont="1"/>
    <xf numFmtId="171" fontId="9" fillId="0" borderId="0" xfId="8" applyFont="1" applyAlignment="1">
      <alignment horizontal="right"/>
    </xf>
    <xf numFmtId="169" fontId="7" fillId="0" borderId="0" xfId="1" quotePrefix="1" applyNumberFormat="1" applyFont="1" applyAlignment="1">
      <alignment horizontal="right"/>
    </xf>
    <xf numFmtId="169" fontId="13" fillId="0" borderId="0" xfId="1" applyNumberFormat="1" applyFont="1"/>
    <xf numFmtId="170" fontId="13" fillId="0" borderId="0" xfId="8" applyNumberFormat="1" applyFont="1" applyProtection="1"/>
    <xf numFmtId="3" fontId="7" fillId="0" borderId="0" xfId="12" applyNumberFormat="1" applyFont="1" applyFill="1"/>
    <xf numFmtId="170" fontId="55" fillId="0" borderId="0" xfId="8" applyNumberFormat="1" applyFont="1" applyProtection="1"/>
    <xf numFmtId="169" fontId="13" fillId="0" borderId="0" xfId="1" applyNumberFormat="1" applyFont="1" applyAlignment="1">
      <alignment horizontal="left"/>
    </xf>
    <xf numFmtId="169" fontId="55" fillId="0" borderId="0" xfId="1" applyNumberFormat="1" applyFont="1"/>
    <xf numFmtId="3" fontId="13" fillId="0" borderId="0" xfId="8" applyNumberFormat="1" applyFont="1" applyAlignment="1"/>
    <xf numFmtId="171" fontId="7" fillId="0" borderId="0" xfId="8" applyFont="1" applyFill="1"/>
    <xf numFmtId="171" fontId="13" fillId="3" borderId="0" xfId="8" applyFont="1" applyFill="1"/>
    <xf numFmtId="171" fontId="48" fillId="2" borderId="0" xfId="9" applyFont="1" applyFill="1"/>
    <xf numFmtId="171" fontId="49" fillId="2" borderId="0" xfId="9" applyFont="1" applyFill="1"/>
    <xf numFmtId="171" fontId="50" fillId="2" borderId="0" xfId="9" applyFont="1" applyFill="1"/>
    <xf numFmtId="165" fontId="2" fillId="2" borderId="0" xfId="9" applyNumberFormat="1" applyFill="1"/>
    <xf numFmtId="165" fontId="7" fillId="2" borderId="0" xfId="9" applyNumberFormat="1" applyFont="1" applyFill="1" applyAlignment="1">
      <alignment horizontal="right"/>
    </xf>
    <xf numFmtId="2" fontId="51" fillId="2" borderId="0" xfId="9" applyNumberFormat="1" applyFont="1" applyFill="1"/>
    <xf numFmtId="3" fontId="2" fillId="2" borderId="0" xfId="9" applyNumberFormat="1" applyFill="1"/>
    <xf numFmtId="3" fontId="48" fillId="2" borderId="0" xfId="9" applyNumberFormat="1" applyFont="1" applyFill="1"/>
    <xf numFmtId="3" fontId="51" fillId="2" borderId="0" xfId="9" applyNumberFormat="1" applyFont="1" applyFill="1"/>
    <xf numFmtId="169" fontId="51" fillId="2" borderId="0" xfId="1" applyNumberFormat="1" applyFont="1" applyFill="1"/>
    <xf numFmtId="3" fontId="7" fillId="2" borderId="0" xfId="9" applyNumberFormat="1" applyFont="1" applyFill="1" applyProtection="1">
      <protection locked="0"/>
    </xf>
    <xf numFmtId="3" fontId="7" fillId="2" borderId="0" xfId="9" applyNumberFormat="1" applyFont="1" applyFill="1" applyAlignment="1" applyProtection="1">
      <alignment horizontal="right"/>
      <protection locked="0"/>
    </xf>
    <xf numFmtId="3" fontId="1" fillId="2" borderId="0" xfId="9" applyNumberFormat="1" applyFont="1" applyFill="1" applyAlignment="1">
      <alignment horizontal="right"/>
    </xf>
    <xf numFmtId="2" fontId="7" fillId="2" borderId="0" xfId="9" applyNumberFormat="1" applyFont="1" applyFill="1"/>
    <xf numFmtId="2" fontId="7" fillId="2" borderId="0" xfId="9" applyNumberFormat="1" applyFont="1" applyFill="1" applyAlignment="1">
      <alignment horizontal="right"/>
    </xf>
    <xf numFmtId="4" fontId="1" fillId="2" borderId="0" xfId="9" applyNumberFormat="1" applyFont="1" applyFill="1" applyAlignment="1">
      <alignment horizontal="right"/>
    </xf>
    <xf numFmtId="164" fontId="51" fillId="2" borderId="0" xfId="9" applyNumberFormat="1" applyFont="1" applyFill="1"/>
    <xf numFmtId="171" fontId="10" fillId="2" borderId="0" xfId="9" applyFont="1" applyFill="1"/>
    <xf numFmtId="171" fontId="2" fillId="2" borderId="3" xfId="9" applyFill="1" applyBorder="1"/>
    <xf numFmtId="4" fontId="2" fillId="2" borderId="0" xfId="9" applyNumberFormat="1" applyFont="1" applyFill="1"/>
    <xf numFmtId="2" fontId="2" fillId="2" borderId="3" xfId="9" applyNumberFormat="1" applyFill="1" applyBorder="1"/>
    <xf numFmtId="2" fontId="2" fillId="2" borderId="0" xfId="9" applyNumberFormat="1" applyFill="1"/>
    <xf numFmtId="2" fontId="2" fillId="2" borderId="0" xfId="9" applyNumberFormat="1" applyFill="1" applyBorder="1"/>
    <xf numFmtId="164" fontId="51" fillId="2" borderId="3" xfId="9" applyNumberFormat="1" applyFont="1" applyFill="1" applyBorder="1"/>
    <xf numFmtId="2" fontId="51" fillId="2" borderId="3" xfId="9" applyNumberFormat="1" applyFont="1" applyFill="1" applyBorder="1"/>
    <xf numFmtId="171" fontId="2" fillId="2" borderId="0" xfId="9" quotePrefix="1" applyFill="1"/>
    <xf numFmtId="3" fontId="7" fillId="2" borderId="2" xfId="9" applyNumberFormat="1" applyFont="1" applyFill="1" applyBorder="1" applyProtection="1">
      <protection locked="0"/>
    </xf>
    <xf numFmtId="3" fontId="7" fillId="2" borderId="0" xfId="9" applyNumberFormat="1" applyFont="1" applyFill="1" applyBorder="1" applyProtection="1">
      <protection locked="0"/>
    </xf>
    <xf numFmtId="169" fontId="7" fillId="2" borderId="0" xfId="1" applyNumberFormat="1" applyFont="1" applyFill="1"/>
    <xf numFmtId="169" fontId="7" fillId="2" borderId="0" xfId="1" applyNumberFormat="1" applyFont="1" applyFill="1" applyAlignment="1">
      <alignment horizontal="right"/>
    </xf>
    <xf numFmtId="171" fontId="51" fillId="2" borderId="0" xfId="9" applyFont="1" applyFill="1"/>
    <xf numFmtId="0" fontId="1" fillId="0" borderId="0" xfId="0" applyFont="1" applyFill="1"/>
    <xf numFmtId="171" fontId="4" fillId="2" borderId="6" xfId="9" applyFont="1" applyFill="1" applyBorder="1" applyAlignment="1">
      <alignment horizontal="center"/>
    </xf>
    <xf numFmtId="171" fontId="2" fillId="2" borderId="6" xfId="9" applyFill="1" applyBorder="1" applyAlignment="1">
      <alignment horizontal="center"/>
    </xf>
    <xf numFmtId="164" fontId="4" fillId="2" borderId="6" xfId="9" applyNumberFormat="1" applyFont="1" applyFill="1" applyBorder="1" applyAlignment="1">
      <alignment horizontal="right"/>
    </xf>
    <xf numFmtId="1" fontId="14" fillId="2" borderId="6" xfId="9" applyNumberFormat="1" applyFont="1" applyFill="1" applyBorder="1" applyAlignment="1">
      <alignment horizontal="right"/>
    </xf>
    <xf numFmtId="171" fontId="4" fillId="2" borderId="6" xfId="9" quotePrefix="1" applyFont="1" applyFill="1" applyBorder="1" applyAlignment="1">
      <alignment horizontal="center"/>
    </xf>
    <xf numFmtId="3" fontId="4" fillId="2" borderId="6" xfId="1" applyNumberFormat="1" applyFont="1" applyFill="1" applyBorder="1" applyAlignment="1">
      <alignment horizontal="right"/>
    </xf>
    <xf numFmtId="1" fontId="4" fillId="2" borderId="6" xfId="9" applyNumberFormat="1" applyFont="1" applyFill="1" applyBorder="1"/>
    <xf numFmtId="171" fontId="7" fillId="2" borderId="6" xfId="9" quotePrefix="1" applyFont="1" applyFill="1" applyBorder="1" applyAlignment="1">
      <alignment horizontal="left"/>
    </xf>
    <xf numFmtId="171" fontId="4" fillId="2" borderId="12" xfId="9" applyFont="1" applyFill="1" applyBorder="1" applyAlignment="1">
      <alignment horizontal="center"/>
    </xf>
    <xf numFmtId="37" fontId="4" fillId="2" borderId="6" xfId="9" applyNumberFormat="1" applyFont="1" applyFill="1" applyBorder="1" applyAlignment="1">
      <alignment horizontal="right"/>
    </xf>
    <xf numFmtId="3" fontId="4" fillId="2" borderId="6" xfId="9" applyNumberFormat="1" applyFont="1" applyFill="1" applyBorder="1" applyAlignment="1">
      <alignment horizontal="right" wrapText="1"/>
    </xf>
    <xf numFmtId="0" fontId="1" fillId="2" borderId="0" xfId="9" applyNumberFormat="1" applyFont="1" applyFill="1" applyAlignment="1">
      <alignment horizontal="right"/>
    </xf>
    <xf numFmtId="0" fontId="2" fillId="2" borderId="0" xfId="9" applyNumberFormat="1" applyFill="1"/>
    <xf numFmtId="37" fontId="4" fillId="0" borderId="0" xfId="9" applyNumberFormat="1" applyFont="1" applyFill="1" applyBorder="1" applyAlignment="1">
      <alignment horizontal="right"/>
    </xf>
    <xf numFmtId="1" fontId="13" fillId="2" borderId="0" xfId="9" applyNumberFormat="1" applyFont="1" applyFill="1"/>
    <xf numFmtId="164" fontId="4" fillId="0" borderId="0" xfId="9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2" fontId="7" fillId="0" borderId="0" xfId="9" applyNumberFormat="1" applyFont="1" applyFill="1" applyAlignment="1">
      <alignment horizontal="right"/>
    </xf>
    <xf numFmtId="164" fontId="4" fillId="0" borderId="0" xfId="9" applyNumberFormat="1" applyFont="1" applyFill="1" applyAlignment="1">
      <alignment horizontal="right"/>
    </xf>
    <xf numFmtId="169" fontId="13" fillId="0" borderId="0" xfId="1" applyNumberFormat="1" applyFont="1" applyFill="1"/>
    <xf numFmtId="171" fontId="36" fillId="0" borderId="0" xfId="10" applyFont="1" applyAlignment="1">
      <alignment horizontal="right"/>
    </xf>
    <xf numFmtId="171" fontId="8" fillId="2" borderId="5" xfId="9" applyFont="1" applyFill="1" applyBorder="1" applyAlignment="1">
      <alignment horizontal="center"/>
    </xf>
    <xf numFmtId="43" fontId="2" fillId="2" borderId="0" xfId="1" applyNumberFormat="1" applyFont="1" applyFill="1" applyBorder="1" applyAlignment="1">
      <alignment horizontal="center"/>
    </xf>
    <xf numFmtId="43" fontId="2" fillId="2" borderId="6" xfId="1" applyNumberFormat="1" applyFont="1" applyFill="1" applyBorder="1" applyAlignment="1">
      <alignment horizontal="center"/>
    </xf>
    <xf numFmtId="165" fontId="56" fillId="0" borderId="0" xfId="0" applyNumberFormat="1" applyFont="1" applyFill="1"/>
    <xf numFmtId="167" fontId="7" fillId="2" borderId="0" xfId="9" applyNumberFormat="1" applyFont="1" applyFill="1" applyAlignment="1">
      <alignment horizontal="right"/>
    </xf>
    <xf numFmtId="171" fontId="7" fillId="0" borderId="0" xfId="9" applyFont="1" applyFill="1"/>
    <xf numFmtId="171" fontId="7" fillId="0" borderId="0" xfId="9" applyFont="1" applyFill="1" applyAlignment="1">
      <alignment horizontal="right"/>
    </xf>
    <xf numFmtId="171" fontId="4" fillId="0" borderId="0" xfId="9" applyFont="1" applyFill="1"/>
    <xf numFmtId="171" fontId="13" fillId="0" borderId="0" xfId="9" applyFont="1" applyFill="1"/>
    <xf numFmtId="1" fontId="14" fillId="0" borderId="6" xfId="9" applyNumberFormat="1" applyFont="1" applyFill="1" applyBorder="1" applyAlignment="1">
      <alignment horizontal="right"/>
    </xf>
    <xf numFmtId="1" fontId="14" fillId="0" borderId="0" xfId="9" applyNumberFormat="1" applyFont="1" applyFill="1" applyBorder="1" applyAlignment="1">
      <alignment horizontal="right"/>
    </xf>
    <xf numFmtId="3" fontId="4" fillId="0" borderId="6" xfId="11" applyNumberFormat="1" applyFont="1" applyFill="1" applyBorder="1" applyAlignment="1">
      <alignment horizontal="right"/>
    </xf>
    <xf numFmtId="3" fontId="59" fillId="0" borderId="25" xfId="0" applyNumberFormat="1" applyFont="1" applyBorder="1" applyAlignment="1">
      <alignment horizontal="right" vertical="top" wrapText="1" readingOrder="1"/>
    </xf>
    <xf numFmtId="0" fontId="59" fillId="0" borderId="26" xfId="0" applyFont="1" applyBorder="1" applyAlignment="1">
      <alignment horizontal="right" vertical="top" wrapText="1" readingOrder="1"/>
    </xf>
    <xf numFmtId="3" fontId="60" fillId="4" borderId="0" xfId="0" applyNumberFormat="1" applyFont="1" applyFill="1" applyBorder="1" applyAlignment="1">
      <alignment horizontal="right" vertical="top" wrapText="1" readingOrder="1"/>
    </xf>
    <xf numFmtId="171" fontId="7" fillId="4" borderId="0" xfId="9" applyFont="1" applyFill="1"/>
    <xf numFmtId="171" fontId="7" fillId="4" borderId="0" xfId="9" applyFont="1" applyFill="1" applyBorder="1"/>
    <xf numFmtId="164" fontId="4" fillId="4" borderId="0" xfId="9" applyNumberFormat="1" applyFont="1" applyFill="1" applyBorder="1" applyAlignment="1">
      <alignment horizontal="right"/>
    </xf>
    <xf numFmtId="164" fontId="4" fillId="4" borderId="0" xfId="9" applyNumberFormat="1" applyFont="1" applyFill="1" applyBorder="1"/>
    <xf numFmtId="171" fontId="2" fillId="4" borderId="0" xfId="10" applyFill="1"/>
    <xf numFmtId="171" fontId="2" fillId="4" borderId="0" xfId="10" applyFill="1" applyAlignment="1">
      <alignment horizontal="center"/>
    </xf>
    <xf numFmtId="4" fontId="42" fillId="4" borderId="0" xfId="10" applyNumberFormat="1" applyFont="1" applyFill="1"/>
    <xf numFmtId="2" fontId="4" fillId="4" borderId="0" xfId="9" applyNumberFormat="1" applyFont="1" applyFill="1" applyBorder="1" applyAlignment="1">
      <alignment horizontal="right"/>
    </xf>
    <xf numFmtId="171" fontId="40" fillId="0" borderId="0" xfId="10" applyFont="1" applyFill="1"/>
    <xf numFmtId="171" fontId="41" fillId="0" borderId="0" xfId="10" applyFont="1" applyFill="1"/>
    <xf numFmtId="171" fontId="13" fillId="4" borderId="0" xfId="9" applyFont="1" applyFill="1"/>
    <xf numFmtId="171" fontId="7" fillId="4" borderId="0" xfId="9" applyFont="1" applyFill="1" applyAlignment="1">
      <alignment horizontal="left"/>
    </xf>
    <xf numFmtId="171" fontId="13" fillId="4" borderId="0" xfId="9" applyFont="1" applyFill="1" applyAlignment="1">
      <alignment horizontal="right"/>
    </xf>
    <xf numFmtId="171" fontId="2" fillId="4" borderId="0" xfId="9" applyFill="1" applyAlignment="1">
      <alignment horizontal="right"/>
    </xf>
    <xf numFmtId="171" fontId="2" fillId="4" borderId="0" xfId="9" applyFill="1"/>
    <xf numFmtId="171" fontId="2" fillId="4" borderId="0" xfId="9" applyFont="1" applyFill="1"/>
    <xf numFmtId="171" fontId="4" fillId="4" borderId="0" xfId="9" applyFont="1" applyFill="1"/>
    <xf numFmtId="171" fontId="5" fillId="4" borderId="5" xfId="9" applyFont="1" applyFill="1" applyBorder="1"/>
    <xf numFmtId="171" fontId="7" fillId="4" borderId="0" xfId="9" applyFont="1" applyFill="1" applyBorder="1" applyAlignment="1">
      <alignment wrapText="1"/>
    </xf>
    <xf numFmtId="171" fontId="7" fillId="4" borderId="4" xfId="9" applyFont="1" applyFill="1" applyBorder="1"/>
    <xf numFmtId="171" fontId="10" fillId="4" borderId="0" xfId="9" applyFont="1" applyFill="1" applyBorder="1" applyAlignment="1">
      <alignment horizontal="right"/>
    </xf>
    <xf numFmtId="171" fontId="5" fillId="5" borderId="9" xfId="9" applyFont="1" applyFill="1" applyBorder="1"/>
    <xf numFmtId="171" fontId="7" fillId="5" borderId="3" xfId="9" applyFont="1" applyFill="1" applyBorder="1"/>
    <xf numFmtId="171" fontId="7" fillId="5" borderId="8" xfId="9" applyFont="1" applyFill="1" applyBorder="1"/>
    <xf numFmtId="171" fontId="10" fillId="5" borderId="3" xfId="9" applyFont="1" applyFill="1" applyBorder="1" applyAlignment="1">
      <alignment horizontal="right"/>
    </xf>
    <xf numFmtId="2" fontId="4" fillId="5" borderId="3" xfId="9" applyNumberFormat="1" applyFont="1" applyFill="1" applyBorder="1" applyAlignment="1">
      <alignment horizontal="right"/>
    </xf>
    <xf numFmtId="2" fontId="4" fillId="5" borderId="8" xfId="9" applyNumberFormat="1" applyFont="1" applyFill="1" applyBorder="1" applyAlignment="1">
      <alignment horizontal="right"/>
    </xf>
    <xf numFmtId="2" fontId="4" fillId="5" borderId="13" xfId="9" applyNumberFormat="1" applyFont="1" applyFill="1" applyBorder="1" applyAlignment="1">
      <alignment horizontal="right"/>
    </xf>
    <xf numFmtId="2" fontId="4" fillId="5" borderId="3" xfId="9" applyNumberFormat="1" applyFont="1" applyFill="1" applyBorder="1"/>
    <xf numFmtId="39" fontId="4" fillId="5" borderId="3" xfId="9" applyNumberFormat="1" applyFont="1" applyFill="1" applyBorder="1" applyAlignment="1">
      <alignment horizontal="right"/>
    </xf>
    <xf numFmtId="171" fontId="18" fillId="4" borderId="0" xfId="9" applyFont="1" applyFill="1"/>
    <xf numFmtId="171" fontId="18" fillId="4" borderId="0" xfId="9" applyFont="1" applyFill="1" applyAlignment="1">
      <alignment horizontal="left"/>
    </xf>
    <xf numFmtId="4" fontId="25" fillId="4" borderId="0" xfId="9" applyNumberFormat="1" applyFont="1" applyFill="1" applyAlignment="1">
      <alignment horizontal="right"/>
    </xf>
    <xf numFmtId="2" fontId="25" fillId="4" borderId="0" xfId="9" applyNumberFormat="1" applyFont="1" applyFill="1" applyBorder="1" applyAlignment="1">
      <alignment horizontal="right"/>
    </xf>
    <xf numFmtId="171" fontId="27" fillId="4" borderId="0" xfId="9" applyFont="1" applyFill="1"/>
    <xf numFmtId="171" fontId="16" fillId="4" borderId="0" xfId="9" applyFont="1" applyFill="1"/>
    <xf numFmtId="0" fontId="0" fillId="4" borderId="0" xfId="0" applyFont="1" applyFill="1"/>
    <xf numFmtId="164" fontId="2" fillId="2" borderId="0" xfId="9" applyNumberFormat="1" applyFill="1" applyBorder="1" applyAlignment="1">
      <alignment horizontal="right"/>
    </xf>
    <xf numFmtId="171" fontId="4" fillId="2" borderId="6" xfId="9" applyFont="1" applyFill="1" applyBorder="1" applyAlignment="1">
      <alignment horizontal="right"/>
    </xf>
    <xf numFmtId="171" fontId="9" fillId="2" borderId="9" xfId="9" applyFont="1" applyFill="1" applyBorder="1" applyAlignment="1">
      <alignment horizontal="right"/>
    </xf>
    <xf numFmtId="9" fontId="7" fillId="4" borderId="0" xfId="13" applyFont="1" applyFill="1" applyBorder="1"/>
    <xf numFmtId="171" fontId="4" fillId="2" borderId="4" xfId="9" applyFont="1" applyFill="1" applyBorder="1"/>
    <xf numFmtId="39" fontId="4" fillId="5" borderId="0" xfId="9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76" fontId="13" fillId="0" borderId="0" xfId="1" applyNumberFormat="1" applyFont="1"/>
    <xf numFmtId="171" fontId="13" fillId="0" borderId="0" xfId="8" applyFont="1" applyFill="1"/>
    <xf numFmtId="171" fontId="2" fillId="4" borderId="0" xfId="8" applyFont="1" applyFill="1"/>
    <xf numFmtId="171" fontId="2" fillId="2" borderId="0" xfId="8" applyFont="1" applyFill="1" applyBorder="1"/>
    <xf numFmtId="171" fontId="4" fillId="2" borderId="0" xfId="8" applyFont="1" applyFill="1"/>
    <xf numFmtId="0" fontId="58" fillId="4" borderId="0" xfId="5" applyFill="1" applyAlignment="1">
      <alignment horizontal="right"/>
    </xf>
    <xf numFmtId="169" fontId="2" fillId="2" borderId="0" xfId="2" applyNumberFormat="1" applyFont="1" applyFill="1"/>
    <xf numFmtId="10" fontId="58" fillId="4" borderId="0" xfId="14" applyNumberFormat="1" applyFont="1" applyFill="1" applyAlignment="1">
      <alignment horizontal="right"/>
    </xf>
    <xf numFmtId="43" fontId="58" fillId="4" borderId="0" xfId="5" applyNumberFormat="1" applyFill="1" applyAlignment="1">
      <alignment horizontal="right"/>
    </xf>
    <xf numFmtId="171" fontId="4" fillId="4" borderId="0" xfId="8" applyFont="1" applyFill="1"/>
    <xf numFmtId="171" fontId="2" fillId="2" borderId="6" xfId="8" applyFont="1" applyFill="1" applyBorder="1"/>
    <xf numFmtId="0" fontId="61" fillId="4" borderId="6" xfId="5" applyFont="1" applyFill="1" applyBorder="1" applyAlignment="1">
      <alignment horizontal="left" vertical="top" wrapText="1"/>
    </xf>
    <xf numFmtId="3" fontId="61" fillId="4" borderId="6" xfId="5" applyNumberFormat="1" applyFont="1" applyFill="1" applyBorder="1" applyAlignment="1">
      <alignment vertical="top" wrapText="1"/>
    </xf>
    <xf numFmtId="171" fontId="4" fillId="4" borderId="0" xfId="8" applyFont="1" applyFill="1" applyBorder="1"/>
    <xf numFmtId="171" fontId="2" fillId="0" borderId="0" xfId="8" applyFont="1" applyFill="1"/>
    <xf numFmtId="171" fontId="5" fillId="0" borderId="0" xfId="8" applyFont="1" applyFill="1"/>
    <xf numFmtId="171" fontId="2" fillId="0" borderId="0" xfId="8" applyFont="1" applyFill="1" applyBorder="1"/>
    <xf numFmtId="169" fontId="61" fillId="0" borderId="6" xfId="2" applyNumberFormat="1" applyFont="1" applyFill="1" applyBorder="1" applyAlignment="1">
      <alignment horizontal="right" vertical="top"/>
    </xf>
    <xf numFmtId="2" fontId="62" fillId="0" borderId="0" xfId="10" applyNumberFormat="1" applyFont="1"/>
    <xf numFmtId="4" fontId="63" fillId="0" borderId="0" xfId="10" applyNumberFormat="1" applyFont="1"/>
    <xf numFmtId="1" fontId="42" fillId="0" borderId="0" xfId="10" applyNumberFormat="1" applyFont="1" applyAlignment="1">
      <alignment horizontal="right"/>
    </xf>
    <xf numFmtId="169" fontId="4" fillId="2" borderId="0" xfId="3" applyNumberFormat="1" applyFont="1" applyFill="1" applyBorder="1"/>
    <xf numFmtId="171" fontId="57" fillId="2" borderId="0" xfId="9" applyFont="1" applyFill="1"/>
    <xf numFmtId="169" fontId="7" fillId="2" borderId="0" xfId="3" applyNumberFormat="1" applyFont="1" applyFill="1" applyBorder="1"/>
    <xf numFmtId="1" fontId="4" fillId="0" borderId="0" xfId="9" applyNumberFormat="1" applyFont="1" applyFill="1" applyBorder="1" applyAlignment="1">
      <alignment horizontal="right"/>
    </xf>
    <xf numFmtId="171" fontId="23" fillId="0" borderId="0" xfId="10" applyFont="1" applyAlignment="1">
      <alignment horizontal="left"/>
    </xf>
    <xf numFmtId="171" fontId="32" fillId="2" borderId="0" xfId="9" applyFont="1" applyFill="1" applyBorder="1" applyAlignment="1">
      <alignment horizontal="left"/>
    </xf>
    <xf numFmtId="171" fontId="9" fillId="2" borderId="5" xfId="9" applyFont="1" applyFill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4" xfId="0" applyFill="1" applyBorder="1"/>
    <xf numFmtId="0" fontId="0" fillId="0" borderId="0" xfId="0" applyFont="1" applyFill="1" applyBorder="1"/>
    <xf numFmtId="0" fontId="7" fillId="0" borderId="0" xfId="0" applyFont="1" applyFill="1" applyBorder="1"/>
    <xf numFmtId="171" fontId="7" fillId="0" borderId="0" xfId="8" applyFont="1" applyFill="1" applyAlignment="1">
      <alignment horizontal="left"/>
    </xf>
    <xf numFmtId="0" fontId="7" fillId="0" borderId="2" xfId="0" applyFont="1" applyFill="1" applyBorder="1"/>
    <xf numFmtId="171" fontId="7" fillId="0" borderId="0" xfId="0" applyNumberFormat="1" applyFont="1" applyFill="1" applyBorder="1"/>
    <xf numFmtId="0" fontId="58" fillId="0" borderId="0" xfId="5" applyFont="1" applyFill="1" applyBorder="1" applyAlignment="1">
      <alignment horizontal="left" vertical="top" wrapText="1"/>
    </xf>
    <xf numFmtId="0" fontId="7" fillId="0" borderId="8" xfId="0" applyFont="1" applyFill="1" applyBorder="1"/>
    <xf numFmtId="0" fontId="64" fillId="4" borderId="0" xfId="0" applyFont="1" applyFill="1" applyBorder="1"/>
    <xf numFmtId="0" fontId="65" fillId="4" borderId="0" xfId="0" applyFont="1" applyFill="1" applyBorder="1"/>
    <xf numFmtId="0" fontId="65" fillId="0" borderId="0" xfId="0" applyFont="1" applyBorder="1"/>
    <xf numFmtId="0" fontId="65" fillId="0" borderId="4" xfId="0" applyFont="1" applyBorder="1"/>
    <xf numFmtId="0" fontId="65" fillId="0" borderId="0" xfId="0" applyFont="1"/>
    <xf numFmtId="0" fontId="65" fillId="0" borderId="3" xfId="0" applyFont="1" applyBorder="1"/>
    <xf numFmtId="0" fontId="65" fillId="4" borderId="0" xfId="0" applyFont="1" applyFill="1"/>
    <xf numFmtId="0" fontId="65" fillId="4" borderId="3" xfId="0" applyFont="1" applyFill="1" applyBorder="1"/>
    <xf numFmtId="0" fontId="65" fillId="0" borderId="2" xfId="0" applyFont="1" applyBorder="1"/>
    <xf numFmtId="0" fontId="65" fillId="4" borderId="2" xfId="0" applyFont="1" applyFill="1" applyBorder="1"/>
    <xf numFmtId="0" fontId="65" fillId="4" borderId="11" xfId="0" applyFont="1" applyFill="1" applyBorder="1"/>
    <xf numFmtId="0" fontId="65" fillId="4" borderId="4" xfId="0" applyFont="1" applyFill="1" applyBorder="1"/>
    <xf numFmtId="0" fontId="66" fillId="4" borderId="0" xfId="0" applyFont="1" applyFill="1" applyBorder="1"/>
    <xf numFmtId="0" fontId="65" fillId="0" borderId="0" xfId="0" applyFont="1" applyProtection="1">
      <protection hidden="1"/>
    </xf>
    <xf numFmtId="0" fontId="65" fillId="0" borderId="0" xfId="0" applyFont="1" applyFill="1" applyBorder="1" applyProtection="1">
      <protection hidden="1"/>
    </xf>
    <xf numFmtId="0" fontId="67" fillId="4" borderId="8" xfId="0" applyFont="1" applyFill="1" applyBorder="1"/>
    <xf numFmtId="0" fontId="10" fillId="0" borderId="0" xfId="0" applyFont="1" applyFill="1" applyBorder="1"/>
    <xf numFmtId="0" fontId="10" fillId="0" borderId="0" xfId="0" applyFont="1"/>
    <xf numFmtId="0" fontId="67" fillId="4" borderId="3" xfId="0" applyFont="1" applyFill="1" applyBorder="1"/>
    <xf numFmtId="0" fontId="0" fillId="0" borderId="15" xfId="0" applyBorder="1"/>
    <xf numFmtId="0" fontId="7" fillId="0" borderId="0" xfId="0" applyFont="1" applyFill="1"/>
    <xf numFmtId="0" fontId="0" fillId="0" borderId="2" xfId="0" applyFill="1" applyBorder="1"/>
    <xf numFmtId="171" fontId="7" fillId="0" borderId="0" xfId="9" applyFont="1" applyFill="1" applyAlignment="1">
      <alignment horizontal="left"/>
    </xf>
    <xf numFmtId="0" fontId="7" fillId="0" borderId="3" xfId="0" applyFont="1" applyFill="1" applyBorder="1"/>
    <xf numFmtId="0" fontId="0" fillId="0" borderId="0" xfId="0" applyFill="1"/>
    <xf numFmtId="0" fontId="0" fillId="0" borderId="16" xfId="0" applyFill="1" applyBorder="1"/>
    <xf numFmtId="0" fontId="0" fillId="0" borderId="5" xfId="0" applyFill="1" applyBorder="1"/>
    <xf numFmtId="0" fontId="0" fillId="0" borderId="17" xfId="0" applyFill="1" applyBorder="1"/>
    <xf numFmtId="0" fontId="0" fillId="0" borderId="18" xfId="0" applyFill="1" applyBorder="1"/>
    <xf numFmtId="171" fontId="7" fillId="0" borderId="0" xfId="9" applyFont="1" applyFill="1" applyBorder="1"/>
    <xf numFmtId="171" fontId="7" fillId="0" borderId="3" xfId="9" applyFont="1" applyFill="1" applyBorder="1" applyAlignment="1">
      <alignment horizontal="left"/>
    </xf>
    <xf numFmtId="171" fontId="7" fillId="0" borderId="3" xfId="9" applyFont="1" applyFill="1" applyBorder="1"/>
    <xf numFmtId="171" fontId="7" fillId="0" borderId="8" xfId="9" applyFont="1" applyFill="1" applyBorder="1"/>
    <xf numFmtId="0" fontId="10" fillId="0" borderId="0" xfId="0" applyFont="1" applyFill="1"/>
    <xf numFmtId="171" fontId="7" fillId="0" borderId="0" xfId="9" applyFont="1" applyFill="1" applyBorder="1" applyAlignment="1">
      <alignment horizontal="left"/>
    </xf>
    <xf numFmtId="171" fontId="7" fillId="0" borderId="4" xfId="9" applyFont="1" applyFill="1" applyBorder="1"/>
    <xf numFmtId="0" fontId="0" fillId="0" borderId="15" xfId="0" applyFill="1" applyBorder="1"/>
    <xf numFmtId="0" fontId="65" fillId="4" borderId="0" xfId="0" applyFont="1" applyFill="1" applyBorder="1" applyProtection="1">
      <protection hidden="1"/>
    </xf>
    <xf numFmtId="0" fontId="65" fillId="4" borderId="0" xfId="0" applyFont="1" applyFill="1" applyBorder="1" applyAlignment="1" applyProtection="1">
      <protection hidden="1"/>
    </xf>
    <xf numFmtId="0" fontId="65" fillId="6" borderId="0" xfId="0" applyFont="1" applyFill="1" applyBorder="1"/>
    <xf numFmtId="0" fontId="65" fillId="6" borderId="0" xfId="0" applyFont="1" applyFill="1"/>
    <xf numFmtId="0" fontId="65" fillId="6" borderId="3" xfId="0" applyFont="1" applyFill="1" applyBorder="1"/>
    <xf numFmtId="0" fontId="68" fillId="6" borderId="0" xfId="0" applyFont="1" applyFill="1"/>
    <xf numFmtId="0" fontId="65" fillId="6" borderId="2" xfId="0" applyFont="1" applyFill="1" applyBorder="1"/>
    <xf numFmtId="0" fontId="69" fillId="6" borderId="0" xfId="0" applyFont="1" applyFill="1" applyBorder="1"/>
    <xf numFmtId="0" fontId="65" fillId="6" borderId="11" xfId="0" applyFont="1" applyFill="1" applyBorder="1"/>
    <xf numFmtId="0" fontId="65" fillId="6" borderId="4" xfId="0" applyFont="1" applyFill="1" applyBorder="1"/>
    <xf numFmtId="0" fontId="65" fillId="6" borderId="8" xfId="0" applyFont="1" applyFill="1" applyBorder="1"/>
    <xf numFmtId="0" fontId="65" fillId="0" borderId="0" xfId="0" applyFont="1" applyBorder="1" applyProtection="1">
      <protection hidden="1"/>
    </xf>
    <xf numFmtId="166" fontId="65" fillId="0" borderId="0" xfId="0" applyNumberFormat="1" applyFont="1" applyFill="1" applyProtection="1">
      <protection hidden="1"/>
    </xf>
    <xf numFmtId="0" fontId="65" fillId="0" borderId="0" xfId="0" applyFont="1" applyFill="1" applyProtection="1">
      <protection hidden="1"/>
    </xf>
    <xf numFmtId="0" fontId="65" fillId="0" borderId="19" xfId="0" applyFont="1" applyBorder="1" applyProtection="1">
      <protection hidden="1"/>
    </xf>
    <xf numFmtId="0" fontId="65" fillId="0" borderId="7" xfId="0" applyFont="1" applyFill="1" applyBorder="1" applyProtection="1">
      <protection hidden="1"/>
    </xf>
    <xf numFmtId="0" fontId="65" fillId="0" borderId="20" xfId="0" applyFont="1" applyFill="1" applyBorder="1" applyProtection="1">
      <protection hidden="1"/>
    </xf>
    <xf numFmtId="0" fontId="65" fillId="0" borderId="21" xfId="0" applyFont="1" applyFill="1" applyBorder="1" applyProtection="1">
      <protection hidden="1"/>
    </xf>
    <xf numFmtId="0" fontId="65" fillId="0" borderId="22" xfId="0" applyFont="1" applyFill="1" applyBorder="1" applyProtection="1">
      <protection hidden="1"/>
    </xf>
    <xf numFmtId="0" fontId="65" fillId="0" borderId="21" xfId="0" applyFont="1" applyBorder="1" applyProtection="1">
      <protection hidden="1"/>
    </xf>
    <xf numFmtId="0" fontId="65" fillId="0" borderId="22" xfId="0" applyFont="1" applyBorder="1" applyProtection="1">
      <protection hidden="1"/>
    </xf>
    <xf numFmtId="0" fontId="0" fillId="0" borderId="21" xfId="0" applyBorder="1"/>
    <xf numFmtId="0" fontId="0" fillId="0" borderId="22" xfId="0" applyFill="1" applyBorder="1"/>
    <xf numFmtId="0" fontId="0" fillId="0" borderId="23" xfId="0" applyBorder="1"/>
    <xf numFmtId="0" fontId="0" fillId="0" borderId="6" xfId="0" applyBorder="1"/>
    <xf numFmtId="0" fontId="0" fillId="0" borderId="6" xfId="0" applyFill="1" applyBorder="1"/>
    <xf numFmtId="0" fontId="0" fillId="0" borderId="24" xfId="0" applyFill="1" applyBorder="1"/>
    <xf numFmtId="0" fontId="70" fillId="4" borderId="0" xfId="0" applyFont="1" applyFill="1" applyBorder="1"/>
    <xf numFmtId="178" fontId="4" fillId="4" borderId="0" xfId="9" applyNumberFormat="1" applyFont="1" applyFill="1" applyBorder="1" applyAlignment="1">
      <alignment horizontal="right"/>
    </xf>
    <xf numFmtId="0" fontId="0" fillId="0" borderId="19" xfId="0" applyBorder="1"/>
    <xf numFmtId="0" fontId="0" fillId="0" borderId="7" xfId="0" applyBorder="1"/>
    <xf numFmtId="0" fontId="7" fillId="0" borderId="20" xfId="0" applyFont="1" applyBorder="1"/>
    <xf numFmtId="0" fontId="0" fillId="0" borderId="22" xfId="0" applyBorder="1"/>
    <xf numFmtId="0" fontId="65" fillId="0" borderId="23" xfId="0" applyFont="1" applyFill="1" applyBorder="1" applyProtection="1">
      <protection hidden="1"/>
    </xf>
    <xf numFmtId="0" fontId="0" fillId="0" borderId="24" xfId="0" applyBorder="1"/>
    <xf numFmtId="0" fontId="7" fillId="0" borderId="10" xfId="0" applyFont="1" applyFill="1" applyBorder="1"/>
    <xf numFmtId="0" fontId="7" fillId="0" borderId="5" xfId="0" applyFont="1" applyFill="1" applyBorder="1"/>
    <xf numFmtId="0" fontId="7" fillId="0" borderId="9" xfId="0" applyFont="1" applyFill="1" applyBorder="1"/>
    <xf numFmtId="0" fontId="0" fillId="0" borderId="3" xfId="0" applyBorder="1"/>
    <xf numFmtId="171" fontId="7" fillId="0" borderId="0" xfId="8" applyFont="1" applyFill="1" applyBorder="1"/>
    <xf numFmtId="171" fontId="13" fillId="0" borderId="0" xfId="8" applyFont="1" applyFill="1" applyBorder="1"/>
    <xf numFmtId="171" fontId="7" fillId="0" borderId="0" xfId="8" applyFont="1" applyFill="1" applyBorder="1" applyAlignment="1">
      <alignment horizontal="left"/>
    </xf>
    <xf numFmtId="0" fontId="0" fillId="0" borderId="11" xfId="0" applyFill="1" applyBorder="1"/>
    <xf numFmtId="0" fontId="7" fillId="0" borderId="4" xfId="0" applyFont="1" applyFill="1" applyBorder="1"/>
    <xf numFmtId="0" fontId="10" fillId="0" borderId="4" xfId="0" applyFont="1" applyFill="1" applyBorder="1"/>
    <xf numFmtId="0" fontId="0" fillId="0" borderId="4" xfId="0" applyBorder="1"/>
    <xf numFmtId="0" fontId="0" fillId="0" borderId="8" xfId="0" applyBorder="1"/>
    <xf numFmtId="177" fontId="65" fillId="4" borderId="0" xfId="0" applyNumberFormat="1" applyFont="1" applyFill="1" applyBorder="1"/>
    <xf numFmtId="0" fontId="71" fillId="4" borderId="0" xfId="16" applyFill="1" applyBorder="1"/>
    <xf numFmtId="0" fontId="71" fillId="4" borderId="4" xfId="16" quotePrefix="1" applyFill="1" applyBorder="1"/>
    <xf numFmtId="171" fontId="17" fillId="2" borderId="0" xfId="9" applyFont="1" applyFill="1" applyAlignment="1">
      <alignment horizontal="right"/>
    </xf>
    <xf numFmtId="171" fontId="72" fillId="2" borderId="0" xfId="9" applyFont="1" applyFill="1"/>
    <xf numFmtId="171" fontId="73" fillId="2" borderId="0" xfId="9" applyFont="1" applyFill="1"/>
    <xf numFmtId="171" fontId="18" fillId="2" borderId="0" xfId="9" applyFont="1" applyFill="1" applyBorder="1" applyAlignment="1">
      <alignment horizontal="right"/>
    </xf>
    <xf numFmtId="171" fontId="16" fillId="2" borderId="1" xfId="9" applyFont="1" applyFill="1" applyBorder="1"/>
    <xf numFmtId="171" fontId="74" fillId="2" borderId="0" xfId="9" applyFont="1" applyFill="1"/>
    <xf numFmtId="171" fontId="16" fillId="2" borderId="0" xfId="9" applyFont="1" applyFill="1" applyBorder="1"/>
    <xf numFmtId="3" fontId="18" fillId="2" borderId="0" xfId="9" applyNumberFormat="1" applyFont="1" applyFill="1" applyAlignment="1">
      <alignment horizontal="right"/>
    </xf>
    <xf numFmtId="164" fontId="18" fillId="2" borderId="0" xfId="9" applyNumberFormat="1" applyFont="1" applyFill="1"/>
    <xf numFmtId="1" fontId="17" fillId="2" borderId="0" xfId="9" applyNumberFormat="1" applyFont="1" applyFill="1"/>
    <xf numFmtId="175" fontId="73" fillId="2" borderId="0" xfId="13" applyNumberFormat="1" applyFont="1" applyFill="1"/>
    <xf numFmtId="171" fontId="18" fillId="2" borderId="0" xfId="9" applyFont="1" applyFill="1" applyAlignment="1">
      <alignment horizontal="left" wrapText="1"/>
    </xf>
    <xf numFmtId="3" fontId="18" fillId="2" borderId="0" xfId="9" applyNumberFormat="1" applyFont="1" applyFill="1" applyBorder="1"/>
    <xf numFmtId="3" fontId="18" fillId="2" borderId="0" xfId="9" applyNumberFormat="1" applyFont="1" applyFill="1" applyBorder="1" applyAlignment="1">
      <alignment horizontal="right"/>
    </xf>
    <xf numFmtId="171" fontId="18" fillId="2" borderId="0" xfId="9" applyFont="1" applyFill="1" applyAlignment="1">
      <alignment horizontal="left" indent="1"/>
    </xf>
    <xf numFmtId="3" fontId="18" fillId="2" borderId="3" xfId="9" applyNumberFormat="1" applyFont="1" applyFill="1" applyBorder="1" applyAlignment="1">
      <alignment horizontal="right"/>
    </xf>
    <xf numFmtId="3" fontId="18" fillId="0" borderId="0" xfId="9" applyNumberFormat="1" applyFont="1" applyFill="1" applyAlignment="1">
      <alignment horizontal="right"/>
    </xf>
    <xf numFmtId="166" fontId="18" fillId="2" borderId="0" xfId="9" applyNumberFormat="1" applyFont="1" applyFill="1" applyAlignment="1">
      <alignment horizontal="right"/>
    </xf>
    <xf numFmtId="166" fontId="18" fillId="2" borderId="3" xfId="9" applyNumberFormat="1" applyFont="1" applyFill="1" applyBorder="1" applyAlignment="1">
      <alignment horizontal="right"/>
    </xf>
    <xf numFmtId="4" fontId="18" fillId="2" borderId="0" xfId="9" applyNumberFormat="1" applyFont="1" applyFill="1" applyBorder="1" applyAlignment="1">
      <alignment horizontal="right"/>
    </xf>
    <xf numFmtId="4" fontId="18" fillId="2" borderId="0" xfId="9" applyNumberFormat="1" applyFont="1" applyFill="1" applyAlignment="1">
      <alignment horizontal="right"/>
    </xf>
    <xf numFmtId="166" fontId="18" fillId="4" borderId="0" xfId="9" applyNumberFormat="1" applyFont="1" applyFill="1" applyAlignment="1">
      <alignment horizontal="right"/>
    </xf>
    <xf numFmtId="166" fontId="18" fillId="0" borderId="0" xfId="9" applyNumberFormat="1" applyFont="1" applyFill="1" applyAlignment="1">
      <alignment horizontal="right"/>
    </xf>
    <xf numFmtId="171" fontId="17" fillId="2" borderId="0" xfId="9" applyFont="1" applyFill="1" applyAlignment="1">
      <alignment horizontal="left"/>
    </xf>
    <xf numFmtId="3" fontId="18" fillId="2" borderId="0" xfId="9" applyNumberFormat="1" applyFont="1" applyFill="1"/>
    <xf numFmtId="3" fontId="18" fillId="2" borderId="0" xfId="9" quotePrefix="1" applyNumberFormat="1" applyFont="1" applyFill="1" applyAlignment="1">
      <alignment horizontal="right"/>
    </xf>
    <xf numFmtId="169" fontId="18" fillId="2" borderId="0" xfId="1" applyNumberFormat="1" applyFont="1" applyFill="1" applyAlignment="1">
      <alignment horizontal="right" wrapText="1"/>
    </xf>
    <xf numFmtId="169" fontId="18" fillId="0" borderId="0" xfId="1" applyNumberFormat="1" applyFont="1" applyFill="1" applyAlignment="1">
      <alignment horizontal="right" wrapText="1"/>
    </xf>
    <xf numFmtId="164" fontId="18" fillId="2" borderId="3" xfId="9" applyNumberFormat="1" applyFont="1" applyFill="1" applyBorder="1" applyAlignment="1">
      <alignment horizontal="right"/>
    </xf>
    <xf numFmtId="164" fontId="18" fillId="2" borderId="0" xfId="9" applyNumberFormat="1" applyFont="1" applyFill="1" applyBorder="1" applyAlignment="1">
      <alignment horizontal="right"/>
    </xf>
    <xf numFmtId="164" fontId="18" fillId="2" borderId="0" xfId="9" applyNumberFormat="1" applyFont="1" applyFill="1" applyAlignment="1">
      <alignment horizontal="right"/>
    </xf>
    <xf numFmtId="164" fontId="18" fillId="0" borderId="0" xfId="9" applyNumberFormat="1" applyFont="1" applyFill="1" applyAlignment="1">
      <alignment horizontal="right"/>
    </xf>
    <xf numFmtId="164" fontId="17" fillId="2" borderId="0" xfId="9" applyNumberFormat="1" applyFont="1" applyFill="1"/>
    <xf numFmtId="2" fontId="18" fillId="2" borderId="0" xfId="9" applyNumberFormat="1" applyFont="1" applyFill="1" applyAlignment="1">
      <alignment horizontal="right"/>
    </xf>
    <xf numFmtId="2" fontId="18" fillId="2" borderId="0" xfId="9" applyNumberFormat="1" applyFont="1" applyFill="1" applyBorder="1" applyAlignment="1">
      <alignment horizontal="right"/>
    </xf>
    <xf numFmtId="166" fontId="18" fillId="2" borderId="2" xfId="9" applyNumberFormat="1" applyFont="1" applyFill="1" applyBorder="1" applyAlignment="1">
      <alignment horizontal="right"/>
    </xf>
    <xf numFmtId="3" fontId="75" fillId="4" borderId="0" xfId="0" applyNumberFormat="1" applyFont="1" applyFill="1" applyBorder="1" applyAlignment="1">
      <alignment horizontal="right" vertical="top" wrapText="1" readingOrder="1"/>
    </xf>
    <xf numFmtId="179" fontId="76" fillId="4" borderId="0" xfId="0" applyNumberFormat="1" applyFont="1" applyFill="1" applyBorder="1" applyAlignment="1">
      <alignment horizontal="center" vertical="top" readingOrder="1"/>
    </xf>
    <xf numFmtId="173" fontId="18" fillId="2" borderId="0" xfId="9" applyNumberFormat="1" applyFont="1" applyFill="1"/>
    <xf numFmtId="172" fontId="18" fillId="2" borderId="0" xfId="1" applyNumberFormat="1" applyFont="1" applyFill="1"/>
    <xf numFmtId="172" fontId="18" fillId="0" borderId="0" xfId="1" applyNumberFormat="1" applyFont="1" applyFill="1"/>
    <xf numFmtId="3" fontId="25" fillId="2" borderId="0" xfId="0" applyNumberFormat="1" applyFont="1" applyFill="1"/>
    <xf numFmtId="171" fontId="16" fillId="4" borderId="0" xfId="9" applyFont="1" applyFill="1" applyAlignment="1">
      <alignment horizontal="left"/>
    </xf>
    <xf numFmtId="171" fontId="19" fillId="4" borderId="0" xfId="9" applyFont="1" applyFill="1" applyAlignment="1">
      <alignment horizontal="right"/>
    </xf>
    <xf numFmtId="171" fontId="18" fillId="4" borderId="0" xfId="9" applyFont="1" applyFill="1" applyBorder="1" applyAlignment="1">
      <alignment horizontal="left"/>
    </xf>
    <xf numFmtId="3" fontId="18" fillId="4" borderId="0" xfId="9" applyNumberFormat="1" applyFont="1" applyFill="1"/>
    <xf numFmtId="171" fontId="18" fillId="2" borderId="4" xfId="9" applyFont="1" applyFill="1" applyBorder="1"/>
    <xf numFmtId="171" fontId="18" fillId="2" borderId="4" xfId="9" applyFont="1" applyFill="1" applyBorder="1" applyAlignment="1">
      <alignment horizontal="right"/>
    </xf>
    <xf numFmtId="171" fontId="18" fillId="2" borderId="0" xfId="9" applyFont="1" applyFill="1" applyAlignment="1">
      <alignment horizontal="right"/>
    </xf>
    <xf numFmtId="171" fontId="18" fillId="0" borderId="0" xfId="9" applyFont="1" applyFill="1"/>
    <xf numFmtId="171" fontId="18" fillId="0" borderId="0" xfId="9" applyFont="1" applyFill="1" applyAlignment="1">
      <alignment horizontal="right"/>
    </xf>
    <xf numFmtId="171" fontId="17" fillId="4" borderId="0" xfId="9" applyFont="1" applyFill="1"/>
    <xf numFmtId="171" fontId="17" fillId="4" borderId="0" xfId="9" applyFont="1" applyFill="1" applyAlignment="1">
      <alignment horizontal="right"/>
    </xf>
    <xf numFmtId="171" fontId="18" fillId="4" borderId="0" xfId="9" applyFont="1" applyFill="1" applyAlignment="1">
      <alignment horizontal="right"/>
    </xf>
    <xf numFmtId="171" fontId="77" fillId="2" borderId="0" xfId="9" applyFont="1" applyFill="1"/>
    <xf numFmtId="0" fontId="4" fillId="4" borderId="0" xfId="0" applyFont="1" applyFill="1"/>
    <xf numFmtId="171" fontId="4" fillId="4" borderId="0" xfId="9" applyFont="1" applyFill="1" applyAlignment="1">
      <alignment horizontal="left"/>
    </xf>
    <xf numFmtId="171" fontId="2" fillId="4" borderId="0" xfId="9" applyFont="1" applyFill="1" applyAlignment="1"/>
    <xf numFmtId="171" fontId="2" fillId="2" borderId="0" xfId="9" applyFont="1" applyFill="1" applyAlignment="1"/>
    <xf numFmtId="171" fontId="24" fillId="2" borderId="0" xfId="9" applyFont="1" applyFill="1" applyAlignment="1">
      <alignment horizontal="right"/>
    </xf>
    <xf numFmtId="171" fontId="19" fillId="2" borderId="0" xfId="9" applyFont="1" applyFill="1" applyAlignment="1">
      <alignment horizontal="left"/>
    </xf>
    <xf numFmtId="164" fontId="25" fillId="2" borderId="0" xfId="9" applyNumberFormat="1" applyFont="1" applyFill="1" applyProtection="1"/>
    <xf numFmtId="164" fontId="25" fillId="2" borderId="0" xfId="9" applyNumberFormat="1" applyFont="1" applyFill="1" applyBorder="1" applyProtection="1"/>
    <xf numFmtId="164" fontId="25" fillId="2" borderId="3" xfId="9" applyNumberFormat="1" applyFont="1" applyFill="1" applyBorder="1" applyAlignment="1" applyProtection="1">
      <alignment horizontal="right"/>
    </xf>
    <xf numFmtId="164" fontId="25" fillId="2" borderId="0" xfId="9" applyNumberFormat="1" applyFont="1" applyFill="1" applyAlignment="1" applyProtection="1">
      <alignment horizontal="right"/>
    </xf>
    <xf numFmtId="171" fontId="25" fillId="2" borderId="0" xfId="9" applyFont="1" applyFill="1" applyBorder="1"/>
    <xf numFmtId="171" fontId="25" fillId="2" borderId="0" xfId="9" applyFont="1" applyFill="1" applyAlignment="1">
      <alignment horizontal="right"/>
    </xf>
    <xf numFmtId="171" fontId="25" fillId="2" borderId="0" xfId="9" applyFont="1" applyFill="1"/>
    <xf numFmtId="164" fontId="25" fillId="2" borderId="0" xfId="9" applyNumberFormat="1" applyFont="1" applyFill="1"/>
    <xf numFmtId="164" fontId="25" fillId="2" borderId="3" xfId="9" applyNumberFormat="1" applyFont="1" applyFill="1" applyBorder="1" applyAlignment="1">
      <alignment horizontal="right"/>
    </xf>
    <xf numFmtId="171" fontId="17" fillId="2" borderId="4" xfId="9" applyFont="1" applyFill="1" applyBorder="1"/>
    <xf numFmtId="171" fontId="78" fillId="2" borderId="0" xfId="9" applyFont="1" applyFill="1"/>
    <xf numFmtId="171" fontId="16" fillId="2" borderId="1" xfId="8" applyFont="1" applyFill="1" applyBorder="1" applyAlignment="1">
      <alignment horizontal="right"/>
    </xf>
    <xf numFmtId="171" fontId="72" fillId="2" borderId="1" xfId="8" applyFont="1" applyFill="1" applyBorder="1" applyAlignment="1">
      <alignment horizontal="right"/>
    </xf>
    <xf numFmtId="171" fontId="72" fillId="4" borderId="1" xfId="8" applyFont="1" applyFill="1" applyBorder="1"/>
    <xf numFmtId="171" fontId="19" fillId="2" borderId="0" xfId="8" applyFont="1" applyFill="1" applyAlignment="1">
      <alignment horizontal="right"/>
    </xf>
    <xf numFmtId="171" fontId="16" fillId="0" borderId="0" xfId="8" applyFont="1" applyFill="1"/>
    <xf numFmtId="171" fontId="17" fillId="0" borderId="0" xfId="8" applyFont="1" applyFill="1"/>
    <xf numFmtId="3" fontId="19" fillId="0" borderId="0" xfId="8" applyNumberFormat="1" applyFont="1" applyFill="1"/>
    <xf numFmtId="3" fontId="19" fillId="0" borderId="0" xfId="8" applyNumberFormat="1" applyFont="1" applyFill="1" applyBorder="1"/>
    <xf numFmtId="169" fontId="19" fillId="0" borderId="0" xfId="2" applyNumberFormat="1" applyFont="1" applyFill="1"/>
    <xf numFmtId="171" fontId="18" fillId="0" borderId="0" xfId="8" applyFont="1" applyFill="1"/>
    <xf numFmtId="171" fontId="19" fillId="0" borderId="0" xfId="8" applyFont="1" applyFill="1" applyAlignment="1">
      <alignment horizontal="left"/>
    </xf>
    <xf numFmtId="0" fontId="79" fillId="0" borderId="0" xfId="5" applyFont="1" applyFill="1" applyBorder="1" applyAlignment="1">
      <alignment horizontal="left" vertical="top" wrapText="1"/>
    </xf>
    <xf numFmtId="164" fontId="79" fillId="0" borderId="0" xfId="5" applyNumberFormat="1" applyFont="1" applyFill="1" applyBorder="1" applyAlignment="1">
      <alignment vertical="top" wrapText="1"/>
    </xf>
    <xf numFmtId="164" fontId="79" fillId="0" borderId="27" xfId="5" applyNumberFormat="1" applyFont="1" applyFill="1" applyBorder="1" applyAlignment="1">
      <alignment vertical="top" wrapText="1"/>
    </xf>
    <xf numFmtId="164" fontId="79" fillId="0" borderId="28" xfId="5" applyNumberFormat="1" applyFont="1" applyFill="1" applyBorder="1" applyAlignment="1">
      <alignment vertical="top" wrapText="1"/>
    </xf>
    <xf numFmtId="164" fontId="79" fillId="0" borderId="0" xfId="5" applyNumberFormat="1" applyFont="1" applyFill="1" applyBorder="1" applyAlignment="1">
      <alignment horizontal="right"/>
    </xf>
    <xf numFmtId="171" fontId="18" fillId="0" borderId="0" xfId="8" applyFont="1" applyFill="1" applyBorder="1"/>
    <xf numFmtId="171" fontId="19" fillId="0" borderId="0" xfId="8" applyFont="1" applyFill="1" applyBorder="1" applyAlignment="1">
      <alignment horizontal="left"/>
    </xf>
    <xf numFmtId="171" fontId="17" fillId="0" borderId="0" xfId="8" applyFont="1" applyFill="1" applyBorder="1"/>
    <xf numFmtId="3" fontId="80" fillId="0" borderId="0" xfId="5" applyNumberFormat="1" applyFont="1" applyFill="1" applyBorder="1" applyAlignment="1">
      <alignment vertical="top" wrapText="1"/>
    </xf>
    <xf numFmtId="0" fontId="80" fillId="0" borderId="0" xfId="5" applyFont="1" applyFill="1" applyBorder="1" applyAlignment="1">
      <alignment horizontal="left" vertical="top" wrapText="1"/>
    </xf>
    <xf numFmtId="3" fontId="80" fillId="0" borderId="27" xfId="5" applyNumberFormat="1" applyFont="1" applyFill="1" applyBorder="1" applyAlignment="1">
      <alignment vertical="top" wrapText="1"/>
    </xf>
    <xf numFmtId="3" fontId="80" fillId="0" borderId="28" xfId="5" applyNumberFormat="1" applyFont="1" applyFill="1" applyBorder="1" applyAlignment="1">
      <alignment vertical="top" wrapText="1"/>
    </xf>
    <xf numFmtId="169" fontId="80" fillId="0" borderId="0" xfId="2" applyNumberFormat="1" applyFont="1" applyFill="1" applyBorder="1" applyAlignment="1">
      <alignment horizontal="right" vertical="top"/>
    </xf>
    <xf numFmtId="171" fontId="81" fillId="0" borderId="0" xfId="8" applyFont="1" applyFill="1"/>
    <xf numFmtId="171" fontId="19" fillId="0" borderId="0" xfId="8" applyFont="1" applyFill="1" applyAlignment="1">
      <alignment horizontal="right"/>
    </xf>
    <xf numFmtId="164" fontId="17" fillId="0" borderId="0" xfId="8" applyNumberFormat="1" applyFont="1" applyFill="1"/>
    <xf numFmtId="164" fontId="18" fillId="0" borderId="0" xfId="8" applyNumberFormat="1" applyFont="1" applyFill="1" applyAlignment="1">
      <alignment horizontal="right"/>
    </xf>
    <xf numFmtId="164" fontId="18" fillId="0" borderId="0" xfId="8" applyNumberFormat="1" applyFont="1" applyFill="1" applyBorder="1"/>
    <xf numFmtId="166" fontId="18" fillId="0" borderId="0" xfId="8" applyNumberFormat="1" applyFont="1" applyFill="1"/>
    <xf numFmtId="169" fontId="82" fillId="0" borderId="0" xfId="2" applyNumberFormat="1" applyFont="1" applyFill="1"/>
    <xf numFmtId="164" fontId="18" fillId="0" borderId="0" xfId="8" applyNumberFormat="1" applyFont="1" applyFill="1"/>
    <xf numFmtId="164" fontId="76" fillId="0" borderId="0" xfId="5" applyNumberFormat="1" applyFont="1" applyFill="1" applyBorder="1" applyAlignment="1">
      <alignment horizontal="right"/>
    </xf>
    <xf numFmtId="168" fontId="18" fillId="0" borderId="0" xfId="2" applyNumberFormat="1" applyFont="1" applyFill="1"/>
    <xf numFmtId="164" fontId="17" fillId="0" borderId="0" xfId="8" applyNumberFormat="1" applyFont="1" applyFill="1" applyBorder="1"/>
    <xf numFmtId="168" fontId="18" fillId="0" borderId="0" xfId="2" applyNumberFormat="1" applyFont="1" applyFill="1" applyBorder="1"/>
    <xf numFmtId="171" fontId="18" fillId="0" borderId="0" xfId="8" applyFont="1" applyFill="1" applyAlignment="1">
      <alignment horizontal="left"/>
    </xf>
    <xf numFmtId="169" fontId="80" fillId="0" borderId="0" xfId="2" applyNumberFormat="1" applyFont="1" applyFill="1" applyAlignment="1">
      <alignment horizontal="right"/>
    </xf>
    <xf numFmtId="164" fontId="16" fillId="0" borderId="0" xfId="8" applyNumberFormat="1" applyFont="1" applyFill="1" applyBorder="1"/>
    <xf numFmtId="171" fontId="16" fillId="0" borderId="0" xfId="8" applyFont="1" applyFill="1" applyAlignment="1">
      <alignment horizontal="left"/>
    </xf>
    <xf numFmtId="3" fontId="17" fillId="0" borderId="0" xfId="8" applyNumberFormat="1" applyFont="1" applyFill="1"/>
    <xf numFmtId="164" fontId="79" fillId="0" borderId="14" xfId="5" applyNumberFormat="1" applyFont="1" applyFill="1" applyBorder="1" applyAlignment="1">
      <alignment horizontal="right"/>
    </xf>
    <xf numFmtId="164" fontId="18" fillId="0" borderId="14" xfId="2" applyNumberFormat="1" applyFont="1" applyFill="1" applyBorder="1"/>
    <xf numFmtId="164" fontId="79" fillId="0" borderId="0" xfId="5" applyNumberFormat="1" applyFont="1" applyFill="1" applyAlignment="1">
      <alignment horizontal="right"/>
    </xf>
    <xf numFmtId="164" fontId="18" fillId="0" borderId="0" xfId="2" applyNumberFormat="1" applyFont="1" applyFill="1"/>
    <xf numFmtId="164" fontId="83" fillId="0" borderId="0" xfId="6" applyNumberFormat="1" applyFont="1" applyFill="1" applyAlignment="1">
      <alignment horizontal="right" wrapText="1"/>
    </xf>
    <xf numFmtId="166" fontId="18" fillId="0" borderId="0" xfId="8" applyNumberFormat="1" applyFont="1" applyFill="1" applyBorder="1"/>
    <xf numFmtId="164" fontId="79" fillId="0" borderId="0" xfId="5" applyNumberFormat="1" applyFont="1" applyFill="1" applyAlignment="1"/>
    <xf numFmtId="168" fontId="18" fillId="0" borderId="0" xfId="2" applyNumberFormat="1" applyFont="1" applyFill="1" applyAlignment="1">
      <alignment horizontal="right"/>
    </xf>
    <xf numFmtId="43" fontId="18" fillId="0" borderId="0" xfId="2" applyNumberFormat="1" applyFont="1" applyFill="1"/>
    <xf numFmtId="171" fontId="17" fillId="0" borderId="0" xfId="8" applyFont="1" applyFill="1" applyAlignment="1">
      <alignment horizontal="right"/>
    </xf>
    <xf numFmtId="164" fontId="84" fillId="0" borderId="0" xfId="5" applyNumberFormat="1" applyFont="1" applyFill="1" applyBorder="1" applyAlignment="1">
      <alignment horizontal="right" vertical="top" wrapText="1"/>
    </xf>
    <xf numFmtId="164" fontId="84" fillId="0" borderId="0" xfId="5" applyNumberFormat="1" applyFont="1" applyFill="1" applyBorder="1" applyAlignment="1">
      <alignment horizontal="right"/>
    </xf>
    <xf numFmtId="169" fontId="80" fillId="0" borderId="0" xfId="2" applyNumberFormat="1" applyFont="1" applyFill="1" applyBorder="1" applyAlignment="1">
      <alignment horizontal="right" vertical="top" wrapText="1"/>
    </xf>
    <xf numFmtId="169" fontId="80" fillId="0" borderId="0" xfId="2" applyNumberFormat="1" applyFont="1" applyFill="1" applyBorder="1" applyAlignment="1">
      <alignment horizontal="right"/>
    </xf>
    <xf numFmtId="168" fontId="79" fillId="0" borderId="0" xfId="2" applyNumberFormat="1" applyFont="1" applyFill="1" applyAlignment="1">
      <alignment horizontal="right"/>
    </xf>
    <xf numFmtId="171" fontId="85" fillId="2" borderId="0" xfId="8" applyFont="1" applyFill="1"/>
    <xf numFmtId="0" fontId="18" fillId="0" borderId="0" xfId="0" applyFont="1"/>
    <xf numFmtId="0" fontId="16" fillId="0" borderId="0" xfId="0" applyFont="1" applyBorder="1"/>
    <xf numFmtId="3" fontId="18" fillId="2" borderId="0" xfId="9" applyNumberFormat="1" applyFont="1" applyFill="1" applyProtection="1"/>
    <xf numFmtId="164" fontId="19" fillId="2" borderId="0" xfId="9" applyNumberFormat="1" applyFont="1" applyFill="1" applyAlignment="1" applyProtection="1">
      <alignment horizontal="right"/>
    </xf>
    <xf numFmtId="1" fontId="18" fillId="2" borderId="0" xfId="9" applyNumberFormat="1" applyFont="1" applyFill="1" applyAlignment="1">
      <alignment horizontal="right"/>
    </xf>
    <xf numFmtId="166" fontId="18" fillId="2" borderId="0" xfId="9" applyNumberFormat="1" applyFont="1" applyFill="1" applyProtection="1"/>
    <xf numFmtId="166" fontId="19" fillId="2" borderId="0" xfId="9" applyNumberFormat="1" applyFont="1" applyFill="1" applyAlignment="1" applyProtection="1">
      <alignment horizontal="right"/>
    </xf>
    <xf numFmtId="4" fontId="18" fillId="2" borderId="0" xfId="9" applyNumberFormat="1" applyFont="1" applyFill="1" applyBorder="1" applyProtection="1"/>
    <xf numFmtId="166" fontId="18" fillId="2" borderId="0" xfId="9" applyNumberFormat="1" applyFont="1" applyFill="1" applyAlignment="1" applyProtection="1">
      <alignment horizontal="right"/>
    </xf>
    <xf numFmtId="9" fontId="18" fillId="2" borderId="0" xfId="15" applyFont="1" applyFill="1"/>
    <xf numFmtId="166" fontId="18" fillId="2" borderId="0" xfId="9" applyNumberFormat="1" applyFont="1" applyFill="1" applyBorder="1" applyProtection="1"/>
    <xf numFmtId="166" fontId="18" fillId="2" borderId="0" xfId="9" applyNumberFormat="1" applyFont="1" applyFill="1" applyBorder="1" applyAlignment="1" applyProtection="1">
      <alignment horizontal="right"/>
    </xf>
    <xf numFmtId="4" fontId="18" fillId="2" borderId="0" xfId="9" applyNumberFormat="1" applyFont="1" applyFill="1" applyProtection="1"/>
    <xf numFmtId="3" fontId="18" fillId="2" borderId="0" xfId="9" applyNumberFormat="1" applyFont="1" applyFill="1" applyBorder="1" applyProtection="1"/>
    <xf numFmtId="3" fontId="18" fillId="2" borderId="2" xfId="9" applyNumberFormat="1" applyFont="1" applyFill="1" applyBorder="1" applyProtection="1"/>
    <xf numFmtId="3" fontId="18" fillId="2" borderId="0" xfId="9" applyNumberFormat="1" applyFont="1" applyFill="1" applyAlignment="1" applyProtection="1">
      <alignment horizontal="right"/>
    </xf>
    <xf numFmtId="3" fontId="18" fillId="2" borderId="0" xfId="3" applyNumberFormat="1" applyFont="1" applyFill="1" applyAlignment="1">
      <alignment horizontal="right"/>
    </xf>
    <xf numFmtId="3" fontId="18" fillId="2" borderId="0" xfId="3" applyNumberFormat="1" applyFont="1" applyFill="1" applyBorder="1" applyAlignment="1">
      <alignment horizontal="right"/>
    </xf>
    <xf numFmtId="3" fontId="18" fillId="2" borderId="2" xfId="9" applyNumberFormat="1" applyFont="1" applyFill="1" applyBorder="1" applyAlignment="1" applyProtection="1">
      <alignment horizontal="right"/>
    </xf>
    <xf numFmtId="3" fontId="18" fillId="2" borderId="0" xfId="9" applyNumberFormat="1" applyFont="1" applyFill="1" applyBorder="1" applyAlignment="1" applyProtection="1">
      <alignment horizontal="right"/>
    </xf>
    <xf numFmtId="164" fontId="18" fillId="2" borderId="0" xfId="9" applyNumberFormat="1" applyFont="1" applyFill="1" applyBorder="1" applyProtection="1"/>
    <xf numFmtId="1" fontId="18" fillId="2" borderId="0" xfId="9" applyNumberFormat="1" applyFont="1" applyFill="1" applyProtection="1"/>
    <xf numFmtId="1" fontId="18" fillId="2" borderId="3" xfId="9" applyNumberFormat="1" applyFont="1" applyFill="1" applyBorder="1" applyProtection="1"/>
    <xf numFmtId="171" fontId="86" fillId="2" borderId="0" xfId="9" applyFont="1" applyFill="1"/>
    <xf numFmtId="164" fontId="18" fillId="2" borderId="0" xfId="9" applyNumberFormat="1" applyFont="1" applyFill="1" applyProtection="1"/>
    <xf numFmtId="3" fontId="18" fillId="2" borderId="3" xfId="9" applyNumberFormat="1" applyFont="1" applyFill="1" applyBorder="1" applyAlignment="1" applyProtection="1">
      <alignment horizontal="right"/>
    </xf>
    <xf numFmtId="2" fontId="18" fillId="2" borderId="0" xfId="9" applyNumberFormat="1" applyFont="1" applyFill="1" applyProtection="1"/>
    <xf numFmtId="2" fontId="18" fillId="2" borderId="0" xfId="9" applyNumberFormat="1" applyFont="1" applyFill="1" applyAlignment="1" applyProtection="1">
      <alignment horizontal="right"/>
    </xf>
    <xf numFmtId="1" fontId="18" fillId="2" borderId="0" xfId="9" applyNumberFormat="1" applyFont="1" applyFill="1"/>
    <xf numFmtId="1" fontId="18" fillId="2" borderId="3" xfId="9" applyNumberFormat="1" applyFont="1" applyFill="1" applyBorder="1"/>
    <xf numFmtId="1" fontId="18" fillId="2" borderId="0" xfId="9" applyNumberFormat="1" applyFont="1" applyFill="1" applyBorder="1"/>
    <xf numFmtId="1" fontId="18" fillId="2" borderId="0" xfId="9" applyNumberFormat="1" applyFont="1" applyFill="1" applyAlignment="1" applyProtection="1">
      <alignment horizontal="right"/>
    </xf>
    <xf numFmtId="1" fontId="18" fillId="0" borderId="0" xfId="9" applyNumberFormat="1" applyFont="1" applyFill="1" applyAlignment="1" applyProtection="1">
      <alignment horizontal="right"/>
    </xf>
    <xf numFmtId="164" fontId="18" fillId="2" borderId="3" xfId="9" applyNumberFormat="1" applyFont="1" applyFill="1" applyBorder="1" applyProtection="1"/>
    <xf numFmtId="164" fontId="18" fillId="2" borderId="0" xfId="9" applyNumberFormat="1" applyFont="1" applyFill="1" applyAlignment="1" applyProtection="1">
      <alignment horizontal="right"/>
    </xf>
    <xf numFmtId="164" fontId="18" fillId="2" borderId="2" xfId="9" applyNumberFormat="1" applyFont="1" applyFill="1" applyBorder="1" applyAlignment="1">
      <alignment horizontal="right"/>
    </xf>
    <xf numFmtId="164" fontId="18" fillId="2" borderId="0" xfId="11" applyNumberFormat="1" applyFont="1" applyFill="1" applyAlignment="1">
      <alignment horizontal="right"/>
    </xf>
    <xf numFmtId="169" fontId="18" fillId="2" borderId="0" xfId="3" applyNumberFormat="1" applyFont="1" applyFill="1" applyBorder="1" applyAlignment="1">
      <alignment horizontal="right"/>
    </xf>
    <xf numFmtId="169" fontId="18" fillId="2" borderId="0" xfId="3" applyNumberFormat="1" applyFont="1" applyFill="1" applyBorder="1"/>
    <xf numFmtId="169" fontId="18" fillId="2" borderId="4" xfId="3" applyNumberFormat="1" applyFont="1" applyFill="1" applyBorder="1" applyAlignment="1">
      <alignment horizontal="right"/>
    </xf>
    <xf numFmtId="169" fontId="18" fillId="2" borderId="4" xfId="3" applyNumberFormat="1" applyFont="1" applyFill="1" applyBorder="1"/>
    <xf numFmtId="171" fontId="4" fillId="2" borderId="0" xfId="9" applyFont="1" applyFill="1" applyBorder="1"/>
    <xf numFmtId="171" fontId="15" fillId="2" borderId="0" xfId="9" applyFont="1" applyFill="1"/>
    <xf numFmtId="1" fontId="16" fillId="2" borderId="1" xfId="9" applyNumberFormat="1" applyFont="1" applyFill="1" applyBorder="1" applyAlignment="1">
      <alignment horizontal="right"/>
    </xf>
    <xf numFmtId="1" fontId="16" fillId="2" borderId="1" xfId="9" quotePrefix="1" applyNumberFormat="1" applyFont="1" applyFill="1" applyBorder="1" applyAlignment="1" applyProtection="1">
      <alignment horizontal="right"/>
    </xf>
    <xf numFmtId="1" fontId="16" fillId="2" borderId="0" xfId="9" applyNumberFormat="1" applyFont="1" applyFill="1" applyBorder="1" applyAlignment="1">
      <alignment horizontal="right"/>
    </xf>
    <xf numFmtId="1" fontId="25" fillId="2" borderId="0" xfId="0" applyNumberFormat="1" applyFont="1" applyFill="1" applyProtection="1"/>
    <xf numFmtId="164" fontId="28" fillId="2" borderId="0" xfId="9" applyNumberFormat="1" applyFont="1" applyFill="1" applyAlignment="1" applyProtection="1">
      <alignment horizontal="right"/>
    </xf>
    <xf numFmtId="164" fontId="25" fillId="2" borderId="0" xfId="0" applyNumberFormat="1" applyFont="1" applyFill="1" applyProtection="1"/>
    <xf numFmtId="169" fontId="25" fillId="2" borderId="0" xfId="1" applyNumberFormat="1" applyFont="1" applyFill="1" applyProtection="1"/>
    <xf numFmtId="3" fontId="25" fillId="2" borderId="0" xfId="9" applyNumberFormat="1" applyFont="1" applyFill="1" applyProtection="1"/>
    <xf numFmtId="2" fontId="25" fillId="2" borderId="0" xfId="0" applyNumberFormat="1" applyFont="1" applyFill="1" applyProtection="1"/>
    <xf numFmtId="1" fontId="25" fillId="2" borderId="3" xfId="0" applyNumberFormat="1" applyFont="1" applyFill="1" applyBorder="1" applyProtection="1"/>
    <xf numFmtId="164" fontId="25" fillId="2" borderId="0" xfId="0" applyNumberFormat="1" applyFont="1" applyFill="1" applyAlignment="1" applyProtection="1">
      <alignment horizontal="right"/>
    </xf>
    <xf numFmtId="1" fontId="25" fillId="2" borderId="0" xfId="0" applyNumberFormat="1" applyFont="1" applyFill="1" applyAlignment="1" applyProtection="1">
      <alignment horizontal="right"/>
    </xf>
    <xf numFmtId="3" fontId="18" fillId="2" borderId="3" xfId="9" applyNumberFormat="1" applyFont="1" applyFill="1" applyBorder="1"/>
    <xf numFmtId="166" fontId="7" fillId="0" borderId="0" xfId="0" applyNumberFormat="1" applyFont="1" applyFill="1"/>
    <xf numFmtId="166" fontId="7" fillId="0" borderId="0" xfId="0" applyNumberFormat="1" applyFont="1"/>
    <xf numFmtId="164" fontId="87" fillId="2" borderId="0" xfId="9" applyNumberFormat="1" applyFont="1" applyFill="1" applyProtection="1"/>
    <xf numFmtId="2" fontId="87" fillId="2" borderId="0" xfId="9" applyNumberFormat="1" applyFont="1" applyFill="1" applyProtection="1"/>
    <xf numFmtId="2" fontId="87" fillId="2" borderId="0" xfId="9" applyNumberFormat="1" applyFont="1" applyFill="1" applyAlignment="1" applyProtection="1">
      <alignment horizontal="right"/>
    </xf>
    <xf numFmtId="164" fontId="87" fillId="2" borderId="0" xfId="9" applyNumberFormat="1" applyFont="1" applyFill="1" applyAlignment="1" applyProtection="1">
      <alignment horizontal="right"/>
    </xf>
    <xf numFmtId="164" fontId="87" fillId="2" borderId="0" xfId="9" applyNumberFormat="1" applyFont="1" applyFill="1" applyBorder="1" applyProtection="1"/>
    <xf numFmtId="164" fontId="87" fillId="2" borderId="0" xfId="9" applyNumberFormat="1" applyFont="1" applyFill="1" applyBorder="1" applyAlignment="1" applyProtection="1">
      <alignment horizontal="right"/>
    </xf>
    <xf numFmtId="4" fontId="87" fillId="2" borderId="0" xfId="9" applyNumberFormat="1" applyFont="1" applyFill="1" applyProtection="1"/>
    <xf numFmtId="4" fontId="87" fillId="2" borderId="0" xfId="9" applyNumberFormat="1" applyFont="1" applyFill="1" applyBorder="1" applyProtection="1"/>
    <xf numFmtId="166" fontId="87" fillId="2" borderId="0" xfId="9" applyNumberFormat="1" applyFont="1" applyFill="1" applyBorder="1" applyProtection="1"/>
    <xf numFmtId="166" fontId="87" fillId="2" borderId="0" xfId="9" applyNumberFormat="1" applyFont="1" applyFill="1" applyAlignment="1" applyProtection="1">
      <alignment horizontal="right"/>
    </xf>
    <xf numFmtId="3" fontId="87" fillId="2" borderId="0" xfId="9" applyNumberFormat="1" applyFont="1" applyFill="1" applyProtection="1"/>
    <xf numFmtId="166" fontId="87" fillId="2" borderId="0" xfId="9" applyNumberFormat="1" applyFont="1" applyFill="1" applyProtection="1"/>
    <xf numFmtId="164" fontId="17" fillId="2" borderId="0" xfId="9" applyNumberFormat="1" applyFont="1" applyFill="1" applyAlignment="1">
      <alignment horizontal="right"/>
    </xf>
    <xf numFmtId="3" fontId="88" fillId="4" borderId="0" xfId="0" applyNumberFormat="1" applyFont="1" applyFill="1" applyBorder="1" applyAlignment="1">
      <alignment horizontal="right" vertical="top" wrapText="1" readingOrder="1"/>
    </xf>
    <xf numFmtId="165" fontId="1" fillId="2" borderId="0" xfId="9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3" fontId="1" fillId="0" borderId="0" xfId="0" applyNumberFormat="1" applyFont="1"/>
    <xf numFmtId="0" fontId="15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89" fillId="0" borderId="0" xfId="16" applyFont="1" applyAlignment="1" applyProtection="1">
      <alignment vertical="center"/>
    </xf>
    <xf numFmtId="1" fontId="17" fillId="2" borderId="0" xfId="9" applyNumberFormat="1" applyFont="1" applyFill="1" applyAlignment="1">
      <alignment horizontal="right"/>
    </xf>
    <xf numFmtId="164" fontId="4" fillId="2" borderId="29" xfId="9" applyNumberFormat="1" applyFont="1" applyFill="1" applyBorder="1" applyAlignment="1">
      <alignment horizontal="right"/>
    </xf>
    <xf numFmtId="171" fontId="17" fillId="2" borderId="0" xfId="9" quotePrefix="1" applyFont="1" applyFill="1"/>
    <xf numFmtId="171" fontId="6" fillId="2" borderId="4" xfId="9" applyFont="1" applyFill="1" applyBorder="1"/>
    <xf numFmtId="171" fontId="73" fillId="2" borderId="4" xfId="9" applyFont="1" applyFill="1" applyBorder="1"/>
    <xf numFmtId="3" fontId="18" fillId="0" borderId="0" xfId="13" applyNumberFormat="1" applyFont="1" applyFill="1" applyBorder="1"/>
    <xf numFmtId="2" fontId="4" fillId="4" borderId="4" xfId="9" applyNumberFormat="1" applyFont="1" applyFill="1" applyBorder="1" applyAlignment="1">
      <alignment horizontal="right"/>
    </xf>
    <xf numFmtId="4" fontId="7" fillId="2" borderId="0" xfId="9" applyNumberFormat="1" applyFont="1" applyFill="1" applyAlignment="1" applyProtection="1">
      <alignment horizontal="right"/>
      <protection locked="0"/>
    </xf>
    <xf numFmtId="4" fontId="7" fillId="2" borderId="0" xfId="9" applyNumberFormat="1" applyFont="1" applyFill="1" applyProtection="1">
      <protection locked="0"/>
    </xf>
    <xf numFmtId="165" fontId="25" fillId="4" borderId="0" xfId="9" applyNumberFormat="1" applyFont="1" applyFill="1" applyBorder="1" applyAlignment="1">
      <alignment horizontal="right"/>
    </xf>
    <xf numFmtId="171" fontId="1" fillId="2" borderId="0" xfId="9" applyFont="1" applyFill="1"/>
    <xf numFmtId="164" fontId="17" fillId="0" borderId="0" xfId="9" applyNumberFormat="1" applyFont="1" applyFill="1" applyAlignment="1">
      <alignment horizontal="right"/>
    </xf>
    <xf numFmtId="164" fontId="4" fillId="0" borderId="6" xfId="9" applyNumberFormat="1" applyFont="1" applyFill="1" applyBorder="1" applyAlignment="1">
      <alignment horizontal="right"/>
    </xf>
    <xf numFmtId="2" fontId="17" fillId="0" borderId="0" xfId="9" applyNumberFormat="1" applyFont="1" applyFill="1" applyAlignment="1">
      <alignment horizontal="right"/>
    </xf>
    <xf numFmtId="164" fontId="14" fillId="2" borderId="0" xfId="9" applyNumberFormat="1" applyFont="1" applyFill="1" applyAlignment="1" applyProtection="1">
      <alignment horizontal="right"/>
    </xf>
    <xf numFmtId="175" fontId="66" fillId="4" borderId="0" xfId="0" applyNumberFormat="1" applyFont="1" applyFill="1" applyBorder="1" applyAlignment="1">
      <alignment horizontal="right" vertical="center"/>
    </xf>
    <xf numFmtId="177" fontId="7" fillId="4" borderId="0" xfId="0" applyNumberFormat="1" applyFont="1" applyFill="1" applyBorder="1" applyAlignment="1">
      <alignment horizontal="right" vertical="center"/>
    </xf>
    <xf numFmtId="177" fontId="7" fillId="4" borderId="3" xfId="0" applyNumberFormat="1" applyFont="1" applyFill="1" applyBorder="1" applyAlignment="1">
      <alignment horizontal="right" vertical="center"/>
    </xf>
    <xf numFmtId="177" fontId="7" fillId="4" borderId="9" xfId="0" applyNumberFormat="1" applyFont="1" applyFill="1" applyBorder="1" applyAlignment="1">
      <alignment horizontal="right" vertical="center"/>
    </xf>
    <xf numFmtId="0" fontId="65" fillId="4" borderId="0" xfId="0" applyFont="1" applyFill="1" applyBorder="1" applyAlignment="1">
      <alignment horizontal="right" wrapText="1"/>
    </xf>
    <xf numFmtId="0" fontId="66" fillId="4" borderId="0" xfId="0" applyFont="1" applyFill="1" applyBorder="1" applyAlignment="1">
      <alignment horizontal="left" vertical="center" wrapText="1"/>
    </xf>
    <xf numFmtId="177" fontId="7" fillId="4" borderId="5" xfId="0" applyNumberFormat="1" applyFont="1" applyFill="1" applyBorder="1" applyAlignment="1">
      <alignment horizontal="right" vertical="center"/>
    </xf>
    <xf numFmtId="175" fontId="66" fillId="4" borderId="5" xfId="0" applyNumberFormat="1" applyFont="1" applyFill="1" applyBorder="1" applyAlignment="1">
      <alignment horizontal="right" vertical="center"/>
    </xf>
    <xf numFmtId="1" fontId="17" fillId="0" borderId="0" xfId="9" applyNumberFormat="1" applyFont="1" applyFill="1" applyAlignment="1">
      <alignment horizontal="right"/>
    </xf>
    <xf numFmtId="164" fontId="25" fillId="0" borderId="0" xfId="9" applyNumberFormat="1" applyFont="1" applyFill="1" applyBorder="1" applyAlignment="1">
      <alignment horizontal="right"/>
    </xf>
  </cellXfs>
  <cellStyles count="17">
    <cellStyle name="Comma" xfId="1" builtinId="3"/>
    <cellStyle name="Comma 2" xfId="2"/>
    <cellStyle name="Comma 3" xfId="3"/>
    <cellStyle name="Hyperlink" xfId="16" builtinId="8"/>
    <cellStyle name="Normal" xfId="0" builtinId="0"/>
    <cellStyle name="Normal 2" xfId="4"/>
    <cellStyle name="Normal 3" xfId="5"/>
    <cellStyle name="Normal 3 2" xfId="6"/>
    <cellStyle name="Normal 4" xfId="7"/>
    <cellStyle name="Normal_B3584027" xfId="8"/>
    <cellStyle name="Normal_Chapter_Summary" xfId="9"/>
    <cellStyle name="Normal_Chapter_Summary (vB6540599)" xfId="10"/>
    <cellStyle name="Normal_Main Transport Trends 2008" xfId="11"/>
    <cellStyle name="Normal_TABLE4" xfId="12"/>
    <cellStyle name="Percent" xfId="13" builtinId="5"/>
    <cellStyle name="Percent 2" xfId="14"/>
    <cellStyle name="Percent 3" xfId="15"/>
  </cellStyles>
  <dxfs count="6">
    <dxf>
      <border>
        <right style="dashed">
          <color auto="1"/>
        </right>
        <vertical/>
        <horizontal/>
      </border>
    </dxf>
    <dxf>
      <border>
        <right style="dashed">
          <color auto="1"/>
        </right>
        <vertical/>
        <horizontal/>
      </border>
    </dxf>
    <dxf>
      <border>
        <right style="dashed">
          <color auto="1"/>
        </right>
        <vertical/>
        <horizontal/>
      </border>
    </dxf>
    <dxf>
      <border>
        <right style="dashed">
          <color auto="1"/>
        </right>
        <vertical/>
        <horizontal/>
      </border>
    </dxf>
    <dxf>
      <border>
        <right style="dashed">
          <color auto="1"/>
        </right>
        <vertical/>
        <horizontal/>
      </border>
    </dxf>
    <dxf>
      <border>
        <right style="dashed">
          <color auto="1"/>
        </right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L!$A$64</c:f>
              <c:strCache>
                <c:ptCount val="1"/>
                <c:pt idx="0">
                  <c:v>Scotland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L!$B$63:$D$63</c:f>
              <c:strCache>
                <c:ptCount val="3"/>
                <c:pt idx="0">
                  <c:v>10 years ago (2004)</c:v>
                </c:pt>
                <c:pt idx="1">
                  <c:v>5 years ago (2009)</c:v>
                </c:pt>
                <c:pt idx="2">
                  <c:v>2014</c:v>
                </c:pt>
              </c:strCache>
            </c:strRef>
          </c:cat>
          <c:val>
            <c:numRef>
              <c:f>L!$B$64:$D$64</c:f>
              <c:numCache>
                <c:formatCode>General</c:formatCode>
                <c:ptCount val="3"/>
                <c:pt idx="0">
                  <c:v>100</c:v>
                </c:pt>
                <c:pt idx="1">
                  <c:v>99.782608695652172</c:v>
                </c:pt>
                <c:pt idx="2">
                  <c:v>89.984900566960874</c:v>
                </c:pt>
              </c:numCache>
            </c:numRef>
          </c:val>
        </c:ser>
        <c:ser>
          <c:idx val="1"/>
          <c:order val="1"/>
          <c:tx>
            <c:strRef>
              <c:f>L!$A$65</c:f>
              <c:strCache>
                <c:ptCount val="1"/>
                <c:pt idx="0">
                  <c:v>Great Britain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L!$B$63:$D$63</c:f>
              <c:strCache>
                <c:ptCount val="3"/>
                <c:pt idx="0">
                  <c:v>10 years ago (2004)</c:v>
                </c:pt>
                <c:pt idx="1">
                  <c:v>5 years ago (2009)</c:v>
                </c:pt>
                <c:pt idx="2">
                  <c:v>2014</c:v>
                </c:pt>
              </c:strCache>
            </c:strRef>
          </c:cat>
          <c:val>
            <c:numRef>
              <c:f>L!$B$65:$D$65</c:f>
              <c:numCache>
                <c:formatCode>General</c:formatCode>
                <c:ptCount val="3"/>
                <c:pt idx="0">
                  <c:v>100</c:v>
                </c:pt>
                <c:pt idx="1">
                  <c:v>112.50269920103648</c:v>
                </c:pt>
                <c:pt idx="2">
                  <c:v>111.48779961131505</c:v>
                </c:pt>
              </c:numCache>
            </c:numRef>
          </c:val>
        </c:ser>
        <c:ser>
          <c:idx val="2"/>
          <c:order val="2"/>
          <c:tx>
            <c:strRef>
              <c:f>L!$A$66</c:f>
              <c:strCache>
                <c:ptCount val="1"/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L!$B$63:$D$63</c:f>
              <c:strCache>
                <c:ptCount val="3"/>
                <c:pt idx="0">
                  <c:v>10 years ago (2004)</c:v>
                </c:pt>
                <c:pt idx="1">
                  <c:v>5 years ago (2009)</c:v>
                </c:pt>
                <c:pt idx="2">
                  <c:v>2014</c:v>
                </c:pt>
              </c:strCache>
            </c:strRef>
          </c:cat>
          <c:val>
            <c:numRef>
              <c:f>L!$B$66:$D$66</c:f>
              <c:numCache>
                <c:formatCode>General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11008"/>
        <c:axId val="72356992"/>
      </c:barChart>
      <c:catAx>
        <c:axId val="7081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356992"/>
        <c:crosses val="autoZero"/>
        <c:auto val="1"/>
        <c:lblAlgn val="ctr"/>
        <c:lblOffset val="100"/>
        <c:noMultiLvlLbl val="0"/>
      </c:catAx>
      <c:valAx>
        <c:axId val="72356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08110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2692005809822E-2"/>
          <c:y val="4.6961325966850827E-2"/>
          <c:w val="0.86417973427277739"/>
          <c:h val="0.69060773480662985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9'!$A$68</c:f>
              <c:strCache>
                <c:ptCount val="1"/>
                <c:pt idx="0">
                  <c:v>Local bus: Scot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7, 8, 9'!$D$67:$N$67</c:f>
              <c:numCache>
                <c:formatCode>General_)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'Figs 7, 8, 9'!$D$68:$N$68</c:f>
              <c:numCache>
                <c:formatCode>General_)</c:formatCode>
                <c:ptCount val="11"/>
                <c:pt idx="0">
                  <c:v>90.474598273115276</c:v>
                </c:pt>
                <c:pt idx="1">
                  <c:v>91.190168682243353</c:v>
                </c:pt>
                <c:pt idx="2">
                  <c:v>92.731487794899778</c:v>
                </c:pt>
                <c:pt idx="3">
                  <c:v>94.390715667311412</c:v>
                </c:pt>
                <c:pt idx="4">
                  <c:v>93.025043725614552</c:v>
                </c:pt>
                <c:pt idx="5">
                  <c:v>87.731034614575961</c:v>
                </c:pt>
                <c:pt idx="6">
                  <c:v>82.094941279312835</c:v>
                </c:pt>
                <c:pt idx="7">
                  <c:v>82.478010216949187</c:v>
                </c:pt>
                <c:pt idx="8">
                  <c:v>79.517330866775438</c:v>
                </c:pt>
                <c:pt idx="9">
                  <c:v>79.621065572103532</c:v>
                </c:pt>
                <c:pt idx="10">
                  <c:v>77.404918581797432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7, 8, 9'!$A$69</c:f>
              <c:strCache>
                <c:ptCount val="1"/>
                <c:pt idx="0">
                  <c:v>Local bus: GB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'Figs 7, 8, 9'!$D$67:$N$67</c:f>
              <c:numCache>
                <c:formatCode>General_)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'Figs 7, 8, 9'!$D$69:$N$69</c:f>
              <c:numCache>
                <c:formatCode>General_)</c:formatCode>
                <c:ptCount val="11"/>
                <c:pt idx="0">
                  <c:v>79.520818639611207</c:v>
                </c:pt>
                <c:pt idx="1">
                  <c:v>80.445707045771044</c:v>
                </c:pt>
                <c:pt idx="2">
                  <c:v>83.152864143114044</c:v>
                </c:pt>
                <c:pt idx="3">
                  <c:v>86.672700510458881</c:v>
                </c:pt>
                <c:pt idx="4">
                  <c:v>87.751408868937801</c:v>
                </c:pt>
                <c:pt idx="5">
                  <c:v>86.16248229844723</c:v>
                </c:pt>
                <c:pt idx="6">
                  <c:v>85.112494256588221</c:v>
                </c:pt>
                <c:pt idx="7">
                  <c:v>84.836991049429031</c:v>
                </c:pt>
                <c:pt idx="8">
                  <c:v>82.75508199588775</c:v>
                </c:pt>
                <c:pt idx="9">
                  <c:v>83.595701960544019</c:v>
                </c:pt>
                <c:pt idx="10">
                  <c:v>82.2706849264776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7, 8, 9'!$A$70</c:f>
              <c:strCache>
                <c:ptCount val="1"/>
                <c:pt idx="0">
                  <c:v>Rail: Scot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Dot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7, 8, 9'!$D$67:$N$67</c:f>
              <c:numCache>
                <c:formatCode>General_)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'Figs 7, 8, 9'!$D$70:$M$70</c:f>
              <c:numCache>
                <c:formatCode>General_)</c:formatCode>
                <c:ptCount val="10"/>
                <c:pt idx="0">
                  <c:v>12.048154318195229</c:v>
                </c:pt>
                <c:pt idx="1">
                  <c:v>13.059351688779302</c:v>
                </c:pt>
                <c:pt idx="2">
                  <c:v>13.595157701973465</c:v>
                </c:pt>
                <c:pt idx="3">
                  <c:v>14.070462282398454</c:v>
                </c:pt>
                <c:pt idx="4">
                  <c:v>14.656456534561508</c:v>
                </c:pt>
                <c:pt idx="5">
                  <c:v>14.616848625726853</c:v>
                </c:pt>
                <c:pt idx="6">
                  <c:v>15.097542162409184</c:v>
                </c:pt>
                <c:pt idx="7">
                  <c:v>15.719315458782244</c:v>
                </c:pt>
                <c:pt idx="8">
                  <c:v>16.138231707317075</c:v>
                </c:pt>
                <c:pt idx="9">
                  <c:v>16.273438819753366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7, 8, 9'!$A$71</c:f>
              <c:strCache>
                <c:ptCount val="1"/>
                <c:pt idx="0">
                  <c:v>Rail: GB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ysDash"/>
            </a:ln>
          </c:spPr>
          <c:marker>
            <c:symbol val="none"/>
          </c:marker>
          <c:cat>
            <c:numRef>
              <c:f>'Figs 7, 8, 9'!$D$67:$N$67</c:f>
              <c:numCache>
                <c:formatCode>General_)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'Figs 7, 8, 9'!$D$71:$M$71</c:f>
              <c:numCache>
                <c:formatCode>General_)</c:formatCode>
                <c:ptCount val="10"/>
                <c:pt idx="0">
                  <c:v>13.882816191585729</c:v>
                </c:pt>
                <c:pt idx="1">
                  <c:v>14.098783971377756</c:v>
                </c:pt>
                <c:pt idx="2">
                  <c:v>16.654868291313068</c:v>
                </c:pt>
                <c:pt idx="3">
                  <c:v>17.093651733440577</c:v>
                </c:pt>
                <c:pt idx="4">
                  <c:v>17.889407910317363</c:v>
                </c:pt>
                <c:pt idx="5">
                  <c:v>17.619347813514558</c:v>
                </c:pt>
                <c:pt idx="6">
                  <c:v>19.037586369781994</c:v>
                </c:pt>
                <c:pt idx="7">
                  <c:v>20.003997994040329</c:v>
                </c:pt>
                <c:pt idx="8">
                  <c:v>20.507354488253622</c:v>
                </c:pt>
                <c:pt idx="9">
                  <c:v>21.404738900000993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5072"/>
        <c:axId val="96276864"/>
      </c:lineChart>
      <c:catAx>
        <c:axId val="9627507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7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768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75072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193968401008693E-2"/>
          <c:y val="0.87016574585635365"/>
          <c:w val="0.84029910967011479"/>
          <c:h val="8.839779005524861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78947880110547E-2"/>
          <c:y val="4.9861563286610663E-2"/>
          <c:w val="0.88410168156058577"/>
          <c:h val="0.73407301505287914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9'!$A$79</c:f>
              <c:strCache>
                <c:ptCount val="1"/>
                <c:pt idx="0">
                  <c:v>Rail: Scot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"/>
            </a:ln>
          </c:spPr>
          <c:marker>
            <c:symbol val="square"/>
            <c:size val="7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7, 8, 9'!$D$78:$N$78</c:f>
              <c:numCache>
                <c:formatCode>General_)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'Figs 7, 8, 9'!$D$79:$M$79</c:f>
              <c:numCache>
                <c:formatCode>General_)</c:formatCode>
                <c:ptCount val="10"/>
                <c:pt idx="0">
                  <c:v>12.048154318195229</c:v>
                </c:pt>
                <c:pt idx="1">
                  <c:v>13.059351688779302</c:v>
                </c:pt>
                <c:pt idx="2">
                  <c:v>13.595157701973465</c:v>
                </c:pt>
                <c:pt idx="3">
                  <c:v>14.070462282398454</c:v>
                </c:pt>
                <c:pt idx="4">
                  <c:v>14.656456534561508</c:v>
                </c:pt>
                <c:pt idx="5">
                  <c:v>14.616848625726853</c:v>
                </c:pt>
                <c:pt idx="6">
                  <c:v>15.097542162409184</c:v>
                </c:pt>
                <c:pt idx="7">
                  <c:v>15.719315458782244</c:v>
                </c:pt>
                <c:pt idx="8">
                  <c:v>16.138231707317075</c:v>
                </c:pt>
                <c:pt idx="9">
                  <c:v>16.273438819753366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7, 8, 9'!$A$80</c:f>
              <c:strCache>
                <c:ptCount val="1"/>
                <c:pt idx="0">
                  <c:v>Rail: GB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'Figs 7, 8, 9'!$D$78:$N$78</c:f>
              <c:numCache>
                <c:formatCode>General_)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'Figs 7, 8, 9'!$D$80:$M$80</c:f>
              <c:numCache>
                <c:formatCode>General_)</c:formatCode>
                <c:ptCount val="10"/>
                <c:pt idx="0">
                  <c:v>13.882816191585729</c:v>
                </c:pt>
                <c:pt idx="1">
                  <c:v>14.098783971377756</c:v>
                </c:pt>
                <c:pt idx="2">
                  <c:v>16.654868291313068</c:v>
                </c:pt>
                <c:pt idx="3">
                  <c:v>17.093651733440577</c:v>
                </c:pt>
                <c:pt idx="4">
                  <c:v>17.889407910317363</c:v>
                </c:pt>
                <c:pt idx="5">
                  <c:v>17.619347813514558</c:v>
                </c:pt>
                <c:pt idx="6">
                  <c:v>19.037586369781994</c:v>
                </c:pt>
                <c:pt idx="7">
                  <c:v>20.003997994040329</c:v>
                </c:pt>
                <c:pt idx="8">
                  <c:v>20.507354488253622</c:v>
                </c:pt>
                <c:pt idx="9">
                  <c:v>21.404738900000993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7, 8, 9'!$A$81</c:f>
              <c:strCache>
                <c:ptCount val="1"/>
                <c:pt idx="0">
                  <c:v>Air: Scot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'Figs 7, 8, 9'!$D$78:$N$78</c:f>
              <c:numCache>
                <c:formatCode>General_)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'Figs 7, 8, 9'!$D$81:$N$81</c:f>
              <c:numCache>
                <c:formatCode>General_)</c:formatCode>
                <c:ptCount val="11"/>
                <c:pt idx="0">
                  <c:v>4.4362055740219892</c:v>
                </c:pt>
                <c:pt idx="1">
                  <c:v>4.6563735274548943</c:v>
                </c:pt>
                <c:pt idx="2">
                  <c:v>4.760670939588163</c:v>
                </c:pt>
                <c:pt idx="3">
                  <c:v>4.8611218568665384</c:v>
                </c:pt>
                <c:pt idx="4">
                  <c:v>4.6796978608083952</c:v>
                </c:pt>
                <c:pt idx="5">
                  <c:v>4.2997763718725501</c:v>
                </c:pt>
                <c:pt idx="6">
                  <c:v>3.9730530956634107</c:v>
                </c:pt>
                <c:pt idx="7">
                  <c:v>4.1632860997377312</c:v>
                </c:pt>
                <c:pt idx="8">
                  <c:v>4.1792758205359828</c:v>
                </c:pt>
                <c:pt idx="9">
                  <c:v>4.3639844585843797</c:v>
                </c:pt>
                <c:pt idx="10">
                  <c:v>4.5022065973520835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7, 8, 9'!$A$82</c:f>
              <c:strCache>
                <c:ptCount val="1"/>
                <c:pt idx="0">
                  <c:v>Air: UK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'Figs 7, 8, 9'!$D$78:$N$78</c:f>
              <c:numCache>
                <c:formatCode>General_)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'Figs 7, 8, 9'!$D$82:$N$82</c:f>
              <c:numCache>
                <c:formatCode>General_)</c:formatCode>
                <c:ptCount val="11"/>
                <c:pt idx="0">
                  <c:v>3.5979764860143297</c:v>
                </c:pt>
                <c:pt idx="1">
                  <c:v>3.7775968315308712</c:v>
                </c:pt>
                <c:pt idx="2">
                  <c:v>3.8666832316606685</c:v>
                </c:pt>
                <c:pt idx="3">
                  <c:v>3.9257278424372846</c:v>
                </c:pt>
                <c:pt idx="4">
                  <c:v>3.8075968577265069</c:v>
                </c:pt>
                <c:pt idx="5">
                  <c:v>3.5030243740789304</c:v>
                </c:pt>
                <c:pt idx="6">
                  <c:v>3.3565459840824623</c:v>
                </c:pt>
                <c:pt idx="7">
                  <c:v>3.4650943756232206</c:v>
                </c:pt>
                <c:pt idx="8">
                  <c:v>3.4635098672742166</c:v>
                </c:pt>
                <c:pt idx="9">
                  <c:v>3.5625874747335082</c:v>
                </c:pt>
                <c:pt idx="10">
                  <c:v>3.6899997696478608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23840"/>
        <c:axId val="101728256"/>
      </c:lineChart>
      <c:catAx>
        <c:axId val="9632384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2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2825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23840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921244493561115E-2"/>
          <c:y val="0.92520891952217876"/>
          <c:w val="0.86181332596583327"/>
          <c:h val="6.648199445983382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080939947780679E-2"/>
          <c:y val="8.9958158995815898E-2"/>
          <c:w val="0.91840731070496084"/>
          <c:h val="0.7646443514644351"/>
        </c:manualLayout>
      </c:layout>
      <c:lineChart>
        <c:grouping val="standard"/>
        <c:varyColors val="0"/>
        <c:ser>
          <c:idx val="0"/>
          <c:order val="0"/>
          <c:tx>
            <c:strRef>
              <c:f>'Figs 10,11'!$B$69</c:f>
              <c:strCache>
                <c:ptCount val="1"/>
                <c:pt idx="0">
                  <c:v>Road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10,11'!$A$70:$A$109</c:f>
              <c:numCache>
                <c:formatCode>General_)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10,11'!$B$70:$B$108</c:f>
              <c:numCache>
                <c:formatCode>0</c:formatCode>
                <c:ptCount val="39"/>
                <c:pt idx="0">
                  <c:v>164.6</c:v>
                </c:pt>
                <c:pt idx="1">
                  <c:v>172</c:v>
                </c:pt>
                <c:pt idx="2">
                  <c:v>144.69999999999999</c:v>
                </c:pt>
                <c:pt idx="3">
                  <c:v>149.5</c:v>
                </c:pt>
                <c:pt idx="4">
                  <c:v>156.9</c:v>
                </c:pt>
                <c:pt idx="5">
                  <c:v>134.69999999999999</c:v>
                </c:pt>
                <c:pt idx="6">
                  <c:v>144.1</c:v>
                </c:pt>
                <c:pt idx="7">
                  <c:v>135.4</c:v>
                </c:pt>
                <c:pt idx="8">
                  <c:v>129.1</c:v>
                </c:pt>
                <c:pt idx="9">
                  <c:v>128.30000000000001</c:v>
                </c:pt>
                <c:pt idx="10">
                  <c:v>130.5</c:v>
                </c:pt>
                <c:pt idx="11">
                  <c:v>128</c:v>
                </c:pt>
                <c:pt idx="12">
                  <c:v>134.9</c:v>
                </c:pt>
                <c:pt idx="13">
                  <c:v>155.69999999999999</c:v>
                </c:pt>
                <c:pt idx="14">
                  <c:v>154.80000000000001</c:v>
                </c:pt>
                <c:pt idx="15">
                  <c:v>160.6</c:v>
                </c:pt>
                <c:pt idx="16">
                  <c:v>148.80000000000001</c:v>
                </c:pt>
                <c:pt idx="17">
                  <c:v>157.1</c:v>
                </c:pt>
                <c:pt idx="18">
                  <c:v>158.9</c:v>
                </c:pt>
                <c:pt idx="19">
                  <c:v>155.80000000000001</c:v>
                </c:pt>
                <c:pt idx="20">
                  <c:v>157.69999999999999</c:v>
                </c:pt>
                <c:pt idx="21">
                  <c:v>162.4</c:v>
                </c:pt>
                <c:pt idx="22">
                  <c:v>157.4</c:v>
                </c:pt>
                <c:pt idx="23">
                  <c:v>155.6</c:v>
                </c:pt>
                <c:pt idx="24">
                  <c:v>155.80000000000001</c:v>
                </c:pt>
                <c:pt idx="25">
                  <c:v>158.5</c:v>
                </c:pt>
                <c:pt idx="26">
                  <c:v>150.80000000000001</c:v>
                </c:pt>
                <c:pt idx="27">
                  <c:v>154.4</c:v>
                </c:pt>
                <c:pt idx="28">
                  <c:v>153.4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10,11'!$C$69</c:f>
              <c:strCache>
                <c:ptCount val="1"/>
                <c:pt idx="0">
                  <c:v>Road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10,11'!$A$70:$A$109</c:f>
              <c:numCache>
                <c:formatCode>General_)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10,11'!$C$70:$C$109</c:f>
              <c:numCache>
                <c:formatCode>General_)</c:formatCode>
                <c:ptCount val="40"/>
                <c:pt idx="29" formatCode="0">
                  <c:v>173.7</c:v>
                </c:pt>
                <c:pt idx="30" formatCode="0">
                  <c:v>165.6</c:v>
                </c:pt>
                <c:pt idx="31" formatCode="0">
                  <c:v>170.03526122401001</c:v>
                </c:pt>
                <c:pt idx="32" formatCode="0">
                  <c:v>176.82849159656521</c:v>
                </c:pt>
                <c:pt idx="33" formatCode="0">
                  <c:v>157.03148290364607</c:v>
                </c:pt>
                <c:pt idx="34" formatCode="0">
                  <c:v>131.92345982339137</c:v>
                </c:pt>
                <c:pt idx="35" formatCode="0">
                  <c:v>131.93396436893246</c:v>
                </c:pt>
                <c:pt idx="36" formatCode="0">
                  <c:v>144.19999999999999</c:v>
                </c:pt>
                <c:pt idx="37" formatCode="0">
                  <c:v>150.6</c:v>
                </c:pt>
                <c:pt idx="38" formatCode="0">
                  <c:v>135.80000000000001</c:v>
                </c:pt>
                <c:pt idx="39" formatCode="0">
                  <c:v>137.6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10,11'!$D$69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10,11'!$A$70:$A$109</c:f>
              <c:numCache>
                <c:formatCode>General_)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10,11'!$D$70:$D$108</c:f>
              <c:numCache>
                <c:formatCode>0</c:formatCode>
                <c:ptCount val="39"/>
                <c:pt idx="12">
                  <c:v>24.1</c:v>
                </c:pt>
                <c:pt idx="13">
                  <c:v>28.3</c:v>
                </c:pt>
                <c:pt idx="14">
                  <c:v>28.3</c:v>
                </c:pt>
                <c:pt idx="15">
                  <c:v>25.2</c:v>
                </c:pt>
                <c:pt idx="16">
                  <c:v>26.7</c:v>
                </c:pt>
                <c:pt idx="17">
                  <c:v>25.7</c:v>
                </c:pt>
                <c:pt idx="18">
                  <c:v>24.5</c:v>
                </c:pt>
                <c:pt idx="19">
                  <c:v>27.5</c:v>
                </c:pt>
                <c:pt idx="20">
                  <c:v>31.9</c:v>
                </c:pt>
                <c:pt idx="21">
                  <c:v>36.200000000000003</c:v>
                </c:pt>
                <c:pt idx="22">
                  <c:v>34.5</c:v>
                </c:pt>
                <c:pt idx="23">
                  <c:v>39.700000000000003</c:v>
                </c:pt>
                <c:pt idx="24">
                  <c:v>35.299999999999997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10,11'!$E$69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10,11'!$A$70:$A$109</c:f>
              <c:numCache>
                <c:formatCode>General_)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10,11'!$E$70:$E$109</c:f>
              <c:numCache>
                <c:formatCode>General_)</c:formatCode>
                <c:ptCount val="40"/>
                <c:pt idx="25" formatCode="0">
                  <c:v>24.68</c:v>
                </c:pt>
                <c:pt idx="26" formatCode="0">
                  <c:v>20.6</c:v>
                </c:pt>
                <c:pt idx="27" formatCode="0">
                  <c:v>19.2</c:v>
                </c:pt>
                <c:pt idx="28" formatCode="0">
                  <c:v>19.510000000000002</c:v>
                </c:pt>
                <c:pt idx="29" formatCode="0">
                  <c:v>20.49</c:v>
                </c:pt>
                <c:pt idx="30" formatCode="0">
                  <c:v>25.531185557834668</c:v>
                </c:pt>
                <c:pt idx="31" formatCode="0">
                  <c:v>20.58</c:v>
                </c:pt>
                <c:pt idx="32" formatCode="0">
                  <c:v>22.79</c:v>
                </c:pt>
                <c:pt idx="33" formatCode="0">
                  <c:v>23.28</c:v>
                </c:pt>
                <c:pt idx="34" formatCode="0">
                  <c:v>19.84</c:v>
                </c:pt>
                <c:pt idx="35" formatCode="0">
                  <c:v>17.95</c:v>
                </c:pt>
                <c:pt idx="36" formatCode="0">
                  <c:v>16.329999999999998</c:v>
                </c:pt>
                <c:pt idx="37" formatCode="0">
                  <c:v>12.54</c:v>
                </c:pt>
                <c:pt idx="38" formatCode="0">
                  <c:v>11.39</c:v>
                </c:pt>
                <c:pt idx="39" formatCode="0">
                  <c:v>11.81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96480"/>
        <c:axId val="101798272"/>
      </c:lineChart>
      <c:catAx>
        <c:axId val="10179648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9827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01798272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 tonnes</a:t>
                </a:r>
              </a:p>
            </c:rich>
          </c:tx>
          <c:layout>
            <c:manualLayout>
              <c:xMode val="edge"/>
              <c:yMode val="edge"/>
              <c:x val="3.2637075718015664E-3"/>
              <c:y val="5.230145604840147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solidFill>
            <a:srgbClr val="FFFFFF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96480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6370757180156665E-2"/>
          <c:y val="0.94665273423894114"/>
          <c:w val="0.76501305483028725"/>
          <c:h val="3.451885128778964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8134715025906E-2"/>
          <c:y val="8.1615188747708553E-2"/>
          <c:w val="0.91709844559585496"/>
          <c:h val="0.76718277422846048"/>
        </c:manualLayout>
      </c:layout>
      <c:lineChart>
        <c:grouping val="standard"/>
        <c:varyColors val="0"/>
        <c:ser>
          <c:idx val="0"/>
          <c:order val="0"/>
          <c:tx>
            <c:strRef>
              <c:f>'Figs 10,11'!$J$69</c:f>
              <c:strCache>
                <c:ptCount val="1"/>
                <c:pt idx="0">
                  <c:v>Pipeline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10,11'!$H$70:$H$109</c:f>
              <c:numCache>
                <c:formatCode>General_)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10,11'!$I$70:$I$108</c:f>
              <c:numCache>
                <c:formatCode>0</c:formatCode>
                <c:ptCount val="39"/>
                <c:pt idx="0">
                  <c:v>6.3</c:v>
                </c:pt>
                <c:pt idx="1">
                  <c:v>11.9</c:v>
                </c:pt>
                <c:pt idx="2">
                  <c:v>23.2</c:v>
                </c:pt>
                <c:pt idx="3">
                  <c:v>26.4</c:v>
                </c:pt>
                <c:pt idx="4">
                  <c:v>27.9</c:v>
                </c:pt>
                <c:pt idx="5">
                  <c:v>26.7</c:v>
                </c:pt>
                <c:pt idx="6">
                  <c:v>24.1</c:v>
                </c:pt>
                <c:pt idx="7">
                  <c:v>22.4</c:v>
                </c:pt>
                <c:pt idx="8">
                  <c:v>26.5</c:v>
                </c:pt>
                <c:pt idx="9">
                  <c:v>26.9</c:v>
                </c:pt>
                <c:pt idx="10">
                  <c:v>29.8</c:v>
                </c:pt>
                <c:pt idx="11">
                  <c:v>28.2</c:v>
                </c:pt>
                <c:pt idx="12">
                  <c:v>28.5</c:v>
                </c:pt>
                <c:pt idx="13">
                  <c:v>25.2</c:v>
                </c:pt>
                <c:pt idx="14">
                  <c:v>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10,11'!$J$69</c:f>
              <c:strCache>
                <c:ptCount val="1"/>
                <c:pt idx="0">
                  <c:v>Pipeline</c:v>
                </c:pt>
              </c:strCache>
            </c:strRef>
          </c:tx>
          <c:spPr>
            <a:ln w="381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'Figs 10,11'!$H$70:$H$109</c:f>
              <c:numCache>
                <c:formatCode>General_)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10,11'!$J$70:$J$107</c:f>
              <c:numCache>
                <c:formatCode>General_)</c:formatCode>
                <c:ptCount val="38"/>
                <c:pt idx="15" formatCode="0">
                  <c:v>26.9</c:v>
                </c:pt>
                <c:pt idx="16" formatCode="0">
                  <c:v>21.4</c:v>
                </c:pt>
                <c:pt idx="17" formatCode="0">
                  <c:v>24</c:v>
                </c:pt>
                <c:pt idx="18" formatCode="0">
                  <c:v>26.9</c:v>
                </c:pt>
                <c:pt idx="19" formatCode="0">
                  <c:v>24.084</c:v>
                </c:pt>
                <c:pt idx="20" formatCode="0">
                  <c:v>25.622</c:v>
                </c:pt>
                <c:pt idx="21" formatCode="0">
                  <c:v>25.602</c:v>
                </c:pt>
                <c:pt idx="22" formatCode="0">
                  <c:v>25.715</c:v>
                </c:pt>
                <c:pt idx="23" formatCode="0">
                  <c:v>28.061</c:v>
                </c:pt>
                <c:pt idx="24" formatCode="0">
                  <c:v>28.024999999999999</c:v>
                </c:pt>
                <c:pt idx="25" formatCode="0">
                  <c:v>28.149000000000001</c:v>
                </c:pt>
                <c:pt idx="26" formatCode="0">
                  <c:v>28.132000000000001</c:v>
                </c:pt>
                <c:pt idx="27" formatCode="0">
                  <c:v>28.042000000000002</c:v>
                </c:pt>
                <c:pt idx="28" formatCode="0">
                  <c:v>27.701000000000001</c:v>
                </c:pt>
                <c:pt idx="29" formatCode="0">
                  <c:v>27.649038999999998</c:v>
                </c:pt>
                <c:pt idx="30" formatCode="0">
                  <c:v>27.6</c:v>
                </c:pt>
                <c:pt idx="31" formatCode="0">
                  <c:v>27.8</c:v>
                </c:pt>
                <c:pt idx="32" formatCode="0">
                  <c:v>27.5</c:v>
                </c:pt>
                <c:pt idx="33" formatCode="0">
                  <c:v>27.6</c:v>
                </c:pt>
                <c:pt idx="34" formatCode="0">
                  <c:v>27.6</c:v>
                </c:pt>
                <c:pt idx="35" formatCode="0">
                  <c:v>27.6</c:v>
                </c:pt>
                <c:pt idx="36" formatCode="0">
                  <c:v>27.8</c:v>
                </c:pt>
                <c:pt idx="37" formatCode="0">
                  <c:v>28.2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10,11'!$K$69</c:f>
              <c:strCache>
                <c:ptCount val="1"/>
                <c:pt idx="0">
                  <c:v>Inland waterway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10,11'!$H$70:$H$109</c:f>
              <c:numCache>
                <c:formatCode>General_)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10,11'!$K$70:$K$109</c:f>
              <c:numCache>
                <c:formatCode>0</c:formatCode>
                <c:ptCount val="40"/>
                <c:pt idx="5">
                  <c:v>8.1199999999999992</c:v>
                </c:pt>
                <c:pt idx="6">
                  <c:v>7.31</c:v>
                </c:pt>
                <c:pt idx="7">
                  <c:v>10.4</c:v>
                </c:pt>
                <c:pt idx="8">
                  <c:v>12.1</c:v>
                </c:pt>
                <c:pt idx="9">
                  <c:v>10.02</c:v>
                </c:pt>
                <c:pt idx="10">
                  <c:v>10.65</c:v>
                </c:pt>
                <c:pt idx="11">
                  <c:v>11.02</c:v>
                </c:pt>
                <c:pt idx="12">
                  <c:v>10.28</c:v>
                </c:pt>
                <c:pt idx="13">
                  <c:v>10.220000000000001</c:v>
                </c:pt>
                <c:pt idx="14">
                  <c:v>10.37</c:v>
                </c:pt>
                <c:pt idx="15">
                  <c:v>11.92</c:v>
                </c:pt>
                <c:pt idx="16">
                  <c:v>11.34</c:v>
                </c:pt>
                <c:pt idx="17">
                  <c:v>10.66</c:v>
                </c:pt>
                <c:pt idx="18">
                  <c:v>11.35</c:v>
                </c:pt>
                <c:pt idx="19">
                  <c:v>11.16</c:v>
                </c:pt>
                <c:pt idx="20">
                  <c:v>11.22</c:v>
                </c:pt>
                <c:pt idx="21">
                  <c:v>11.08</c:v>
                </c:pt>
                <c:pt idx="22">
                  <c:v>11.62</c:v>
                </c:pt>
                <c:pt idx="23">
                  <c:v>10.37</c:v>
                </c:pt>
                <c:pt idx="24">
                  <c:v>9.4700000000000006</c:v>
                </c:pt>
                <c:pt idx="25">
                  <c:v>12.24</c:v>
                </c:pt>
                <c:pt idx="26">
                  <c:v>11.41</c:v>
                </c:pt>
                <c:pt idx="27">
                  <c:v>10.01</c:v>
                </c:pt>
                <c:pt idx="28">
                  <c:v>10.06</c:v>
                </c:pt>
                <c:pt idx="29">
                  <c:v>9.9700000000000006</c:v>
                </c:pt>
                <c:pt idx="30">
                  <c:v>10.193762099703264</c:v>
                </c:pt>
                <c:pt idx="31">
                  <c:v>10.16</c:v>
                </c:pt>
                <c:pt idx="32">
                  <c:v>10.5</c:v>
                </c:pt>
                <c:pt idx="33">
                  <c:v>12.19</c:v>
                </c:pt>
                <c:pt idx="34">
                  <c:v>10.1</c:v>
                </c:pt>
                <c:pt idx="35">
                  <c:v>10.89</c:v>
                </c:pt>
                <c:pt idx="36">
                  <c:v>10.7</c:v>
                </c:pt>
                <c:pt idx="37">
                  <c:v>10.79</c:v>
                </c:pt>
                <c:pt idx="38">
                  <c:v>10.69</c:v>
                </c:pt>
                <c:pt idx="39">
                  <c:v>9.41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10,11'!$L$69</c:f>
              <c:strCache>
                <c:ptCount val="1"/>
                <c:pt idx="0">
                  <c:v>Rail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'Figs 10,11'!$H$70:$H$109</c:f>
              <c:numCache>
                <c:formatCode>General_)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10,11'!$L$70:$L$108</c:f>
              <c:numCache>
                <c:formatCode>0</c:formatCode>
                <c:ptCount val="39"/>
                <c:pt idx="0">
                  <c:v>16.100000000000001</c:v>
                </c:pt>
                <c:pt idx="1">
                  <c:v>16.2</c:v>
                </c:pt>
                <c:pt idx="2">
                  <c:v>14</c:v>
                </c:pt>
                <c:pt idx="3">
                  <c:v>13.8</c:v>
                </c:pt>
                <c:pt idx="4">
                  <c:v>12</c:v>
                </c:pt>
                <c:pt idx="5">
                  <c:v>11.7</c:v>
                </c:pt>
                <c:pt idx="6">
                  <c:v>12.2</c:v>
                </c:pt>
                <c:pt idx="7">
                  <c:v>10.4</c:v>
                </c:pt>
                <c:pt idx="8">
                  <c:v>10.3</c:v>
                </c:pt>
                <c:pt idx="9">
                  <c:v>6.4</c:v>
                </c:pt>
                <c:pt idx="10">
                  <c:v>12</c:v>
                </c:pt>
                <c:pt idx="11">
                  <c:v>9.6999999999999993</c:v>
                </c:pt>
                <c:pt idx="12">
                  <c:v>10.5</c:v>
                </c:pt>
                <c:pt idx="13">
                  <c:v>9.6999999999999993</c:v>
                </c:pt>
                <c:pt idx="14">
                  <c:v>9.4</c:v>
                </c:pt>
                <c:pt idx="15">
                  <c:v>9.8000000000000007</c:v>
                </c:pt>
                <c:pt idx="16">
                  <c:v>9</c:v>
                </c:pt>
                <c:pt idx="17">
                  <c:v>6.96</c:v>
                </c:pt>
                <c:pt idx="18">
                  <c:v>5.01</c:v>
                </c:pt>
                <c:pt idx="19">
                  <c:v>5.4</c:v>
                </c:pt>
                <c:pt idx="21">
                  <c:v>5.43</c:v>
                </c:pt>
                <c:pt idx="22">
                  <c:v>7.04</c:v>
                </c:pt>
                <c:pt idx="23">
                  <c:v>7.69</c:v>
                </c:pt>
                <c:pt idx="24">
                  <c:v>8.24</c:v>
                </c:pt>
                <c:pt idx="25">
                  <c:v>8.25</c:v>
                </c:pt>
                <c:pt idx="26">
                  <c:v>9.5701609999999988</c:v>
                </c:pt>
                <c:pt idx="27">
                  <c:v>9.1199959999999987</c:v>
                </c:pt>
                <c:pt idx="28">
                  <c:v>8.3285319999999992</c:v>
                </c:pt>
                <c:pt idx="29">
                  <c:v>11.25</c:v>
                </c:pt>
                <c:pt idx="30">
                  <c:v>14.31</c:v>
                </c:pt>
                <c:pt idx="31">
                  <c:v>12.96</c:v>
                </c:pt>
                <c:pt idx="32">
                  <c:v>11.35</c:v>
                </c:pt>
                <c:pt idx="33">
                  <c:v>10.36</c:v>
                </c:pt>
                <c:pt idx="34">
                  <c:v>9.69</c:v>
                </c:pt>
                <c:pt idx="35">
                  <c:v>8.33</c:v>
                </c:pt>
                <c:pt idx="36">
                  <c:v>9.8699999999999992</c:v>
                </c:pt>
                <c:pt idx="37">
                  <c:v>8.43</c:v>
                </c:pt>
                <c:pt idx="38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'Figs 10,11'!$M$69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10,11'!$H$70:$H$109</c:f>
              <c:numCache>
                <c:formatCode>General_)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10,11'!$M$70:$M$109</c:f>
              <c:numCache>
                <c:formatCode>0</c:formatCode>
                <c:ptCount val="40"/>
                <c:pt idx="12">
                  <c:v>24.1</c:v>
                </c:pt>
                <c:pt idx="13">
                  <c:v>28.3</c:v>
                </c:pt>
                <c:pt idx="14">
                  <c:v>28.3</c:v>
                </c:pt>
                <c:pt idx="15">
                  <c:v>25.2</c:v>
                </c:pt>
                <c:pt idx="16">
                  <c:v>26.7</c:v>
                </c:pt>
                <c:pt idx="17">
                  <c:v>25.7</c:v>
                </c:pt>
                <c:pt idx="18">
                  <c:v>24.5</c:v>
                </c:pt>
                <c:pt idx="19">
                  <c:v>27.5</c:v>
                </c:pt>
                <c:pt idx="20">
                  <c:v>31.9</c:v>
                </c:pt>
                <c:pt idx="21">
                  <c:v>36.200000000000003</c:v>
                </c:pt>
                <c:pt idx="22">
                  <c:v>34.5</c:v>
                </c:pt>
                <c:pt idx="23">
                  <c:v>39.700000000000003</c:v>
                </c:pt>
                <c:pt idx="24">
                  <c:v>35.299999999999997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'Figs 10,11'!$N$69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10,11'!$H$70:$H$109</c:f>
              <c:numCache>
                <c:formatCode>General_)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10,11'!$N$70:$N$109</c:f>
              <c:numCache>
                <c:formatCode>General_)</c:formatCode>
                <c:ptCount val="40"/>
                <c:pt idx="25" formatCode="0">
                  <c:v>24.68</c:v>
                </c:pt>
                <c:pt idx="26" formatCode="0">
                  <c:v>20.6</c:v>
                </c:pt>
                <c:pt idx="27" formatCode="0">
                  <c:v>19.2</c:v>
                </c:pt>
                <c:pt idx="28" formatCode="0">
                  <c:v>19.510000000000002</c:v>
                </c:pt>
                <c:pt idx="29" formatCode="0">
                  <c:v>20.49</c:v>
                </c:pt>
                <c:pt idx="30" formatCode="0">
                  <c:v>25.531185557834668</c:v>
                </c:pt>
                <c:pt idx="31" formatCode="0">
                  <c:v>20.58</c:v>
                </c:pt>
                <c:pt idx="32" formatCode="0">
                  <c:v>22.79</c:v>
                </c:pt>
                <c:pt idx="33" formatCode="0">
                  <c:v>23.28</c:v>
                </c:pt>
                <c:pt idx="34" formatCode="0">
                  <c:v>19.84</c:v>
                </c:pt>
                <c:pt idx="35" formatCode="0">
                  <c:v>17.95</c:v>
                </c:pt>
                <c:pt idx="36" formatCode="0">
                  <c:v>16.329999999999998</c:v>
                </c:pt>
                <c:pt idx="37" formatCode="0">
                  <c:v>12.54</c:v>
                </c:pt>
                <c:pt idx="38" formatCode="0">
                  <c:v>11.39</c:v>
                </c:pt>
                <c:pt idx="39" formatCode="0">
                  <c:v>11.81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13984"/>
        <c:axId val="104315520"/>
      </c:lineChart>
      <c:catAx>
        <c:axId val="10431398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3155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0431552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 tonnes</a:t>
                </a:r>
              </a:p>
            </c:rich>
          </c:tx>
          <c:layout>
            <c:manualLayout>
              <c:xMode val="edge"/>
              <c:yMode val="edge"/>
              <c:x val="3.4974093264248704E-2"/>
              <c:y val="4.553264604810996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313984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x val="3.4326424870466318E-2"/>
          <c:y val="0.93728603512189845"/>
          <c:w val="0.91386010362694303"/>
          <c:h val="4.553264604810991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L!$A$48</c:f>
              <c:strCache>
                <c:ptCount val="1"/>
                <c:pt idx="0">
                  <c:v>Scotland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L!$B$47:$L$47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L!$B$48:$L$48</c:f>
              <c:numCache>
                <c:formatCode>General</c:formatCode>
                <c:ptCount val="11"/>
                <c:pt idx="0">
                  <c:v>100</c:v>
                </c:pt>
                <c:pt idx="1">
                  <c:v>101.30434782608695</c:v>
                </c:pt>
                <c:pt idx="2">
                  <c:v>103.47826086956522</c:v>
                </c:pt>
                <c:pt idx="3">
                  <c:v>106.08695652173914</c:v>
                </c:pt>
                <c:pt idx="4">
                  <c:v>105.21739130434781</c:v>
                </c:pt>
                <c:pt idx="5">
                  <c:v>99.782608695652172</c:v>
                </c:pt>
                <c:pt idx="6">
                  <c:v>93.913043478260875</c:v>
                </c:pt>
                <c:pt idx="7">
                  <c:v>95.027218771480221</c:v>
                </c:pt>
                <c:pt idx="8">
                  <c:v>91.852888976890867</c:v>
                </c:pt>
                <c:pt idx="9">
                  <c:v>92.216771967064346</c:v>
                </c:pt>
                <c:pt idx="10">
                  <c:v>89.984900566960874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L!$A$49</c:f>
              <c:strCache>
                <c:ptCount val="1"/>
                <c:pt idx="0">
                  <c:v>Great Britain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L!$B$47:$L$47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L!$B$49:$L$49</c:f>
              <c:numCache>
                <c:formatCode>General</c:formatCode>
                <c:ptCount val="11"/>
                <c:pt idx="0">
                  <c:v>100</c:v>
                </c:pt>
                <c:pt idx="1">
                  <c:v>101.94342474627511</c:v>
                </c:pt>
                <c:pt idx="2">
                  <c:v>106.08939753832864</c:v>
                </c:pt>
                <c:pt idx="3">
                  <c:v>111.4662060030231</c:v>
                </c:pt>
                <c:pt idx="4">
                  <c:v>113.77672209026129</c:v>
                </c:pt>
                <c:pt idx="5">
                  <c:v>112.50269920103648</c:v>
                </c:pt>
                <c:pt idx="6">
                  <c:v>112.02763981861369</c:v>
                </c:pt>
                <c:pt idx="7">
                  <c:v>112.61066724249622</c:v>
                </c:pt>
                <c:pt idx="8">
                  <c:v>110.58086806305334</c:v>
                </c:pt>
                <c:pt idx="9">
                  <c:v>112.41632476786872</c:v>
                </c:pt>
                <c:pt idx="10">
                  <c:v>111.48779961131505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L!$A$50</c:f>
              <c:strCache>
                <c:ptCount val="1"/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numRef>
              <c:f>L!$B$47:$L$47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L!$B$50:$L$50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15648"/>
        <c:axId val="104595840"/>
      </c:lineChart>
      <c:catAx>
        <c:axId val="9631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595840"/>
        <c:crosses val="autoZero"/>
        <c:auto val="1"/>
        <c:lblAlgn val="ctr"/>
        <c:lblOffset val="100"/>
        <c:noMultiLvlLbl val="0"/>
      </c:catAx>
      <c:valAx>
        <c:axId val="104595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631564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6130030959752E-2"/>
          <c:y val="8.2926829268292687E-2"/>
          <c:w val="0.89318885448916407"/>
          <c:h val="0.83902439024390241"/>
        </c:manualLayout>
      </c:layout>
      <c:lineChart>
        <c:grouping val="standard"/>
        <c:varyColors val="0"/>
        <c:ser>
          <c:idx val="0"/>
          <c:order val="0"/>
          <c:tx>
            <c:strRef>
              <c:f>'Figs1,2'!$B$92</c:f>
              <c:strCache>
                <c:ptCount val="1"/>
                <c:pt idx="0">
                  <c:v>vehicles licensed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'Figs1,2'!$A$93:$A$132</c:f>
              <c:numCache>
                <c:formatCode>0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'Figs1,2'!$B$93:$B$128</c:f>
              <c:numCache>
                <c:formatCode>0.00</c:formatCode>
                <c:ptCount val="36"/>
                <c:pt idx="0">
                  <c:v>1.304</c:v>
                </c:pt>
                <c:pt idx="1">
                  <c:v>1.3134999999999999</c:v>
                </c:pt>
                <c:pt idx="3">
                  <c:v>1.3080000000000001</c:v>
                </c:pt>
                <c:pt idx="4">
                  <c:v>1.353</c:v>
                </c:pt>
                <c:pt idx="5">
                  <c:v>1.3979999999999999</c:v>
                </c:pt>
                <c:pt idx="6">
                  <c:v>1.397</c:v>
                </c:pt>
                <c:pt idx="7">
                  <c:v>1.4159999999999999</c:v>
                </c:pt>
                <c:pt idx="8">
                  <c:v>1.448</c:v>
                </c:pt>
                <c:pt idx="9">
                  <c:v>1.4890000000000001</c:v>
                </c:pt>
                <c:pt idx="10">
                  <c:v>1.514</c:v>
                </c:pt>
                <c:pt idx="11">
                  <c:v>1.546</c:v>
                </c:pt>
                <c:pt idx="12">
                  <c:v>1.575</c:v>
                </c:pt>
                <c:pt idx="13">
                  <c:v>1.657</c:v>
                </c:pt>
                <c:pt idx="14">
                  <c:v>1.7290000000000001</c:v>
                </c:pt>
                <c:pt idx="15">
                  <c:v>1.788</c:v>
                </c:pt>
                <c:pt idx="16">
                  <c:v>1.83</c:v>
                </c:pt>
                <c:pt idx="17">
                  <c:v>1.8839999999999999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'Figs1,2'!$C$92</c:f>
              <c:strCache>
                <c:ptCount val="1"/>
                <c:pt idx="0">
                  <c:v>new basis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'Figs1,2'!$A$93:$A$132</c:f>
              <c:numCache>
                <c:formatCode>0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'Figs1,2'!$C$93:$C$132</c:f>
              <c:numCache>
                <c:formatCode>General_)</c:formatCode>
                <c:ptCount val="40"/>
                <c:pt idx="17" formatCode="0.00">
                  <c:v>1.84</c:v>
                </c:pt>
                <c:pt idx="18" formatCode="0.00">
                  <c:v>1.8740000000000001</c:v>
                </c:pt>
                <c:pt idx="19" formatCode="0.00">
                  <c:v>1.9</c:v>
                </c:pt>
                <c:pt idx="20" formatCode="0.00">
                  <c:v>1.91</c:v>
                </c:pt>
                <c:pt idx="21" formatCode="0.00">
                  <c:v>1.966</c:v>
                </c:pt>
                <c:pt idx="22" formatCode="0.00">
                  <c:v>2.0230000000000001</c:v>
                </c:pt>
                <c:pt idx="23" formatCode="0.00">
                  <c:v>2.073</c:v>
                </c:pt>
                <c:pt idx="24" formatCode="0.00">
                  <c:v>2.1309999999999998</c:v>
                </c:pt>
                <c:pt idx="25" formatCode="0.00">
                  <c:v>2.1883569999999999</c:v>
                </c:pt>
                <c:pt idx="26" formatCode="0.00">
                  <c:v>2.262248</c:v>
                </c:pt>
                <c:pt idx="27" formatCode="0.00">
                  <c:v>2.33</c:v>
                </c:pt>
                <c:pt idx="28" formatCode="0.00">
                  <c:v>2.3829899999999999</c:v>
                </c:pt>
                <c:pt idx="29" formatCode="0.00">
                  <c:v>2.4481840000000004</c:v>
                </c:pt>
                <c:pt idx="30" formatCode="0.00">
                  <c:v>2.5313339999999998</c:v>
                </c:pt>
                <c:pt idx="31" formatCode="0.00">
                  <c:v>2.5642930000000002</c:v>
                </c:pt>
                <c:pt idx="32" formatCode="0.00">
                  <c:v>2.6269830000000001</c:v>
                </c:pt>
                <c:pt idx="33" formatCode="0.00">
                  <c:v>2.6651860000000003</c:v>
                </c:pt>
                <c:pt idx="34" formatCode="0.00">
                  <c:v>2.6838969999999995</c:v>
                </c:pt>
                <c:pt idx="35" formatCode="0.00">
                  <c:v>2.6846819999999996</c:v>
                </c:pt>
                <c:pt idx="36" formatCode="0.00">
                  <c:v>2.6909999999999998</c:v>
                </c:pt>
                <c:pt idx="37" formatCode="0.00">
                  <c:v>2.7170000000000001</c:v>
                </c:pt>
                <c:pt idx="38" formatCode="0.00">
                  <c:v>2.7589999999999999</c:v>
                </c:pt>
                <c:pt idx="39" formatCode="0.00">
                  <c:v>2.8213599999999999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22880"/>
        <c:axId val="148632704"/>
      </c:lineChart>
      <c:catAx>
        <c:axId val="14852288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6327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486327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6.9659442724458202E-3"/>
              <c:y val="2.829268292682926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522880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20610504139359E-2"/>
          <c:y val="8.3418107833163779E-2"/>
          <c:w val="0.88629350897274517"/>
          <c:h val="0.80162767039674465"/>
        </c:manualLayout>
      </c:layout>
      <c:lineChart>
        <c:grouping val="standard"/>
        <c:varyColors val="0"/>
        <c:ser>
          <c:idx val="0"/>
          <c:order val="0"/>
          <c:tx>
            <c:strRef>
              <c:f>'Figs1,2'!$D$92</c:f>
              <c:strCache>
                <c:ptCount val="1"/>
                <c:pt idx="0">
                  <c:v>new registrations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'Figs1,2'!$A$93:$A$132</c:f>
              <c:numCache>
                <c:formatCode>0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'Figs1,2'!$D$93:$D$129</c:f>
              <c:numCache>
                <c:formatCode>0</c:formatCode>
                <c:ptCount val="37"/>
                <c:pt idx="0">
                  <c:v>153.94</c:v>
                </c:pt>
                <c:pt idx="1">
                  <c:v>159.49</c:v>
                </c:pt>
                <c:pt idx="2">
                  <c:v>155.249</c:v>
                </c:pt>
                <c:pt idx="3">
                  <c:v>178.50399999999999</c:v>
                </c:pt>
                <c:pt idx="4">
                  <c:v>184.876</c:v>
                </c:pt>
                <c:pt idx="5">
                  <c:v>175.911</c:v>
                </c:pt>
                <c:pt idx="6">
                  <c:v>165.69200000000001</c:v>
                </c:pt>
                <c:pt idx="7">
                  <c:v>171.17599999999999</c:v>
                </c:pt>
                <c:pt idx="8">
                  <c:v>193.13900000000001</c:v>
                </c:pt>
                <c:pt idx="9">
                  <c:v>183.17400000000001</c:v>
                </c:pt>
                <c:pt idx="10">
                  <c:v>180.62700000000001</c:v>
                </c:pt>
                <c:pt idx="11">
                  <c:v>180.75700000000001</c:v>
                </c:pt>
                <c:pt idx="12">
                  <c:v>186.88</c:v>
                </c:pt>
                <c:pt idx="13">
                  <c:v>200.124</c:v>
                </c:pt>
                <c:pt idx="14">
                  <c:v>212.62200000000001</c:v>
                </c:pt>
                <c:pt idx="15">
                  <c:v>194.09299999999999</c:v>
                </c:pt>
                <c:pt idx="16">
                  <c:v>153.97499999999999</c:v>
                </c:pt>
                <c:pt idx="17">
                  <c:v>153.779</c:v>
                </c:pt>
                <c:pt idx="18">
                  <c:v>170.30799999999999</c:v>
                </c:pt>
                <c:pt idx="19">
                  <c:v>169.637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'Figs1,2'!$E$92</c:f>
              <c:strCache>
                <c:ptCount val="1"/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'Figs1,2'!$A$93:$A$132</c:f>
              <c:numCache>
                <c:formatCode>0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'Figs1,2'!$E$93:$E$132</c:f>
              <c:numCache>
                <c:formatCode>General_)</c:formatCode>
                <c:ptCount val="40"/>
                <c:pt idx="20" formatCode="0">
                  <c:v>172.7</c:v>
                </c:pt>
                <c:pt idx="21" formatCode="0">
                  <c:v>183</c:v>
                </c:pt>
                <c:pt idx="22" formatCode="0">
                  <c:v>205.6</c:v>
                </c:pt>
                <c:pt idx="23" formatCode="0">
                  <c:v>209.90100000000001</c:v>
                </c:pt>
                <c:pt idx="24" formatCode="0">
                  <c:v>216.12700000000001</c:v>
                </c:pt>
                <c:pt idx="25" formatCode="0">
                  <c:v>220.34100000000001</c:v>
                </c:pt>
                <c:pt idx="26" formatCode="0">
                  <c:v>241.2</c:v>
                </c:pt>
                <c:pt idx="27" formatCode="0">
                  <c:v>259.39999999999998</c:v>
                </c:pt>
                <c:pt idx="28" formatCode="0">
                  <c:v>262.39999999999998</c:v>
                </c:pt>
                <c:pt idx="29" formatCode="0">
                  <c:v>262.80900000000003</c:v>
                </c:pt>
                <c:pt idx="30" formatCode="0">
                  <c:v>251</c:v>
                </c:pt>
                <c:pt idx="31" formatCode="0">
                  <c:v>242.923</c:v>
                </c:pt>
                <c:pt idx="32" formatCode="0">
                  <c:v>250.916</c:v>
                </c:pt>
                <c:pt idx="33" formatCode="0">
                  <c:v>215</c:v>
                </c:pt>
                <c:pt idx="34" formatCode="0">
                  <c:v>216</c:v>
                </c:pt>
                <c:pt idx="35" formatCode="0">
                  <c:v>208.7</c:v>
                </c:pt>
                <c:pt idx="36" formatCode="0">
                  <c:v>202</c:v>
                </c:pt>
                <c:pt idx="37" formatCode="0">
                  <c:v>216.4</c:v>
                </c:pt>
                <c:pt idx="38" formatCode="0">
                  <c:v>241</c:v>
                </c:pt>
                <c:pt idx="39" formatCode="0">
                  <c:v>262.16399999999999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73600"/>
        <c:axId val="75675136"/>
      </c:lineChart>
      <c:catAx>
        <c:axId val="7567360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7513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56751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thousands</a:t>
                </a:r>
              </a:p>
            </c:rich>
          </c:tx>
          <c:layout>
            <c:manualLayout>
              <c:xMode val="edge"/>
              <c:yMode val="edge"/>
              <c:x val="3.8940809968847352E-3"/>
              <c:y val="2.3397761953204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73600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12809069890373E-2"/>
          <c:y val="0.1066177746555399"/>
          <c:w val="0.87393562753524756"/>
          <c:h val="0.69485377275507043"/>
        </c:manualLayout>
      </c:layout>
      <c:lineChart>
        <c:grouping val="standard"/>
        <c:varyColors val="0"/>
        <c:ser>
          <c:idx val="0"/>
          <c:order val="0"/>
          <c:tx>
            <c:strRef>
              <c:f>'Figs 3,4'!$D$86</c:f>
              <c:strCache>
                <c:ptCount val="1"/>
                <c:pt idx="0">
                  <c:v>All roads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3,4'!$C$87:$C$126</c:f>
              <c:numCache>
                <c:formatCode>0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3,4'!$D$87:$D$126</c:f>
              <c:numCache>
                <c:formatCode>General_)</c:formatCode>
                <c:ptCount val="40"/>
                <c:pt idx="18">
                  <c:v>35175</c:v>
                </c:pt>
                <c:pt idx="19">
                  <c:v>36000</c:v>
                </c:pt>
                <c:pt idx="20">
                  <c:v>36736</c:v>
                </c:pt>
                <c:pt idx="21">
                  <c:v>37777</c:v>
                </c:pt>
                <c:pt idx="22">
                  <c:v>38582</c:v>
                </c:pt>
                <c:pt idx="23">
                  <c:v>39169</c:v>
                </c:pt>
                <c:pt idx="24">
                  <c:v>39770</c:v>
                </c:pt>
                <c:pt idx="25">
                  <c:v>39561</c:v>
                </c:pt>
                <c:pt idx="26">
                  <c:v>40065</c:v>
                </c:pt>
                <c:pt idx="27">
                  <c:v>41535</c:v>
                </c:pt>
                <c:pt idx="28">
                  <c:v>42038</c:v>
                </c:pt>
                <c:pt idx="29">
                  <c:v>42705</c:v>
                </c:pt>
                <c:pt idx="30">
                  <c:v>42718</c:v>
                </c:pt>
                <c:pt idx="31">
                  <c:v>44119</c:v>
                </c:pt>
                <c:pt idx="32">
                  <c:v>44666</c:v>
                </c:pt>
                <c:pt idx="33">
                  <c:v>44470</c:v>
                </c:pt>
                <c:pt idx="34">
                  <c:v>44219</c:v>
                </c:pt>
                <c:pt idx="35">
                  <c:v>43488</c:v>
                </c:pt>
                <c:pt idx="36">
                  <c:v>43390</c:v>
                </c:pt>
                <c:pt idx="37">
                  <c:v>43549</c:v>
                </c:pt>
                <c:pt idx="38">
                  <c:v>43840</c:v>
                </c:pt>
                <c:pt idx="39">
                  <c:v>44789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3,4'!$E$86</c:f>
              <c:strCache>
                <c:ptCount val="1"/>
                <c:pt idx="0">
                  <c:v>Major roads (M &amp; A)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3,4'!$C$87:$C$126</c:f>
              <c:numCache>
                <c:formatCode>0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3,4'!$E$87:$E$126</c:f>
              <c:numCache>
                <c:formatCode>General_)</c:formatCode>
                <c:ptCount val="40"/>
                <c:pt idx="8">
                  <c:v>14185</c:v>
                </c:pt>
                <c:pt idx="9">
                  <c:v>16302</c:v>
                </c:pt>
                <c:pt idx="10">
                  <c:v>17219</c:v>
                </c:pt>
                <c:pt idx="11">
                  <c:v>17647</c:v>
                </c:pt>
                <c:pt idx="12">
                  <c:v>18767</c:v>
                </c:pt>
                <c:pt idx="13">
                  <c:v>20098</c:v>
                </c:pt>
                <c:pt idx="14">
                  <c:v>21404</c:v>
                </c:pt>
                <c:pt idx="15">
                  <c:v>21786</c:v>
                </c:pt>
                <c:pt idx="16">
                  <c:v>21947</c:v>
                </c:pt>
                <c:pt idx="17">
                  <c:v>22575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3,4'!$E$86</c:f>
              <c:strCache>
                <c:ptCount val="1"/>
                <c:pt idx="0">
                  <c:v>Major roads (M &amp; A)</c:v>
                </c:pt>
              </c:strCache>
            </c:strRef>
          </c:tx>
          <c:spPr>
            <a:ln w="381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'Figs 3,4'!$C$87:$C$126</c:f>
              <c:numCache>
                <c:formatCode>0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3,4'!$F$87:$F$126</c:f>
              <c:numCache>
                <c:formatCode>General_)</c:formatCode>
                <c:ptCount val="40"/>
                <c:pt idx="18">
                  <c:v>22666</c:v>
                </c:pt>
                <c:pt idx="19">
                  <c:v>23300</c:v>
                </c:pt>
                <c:pt idx="20">
                  <c:v>23987</c:v>
                </c:pt>
                <c:pt idx="21">
                  <c:v>24839</c:v>
                </c:pt>
                <c:pt idx="22">
                  <c:v>25452</c:v>
                </c:pt>
                <c:pt idx="23">
                  <c:v>25885</c:v>
                </c:pt>
                <c:pt idx="24">
                  <c:v>26185</c:v>
                </c:pt>
                <c:pt idx="25">
                  <c:v>25936</c:v>
                </c:pt>
                <c:pt idx="26">
                  <c:v>26342</c:v>
                </c:pt>
                <c:pt idx="27">
                  <c:v>27262</c:v>
                </c:pt>
                <c:pt idx="28">
                  <c:v>27682</c:v>
                </c:pt>
                <c:pt idx="29">
                  <c:v>28209</c:v>
                </c:pt>
                <c:pt idx="30">
                  <c:v>28055</c:v>
                </c:pt>
                <c:pt idx="31">
                  <c:v>29898</c:v>
                </c:pt>
                <c:pt idx="32">
                  <c:v>28986</c:v>
                </c:pt>
                <c:pt idx="33">
                  <c:v>28810</c:v>
                </c:pt>
                <c:pt idx="34">
                  <c:v>28961</c:v>
                </c:pt>
                <c:pt idx="35">
                  <c:v>28495</c:v>
                </c:pt>
                <c:pt idx="36">
                  <c:v>28565</c:v>
                </c:pt>
                <c:pt idx="37">
                  <c:v>28853</c:v>
                </c:pt>
                <c:pt idx="38">
                  <c:v>29048</c:v>
                </c:pt>
                <c:pt idx="39">
                  <c:v>29437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3,4'!$C$87:$C$126</c:f>
              <c:numCache>
                <c:formatCode>0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3,4'!$G$87:$G$126</c:f>
              <c:numCache>
                <c:formatCode>#,##0_);\(#,##0\)</c:formatCode>
                <c:ptCount val="40"/>
                <c:pt idx="0">
                  <c:v>9318.066556570282</c:v>
                </c:pt>
                <c:pt idx="1">
                  <c:v>9438.0702892543177</c:v>
                </c:pt>
                <c:pt idx="2">
                  <c:v>9621.7449073796161</c:v>
                </c:pt>
                <c:pt idx="3">
                  <c:v>9748.6280435445515</c:v>
                </c:pt>
                <c:pt idx="4">
                  <c:v>9642.6904774246123</c:v>
                </c:pt>
                <c:pt idx="5">
                  <c:v>10261.850579172542</c:v>
                </c:pt>
                <c:pt idx="6">
                  <c:v>10417.985744720616</c:v>
                </c:pt>
                <c:pt idx="7">
                  <c:v>10733.46368301049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3,4'!$C$87:$C$126</c:f>
              <c:numCache>
                <c:formatCode>0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3,4'!$H$87:$H$126</c:f>
              <c:numCache>
                <c:formatCode>General_)</c:formatCode>
                <c:ptCount val="40"/>
                <c:pt idx="8" formatCode="#,##0_);\(#,##0\)">
                  <c:v>11043</c:v>
                </c:pt>
                <c:pt idx="9" formatCode="#,##0_);\(#,##0\)">
                  <c:v>12794</c:v>
                </c:pt>
                <c:pt idx="10" formatCode="#,##0_);\(#,##0\)">
                  <c:v>13606</c:v>
                </c:pt>
                <c:pt idx="11" formatCode="#,##0_);\(#,##0\)">
                  <c:v>14012</c:v>
                </c:pt>
                <c:pt idx="12" formatCode="#,##0_);\(#,##0\)">
                  <c:v>14881</c:v>
                </c:pt>
                <c:pt idx="13" formatCode="#,##0_);\(#,##0\)">
                  <c:v>15946</c:v>
                </c:pt>
                <c:pt idx="14" formatCode="#,##0_);\(#,##0\)">
                  <c:v>17027</c:v>
                </c:pt>
                <c:pt idx="15" formatCode="#,##0_);\(#,##0\)">
                  <c:v>17476</c:v>
                </c:pt>
                <c:pt idx="16" formatCode="#,##0_);\(#,##0\)">
                  <c:v>17553</c:v>
                </c:pt>
                <c:pt idx="17" formatCode="#,##0_);\(#,##0\)">
                  <c:v>18068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3,4'!$C$87:$C$126</c:f>
              <c:numCache>
                <c:formatCode>0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3,4'!$I$87:$I$126</c:f>
              <c:numCache>
                <c:formatCode>General_)</c:formatCode>
                <c:ptCount val="40"/>
                <c:pt idx="18" formatCode="#,##0_);\(#,##0\)">
                  <c:v>18211</c:v>
                </c:pt>
                <c:pt idx="19" formatCode="#,##0_);\(#,##0\)">
                  <c:v>18683</c:v>
                </c:pt>
                <c:pt idx="20" formatCode="#,##0_);\(#,##0\)">
                  <c:v>19226</c:v>
                </c:pt>
                <c:pt idx="21" formatCode="#,##0_);\(#,##0\)">
                  <c:v>19888</c:v>
                </c:pt>
                <c:pt idx="22" formatCode="#,##0_);\(#,##0\)">
                  <c:v>20266</c:v>
                </c:pt>
                <c:pt idx="23" formatCode="#,##0_);\(#,##0\)">
                  <c:v>20456</c:v>
                </c:pt>
                <c:pt idx="24" formatCode="#,##0_);\(#,##0\)">
                  <c:v>20700</c:v>
                </c:pt>
                <c:pt idx="25" formatCode="#,##0_);\(#,##0\)">
                  <c:v>20566.003000000001</c:v>
                </c:pt>
                <c:pt idx="26" formatCode="#,##0_);\(#,##0\)">
                  <c:v>20977</c:v>
                </c:pt>
                <c:pt idx="27" formatCode="#,##0_);\(#,##0\)">
                  <c:v>21760.136999999999</c:v>
                </c:pt>
                <c:pt idx="28" formatCode="#,##0_);\(#,##0\)">
                  <c:v>21921.514999999999</c:v>
                </c:pt>
                <c:pt idx="29" formatCode="#,##0_);\(#,##0\)">
                  <c:v>22307.81</c:v>
                </c:pt>
                <c:pt idx="30" formatCode="#,##0_);\(#,##0\)">
                  <c:v>22060</c:v>
                </c:pt>
                <c:pt idx="31" formatCode="#,##0_);\(#,##0\)">
                  <c:v>22610</c:v>
                </c:pt>
                <c:pt idx="32" formatCode="#,##0_);\(#,##0\)">
                  <c:v>22392</c:v>
                </c:pt>
                <c:pt idx="33" formatCode="#,##0_);\(#,##0\)">
                  <c:v>22221</c:v>
                </c:pt>
                <c:pt idx="34" formatCode="#,##0_);\(#,##0\)">
                  <c:v>22496</c:v>
                </c:pt>
                <c:pt idx="35" formatCode="#,##0_);\(#,##0\)">
                  <c:v>21998</c:v>
                </c:pt>
                <c:pt idx="36" formatCode="#,##0_);\(#,##0\)">
                  <c:v>21986</c:v>
                </c:pt>
                <c:pt idx="37" formatCode="#,##0_);\(#,##0\)">
                  <c:v>22170</c:v>
                </c:pt>
                <c:pt idx="38" formatCode="#,##0_);\(#,##0\)">
                  <c:v>22217</c:v>
                </c:pt>
                <c:pt idx="39" formatCode="#,##0_);\(#,##0\)">
                  <c:v>22411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71200"/>
        <c:axId val="79572992"/>
      </c:lineChart>
      <c:catAx>
        <c:axId val="7957120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57299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9572992"/>
        <c:scaling>
          <c:orientation val="minMax"/>
          <c:max val="5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4.2589437819420782E-3"/>
              <c:y val="5.51471874839174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571200"/>
        <c:crosses val="autoZero"/>
        <c:crossBetween val="midCat"/>
        <c:majorUnit val="5000"/>
        <c:minorUnit val="1000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1.1073253833049404E-2"/>
          <c:y val="0.91176573516545723"/>
          <c:w val="0.92333936963160701"/>
          <c:h val="4.5343137254901911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6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80814940577254E-2"/>
          <c:y val="4.8672636477686666E-2"/>
          <c:w val="0.88115449915110355"/>
          <c:h val="0.83038467687689677"/>
        </c:manualLayout>
      </c:layout>
      <c:lineChart>
        <c:grouping val="standard"/>
        <c:varyColors val="0"/>
        <c:ser>
          <c:idx val="0"/>
          <c:order val="0"/>
          <c:tx>
            <c:strRef>
              <c:f>'Figs 3,4'!$M$86</c:f>
              <c:strCache>
                <c:ptCount val="1"/>
                <c:pt idx="0">
                  <c:v>Injuries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3,4'!$L$87:$L$126</c:f>
              <c:numCache>
                <c:formatCode>0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3,4'!$M$87:$M$126</c:f>
              <c:numCache>
                <c:formatCode>#,##0_);\(#,##0\)</c:formatCode>
                <c:ptCount val="40"/>
                <c:pt idx="0">
                  <c:v>28621</c:v>
                </c:pt>
                <c:pt idx="1">
                  <c:v>29933</c:v>
                </c:pt>
                <c:pt idx="2">
                  <c:v>29783</c:v>
                </c:pt>
                <c:pt idx="3">
                  <c:v>30506</c:v>
                </c:pt>
                <c:pt idx="4">
                  <c:v>31387</c:v>
                </c:pt>
                <c:pt idx="5">
                  <c:v>29286</c:v>
                </c:pt>
                <c:pt idx="6">
                  <c:v>28766</c:v>
                </c:pt>
                <c:pt idx="7">
                  <c:v>28273</c:v>
                </c:pt>
                <c:pt idx="8">
                  <c:v>25224</c:v>
                </c:pt>
                <c:pt idx="9">
                  <c:v>26158</c:v>
                </c:pt>
                <c:pt idx="10">
                  <c:v>27287</c:v>
                </c:pt>
                <c:pt idx="11">
                  <c:v>26117</c:v>
                </c:pt>
                <c:pt idx="12">
                  <c:v>24748</c:v>
                </c:pt>
                <c:pt idx="13">
                  <c:v>25425</c:v>
                </c:pt>
                <c:pt idx="14">
                  <c:v>27532</c:v>
                </c:pt>
                <c:pt idx="15">
                  <c:v>27228</c:v>
                </c:pt>
                <c:pt idx="16">
                  <c:v>25346</c:v>
                </c:pt>
                <c:pt idx="17">
                  <c:v>24173</c:v>
                </c:pt>
                <c:pt idx="18">
                  <c:v>22414</c:v>
                </c:pt>
                <c:pt idx="19">
                  <c:v>22573</c:v>
                </c:pt>
                <c:pt idx="20">
                  <c:v>22194</c:v>
                </c:pt>
                <c:pt idx="21">
                  <c:v>21716</c:v>
                </c:pt>
                <c:pt idx="22">
                  <c:v>22629</c:v>
                </c:pt>
                <c:pt idx="23">
                  <c:v>22467</c:v>
                </c:pt>
                <c:pt idx="24">
                  <c:v>21002</c:v>
                </c:pt>
                <c:pt idx="25">
                  <c:v>20518</c:v>
                </c:pt>
                <c:pt idx="26">
                  <c:v>19911</c:v>
                </c:pt>
                <c:pt idx="27">
                  <c:v>19275</c:v>
                </c:pt>
                <c:pt idx="28">
                  <c:v>18756</c:v>
                </c:pt>
                <c:pt idx="29">
                  <c:v>18502</c:v>
                </c:pt>
                <c:pt idx="30">
                  <c:v>17885</c:v>
                </c:pt>
                <c:pt idx="31">
                  <c:v>17269</c:v>
                </c:pt>
                <c:pt idx="32">
                  <c:v>16239</c:v>
                </c:pt>
                <c:pt idx="33">
                  <c:v>15592</c:v>
                </c:pt>
                <c:pt idx="34">
                  <c:v>15043</c:v>
                </c:pt>
                <c:pt idx="35">
                  <c:v>13338</c:v>
                </c:pt>
                <c:pt idx="36">
                  <c:v>12790</c:v>
                </c:pt>
                <c:pt idx="37">
                  <c:v>12721</c:v>
                </c:pt>
                <c:pt idx="38">
                  <c:v>11504</c:v>
                </c:pt>
                <c:pt idx="39">
                  <c:v>11240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35584"/>
        <c:axId val="79637120"/>
      </c:lineChart>
      <c:catAx>
        <c:axId val="7963558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371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963712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3558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085153538587059E-2"/>
          <c:y val="9.8606748441214115E-2"/>
          <c:w val="0.88865309774843315"/>
          <c:h val="0.76956136283469279"/>
        </c:manualLayout>
      </c:layout>
      <c:lineChart>
        <c:grouping val="standard"/>
        <c:varyColors val="0"/>
        <c:ser>
          <c:idx val="0"/>
          <c:order val="0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5,6'!$B$108:$B$147</c:f>
              <c:numCache>
                <c:formatCode>0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5,6'!$C$108:$C$147</c:f>
              <c:numCache>
                <c:formatCode>#,##0_);\(#,##0\)</c:formatCode>
                <c:ptCount val="40"/>
                <c:pt idx="0">
                  <c:v>891.4</c:v>
                </c:pt>
                <c:pt idx="1">
                  <c:v>881.1</c:v>
                </c:pt>
                <c:pt idx="2">
                  <c:v>823.5</c:v>
                </c:pt>
                <c:pt idx="3">
                  <c:v>794</c:v>
                </c:pt>
                <c:pt idx="4">
                  <c:v>786</c:v>
                </c:pt>
                <c:pt idx="5">
                  <c:v>762.9</c:v>
                </c:pt>
                <c:pt idx="6">
                  <c:v>715.9</c:v>
                </c:pt>
                <c:pt idx="7">
                  <c:v>693.5</c:v>
                </c:pt>
                <c:pt idx="8">
                  <c:v>680.4</c:v>
                </c:pt>
                <c:pt idx="9">
                  <c:v>669.3</c:v>
                </c:pt>
                <c:pt idx="10">
                  <c:v>686.76300000000003</c:v>
                </c:pt>
                <c:pt idx="11">
                  <c:v>659.81399999999996</c:v>
                </c:pt>
                <c:pt idx="12">
                  <c:v>662.10599999999999</c:v>
                </c:pt>
                <c:pt idx="13">
                  <c:v>662.23099999999999</c:v>
                </c:pt>
                <c:pt idx="14">
                  <c:v>628.10299999999995</c:v>
                </c:pt>
                <c:pt idx="15">
                  <c:v>599.50699999999995</c:v>
                </c:pt>
                <c:pt idx="16">
                  <c:v>584.846</c:v>
                </c:pt>
                <c:pt idx="17">
                  <c:v>544.58500000000004</c:v>
                </c:pt>
                <c:pt idx="18">
                  <c:v>537.95899999999995</c:v>
                </c:pt>
                <c:pt idx="19">
                  <c:v>525.75800000000004</c:v>
                </c:pt>
                <c:pt idx="20">
                  <c:v>506</c:v>
                </c:pt>
                <c:pt idx="21">
                  <c:v>478</c:v>
                </c:pt>
                <c:pt idx="22">
                  <c:v>448</c:v>
                </c:pt>
                <c:pt idx="23">
                  <c:v>424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5,6'!$B$108:$B$147</c:f>
              <c:numCache>
                <c:formatCode>0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5,6'!$D$108:$D$147</c:f>
              <c:numCache>
                <c:formatCode>#,##0_);\(#,##0\)</c:formatCode>
                <c:ptCount val="40"/>
                <c:pt idx="24">
                  <c:v>455</c:v>
                </c:pt>
                <c:pt idx="25">
                  <c:v>458</c:v>
                </c:pt>
                <c:pt idx="26">
                  <c:v>466</c:v>
                </c:pt>
                <c:pt idx="27">
                  <c:v>471</c:v>
                </c:pt>
                <c:pt idx="28">
                  <c:v>478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5,6'!$B$108:$B$147</c:f>
              <c:numCache>
                <c:formatCode>0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5,6'!$E$108:$E$147</c:f>
              <c:numCache>
                <c:formatCode>#,##0_);\(#,##0\)</c:formatCode>
                <c:ptCount val="40"/>
                <c:pt idx="29">
                  <c:v>460</c:v>
                </c:pt>
                <c:pt idx="30">
                  <c:v>466</c:v>
                </c:pt>
                <c:pt idx="31">
                  <c:v>476</c:v>
                </c:pt>
                <c:pt idx="32">
                  <c:v>488</c:v>
                </c:pt>
                <c:pt idx="33">
                  <c:v>484</c:v>
                </c:pt>
                <c:pt idx="34">
                  <c:v>459</c:v>
                </c:pt>
                <c:pt idx="35">
                  <c:v>432</c:v>
                </c:pt>
                <c:pt idx="36">
                  <c:v>437.125206348809</c:v>
                </c:pt>
                <c:pt idx="37">
                  <c:v>422.52328929369799</c:v>
                </c:pt>
                <c:pt idx="38">
                  <c:v>424.19715104849598</c:v>
                </c:pt>
                <c:pt idx="39">
                  <c:v>413.93054260802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'Figs 5,6'!$F$107</c:f>
              <c:strCache>
                <c:ptCount val="1"/>
                <c:pt idx="0">
                  <c:v>Rail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5,6'!$B$108:$B$147</c:f>
              <c:numCache>
                <c:formatCode>0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5,6'!$F$108:$F$147</c:f>
              <c:numCache>
                <c:formatCode>#,##0_);\(#,##0\)</c:formatCode>
                <c:ptCount val="40"/>
                <c:pt idx="0">
                  <c:v>66.2</c:v>
                </c:pt>
                <c:pt idx="1">
                  <c:v>60.1</c:v>
                </c:pt>
                <c:pt idx="2">
                  <c:v>56.8</c:v>
                </c:pt>
                <c:pt idx="3">
                  <c:v>59.7</c:v>
                </c:pt>
                <c:pt idx="4">
                  <c:v>57.6</c:v>
                </c:pt>
                <c:pt idx="5">
                  <c:v>61.5</c:v>
                </c:pt>
                <c:pt idx="6">
                  <c:v>57.8</c:v>
                </c:pt>
                <c:pt idx="7">
                  <c:v>49.5</c:v>
                </c:pt>
                <c:pt idx="8">
                  <c:v>55.7</c:v>
                </c:pt>
                <c:pt idx="9">
                  <c:v>51.3</c:v>
                </c:pt>
                <c:pt idx="10">
                  <c:v>57.1</c:v>
                </c:pt>
                <c:pt idx="11">
                  <c:v>53.1</c:v>
                </c:pt>
                <c:pt idx="12">
                  <c:v>54.1</c:v>
                </c:pt>
                <c:pt idx="13">
                  <c:v>54</c:v>
                </c:pt>
                <c:pt idx="14">
                  <c:v>51.8</c:v>
                </c:pt>
              </c:numCache>
            </c:numRef>
          </c:val>
          <c:smooth val="0"/>
        </c:ser>
        <c:ser>
          <c:idx val="3"/>
          <c:order val="4"/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5,6'!$B$108:$B$147</c:f>
              <c:numCache>
                <c:formatCode>0</c:formatCode>
                <c:ptCount val="4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</c:numCache>
            </c:numRef>
          </c:cat>
          <c:val>
            <c:numRef>
              <c:f>'Figs 5,6'!$G$108:$G$147</c:f>
              <c:numCache>
                <c:formatCode>General_)</c:formatCode>
                <c:ptCount val="40"/>
                <c:pt idx="15" formatCode="#,##0_);\(#,##0\)">
                  <c:v>52.76</c:v>
                </c:pt>
                <c:pt idx="16" formatCode="#,##0_);\(#,##0\)">
                  <c:v>54.53</c:v>
                </c:pt>
                <c:pt idx="17" formatCode="#,##0_);\(#,##0\)">
                  <c:v>59.31</c:v>
                </c:pt>
                <c:pt idx="18" formatCode="#,##0_);\(#,##0\)">
                  <c:v>59.13</c:v>
                </c:pt>
                <c:pt idx="19" formatCode="#,##0_);\(#,##0\)">
                  <c:v>54.38</c:v>
                </c:pt>
                <c:pt idx="20" formatCode="#,##0_);\(#,##0\)">
                  <c:v>48.944000000000003</c:v>
                </c:pt>
                <c:pt idx="21" formatCode="#,##0_);\(#,##0\)">
                  <c:v>49.752000000000002</c:v>
                </c:pt>
                <c:pt idx="22" formatCode="#,##0_);\(#,##0\)">
                  <c:v>53.057000000000002</c:v>
                </c:pt>
                <c:pt idx="23" formatCode="#,##0_);\(#,##0\)">
                  <c:v>55.054000000000002</c:v>
                </c:pt>
                <c:pt idx="24" formatCode="#,##0_);\(#,##0\)">
                  <c:v>57.613999999999997</c:v>
                </c:pt>
                <c:pt idx="25" formatCode="#,##0_);\(#,##0\)">
                  <c:v>57.268999999999998</c:v>
                </c:pt>
                <c:pt idx="26" formatCode="#,##0_);\(#,##0\)">
                  <c:v>53.018267000000009</c:v>
                </c:pt>
                <c:pt idx="27" formatCode="#,##0_);\(#,##0\)">
                  <c:v>52.37623</c:v>
                </c:pt>
                <c:pt idx="28" formatCode="#,##0_);\(#,##0\)">
                  <c:v>55.892938999999998</c:v>
                </c:pt>
                <c:pt idx="29" formatCode="#,##0_);\(#,##0\)">
                  <c:v>61.256430999999999</c:v>
                </c:pt>
                <c:pt idx="30" formatCode="#,##0_);\(#,##0\)">
                  <c:v>66.735898999999989</c:v>
                </c:pt>
                <c:pt idx="31" formatCode="#,##0_);\(#,##0\)">
                  <c:v>69.785303999999996</c:v>
                </c:pt>
                <c:pt idx="32" formatCode="#,##0_);\(#,##0\)">
                  <c:v>72.744290000000007</c:v>
                </c:pt>
                <c:pt idx="33" formatCode="#,##0_);\(#,##0\)">
                  <c:v>76.256077703670073</c:v>
                </c:pt>
                <c:pt idx="34" formatCode="#,##0_);\(#,##0\)">
                  <c:v>76.473890324940314</c:v>
                </c:pt>
                <c:pt idx="35" formatCode="#,##0_);\(#,##0\)">
                  <c:v>79.4462863670296</c:v>
                </c:pt>
                <c:pt idx="36" formatCode="#,##0_);\(#,##0\)">
                  <c:v>83.310800000000015</c:v>
                </c:pt>
                <c:pt idx="37" formatCode="#,##0_);\(#,##0\)">
                  <c:v>85.752108000000007</c:v>
                </c:pt>
                <c:pt idx="38" formatCode="#,##0_);\(#,##0\)">
                  <c:v>86.7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22432"/>
        <c:axId val="93923968"/>
      </c:lineChart>
      <c:catAx>
        <c:axId val="9392243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2396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9392396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3.5460992907801418E-3"/>
              <c:y val="3.10825294748124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22432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5.6737588652482273E-3"/>
          <c:y val="0.95176950148112516"/>
          <c:w val="0.8539013048900802"/>
          <c:h val="3.0010718113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562699854618836E-2"/>
          <c:y val="0.1094354215003867"/>
          <c:w val="0.92687105438350814"/>
          <c:h val="0.71887120838433483"/>
        </c:manualLayout>
      </c:layout>
      <c:lineChart>
        <c:grouping val="standard"/>
        <c:varyColors val="0"/>
        <c:ser>
          <c:idx val="0"/>
          <c:order val="0"/>
          <c:tx>
            <c:strRef>
              <c:f>'Figs 5,6'!$M$107</c:f>
              <c:strCache>
                <c:ptCount val="1"/>
                <c:pt idx="0">
                  <c:v>All rail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5,6'!$M$108:$M$147</c:f>
              <c:numCache>
                <c:formatCode>#,##0.00</c:formatCode>
                <c:ptCount val="40"/>
                <c:pt idx="0">
                  <c:v>66.2</c:v>
                </c:pt>
                <c:pt idx="1">
                  <c:v>60.1</c:v>
                </c:pt>
                <c:pt idx="2">
                  <c:v>56.8</c:v>
                </c:pt>
                <c:pt idx="3">
                  <c:v>59.7</c:v>
                </c:pt>
                <c:pt idx="4">
                  <c:v>57.6</c:v>
                </c:pt>
                <c:pt idx="5">
                  <c:v>61.5</c:v>
                </c:pt>
                <c:pt idx="6">
                  <c:v>57.8</c:v>
                </c:pt>
                <c:pt idx="7">
                  <c:v>49.5</c:v>
                </c:pt>
                <c:pt idx="8">
                  <c:v>55.7</c:v>
                </c:pt>
                <c:pt idx="9">
                  <c:v>51.3</c:v>
                </c:pt>
                <c:pt idx="10">
                  <c:v>57.1</c:v>
                </c:pt>
                <c:pt idx="11">
                  <c:v>53.1</c:v>
                </c:pt>
                <c:pt idx="12">
                  <c:v>54.1</c:v>
                </c:pt>
                <c:pt idx="13">
                  <c:v>54</c:v>
                </c:pt>
                <c:pt idx="14">
                  <c:v>51.8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5,6'!$M$107</c:f>
              <c:strCache>
                <c:ptCount val="1"/>
                <c:pt idx="0">
                  <c:v>All rail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5,6'!$N$108:$N$147</c:f>
              <c:numCache>
                <c:formatCode>General_)</c:formatCode>
                <c:ptCount val="40"/>
                <c:pt idx="15" formatCode="#,##0.00">
                  <c:v>52.76</c:v>
                </c:pt>
                <c:pt idx="16" formatCode="#,##0.00">
                  <c:v>54.53</c:v>
                </c:pt>
                <c:pt idx="17" formatCode="#,##0.00">
                  <c:v>59.31</c:v>
                </c:pt>
                <c:pt idx="18" formatCode="#,##0.00">
                  <c:v>59.13</c:v>
                </c:pt>
                <c:pt idx="19" formatCode="#,##0.00">
                  <c:v>54.38</c:v>
                </c:pt>
                <c:pt idx="20" formatCode="#,##0.00">
                  <c:v>48.944000000000003</c:v>
                </c:pt>
                <c:pt idx="21" formatCode="#,##0.00">
                  <c:v>49.752000000000002</c:v>
                </c:pt>
                <c:pt idx="22" formatCode="#,##0.00">
                  <c:v>53.057000000000002</c:v>
                </c:pt>
                <c:pt idx="23" formatCode="#,##0.00">
                  <c:v>55.054000000000002</c:v>
                </c:pt>
                <c:pt idx="24" formatCode="#,##0.00">
                  <c:v>57.613999999999997</c:v>
                </c:pt>
                <c:pt idx="25" formatCode="#,##0.00">
                  <c:v>57.268999999999998</c:v>
                </c:pt>
                <c:pt idx="26" formatCode="#,##0.00">
                  <c:v>53.018267000000009</c:v>
                </c:pt>
                <c:pt idx="27" formatCode="#,##0.00">
                  <c:v>52.37623</c:v>
                </c:pt>
                <c:pt idx="28" formatCode="#,##0.00">
                  <c:v>55.892938999999998</c:v>
                </c:pt>
                <c:pt idx="29" formatCode="#,##0.00">
                  <c:v>61.256430999999999</c:v>
                </c:pt>
                <c:pt idx="30" formatCode="#,##0.00">
                  <c:v>66.735898999999989</c:v>
                </c:pt>
                <c:pt idx="31" formatCode="#,##0.00">
                  <c:v>69.785303999999996</c:v>
                </c:pt>
                <c:pt idx="32" formatCode="#,##0.00">
                  <c:v>72.744290000000007</c:v>
                </c:pt>
                <c:pt idx="33" formatCode="#,##0.00">
                  <c:v>76.256077703670073</c:v>
                </c:pt>
                <c:pt idx="34" formatCode="#,##0.00">
                  <c:v>76.473890324940314</c:v>
                </c:pt>
                <c:pt idx="35" formatCode="#,##0.00">
                  <c:v>79.4462863670296</c:v>
                </c:pt>
                <c:pt idx="36" formatCode="#,##0.00">
                  <c:v>83.310800000000015</c:v>
                </c:pt>
                <c:pt idx="37" formatCode="#,##0.00">
                  <c:v>85.752108000000007</c:v>
                </c:pt>
                <c:pt idx="38" formatCode="#,##0.00">
                  <c:v>86.7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 5,6'!$O$107</c:f>
              <c:strCache>
                <c:ptCount val="1"/>
                <c:pt idx="0">
                  <c:v>ScotRail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5,6'!$O$108:$O$147</c:f>
              <c:numCache>
                <c:formatCode>General_)</c:formatCode>
                <c:ptCount val="40"/>
                <c:pt idx="19" formatCode="#,##0.00">
                  <c:v>49.24</c:v>
                </c:pt>
                <c:pt idx="20" formatCode="#,##0.00">
                  <c:v>50.811</c:v>
                </c:pt>
                <c:pt idx="21" formatCode="#,##0.00">
                  <c:v>52.841999999999999</c:v>
                </c:pt>
                <c:pt idx="22" formatCode="#,##0.00">
                  <c:v>56.134999999999998</c:v>
                </c:pt>
                <c:pt idx="23" formatCode="#,##0.00">
                  <c:v>58.311</c:v>
                </c:pt>
                <c:pt idx="24" formatCode="#,##0.00">
                  <c:v>61.720999999999997</c:v>
                </c:pt>
                <c:pt idx="25" formatCode="#,##0.00">
                  <c:v>63.158000000000008</c:v>
                </c:pt>
                <c:pt idx="26" formatCode="#,##0.00">
                  <c:v>60.746181999999997</c:v>
                </c:pt>
                <c:pt idx="27" formatCode="#,##0.00">
                  <c:v>57.38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'Figs 5,6'!$Q$107</c:f>
              <c:strCache>
                <c:ptCount val="1"/>
                <c:pt idx="0">
                  <c:v>Air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"/>
            </a:ln>
          </c:spPr>
          <c:marker>
            <c:symbol val="square"/>
            <c:size val="9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5,6'!$Q$108:$Q$147</c:f>
              <c:numCache>
                <c:formatCode>#,##0.00</c:formatCode>
                <c:ptCount val="40"/>
                <c:pt idx="0">
                  <c:v>4.1837</c:v>
                </c:pt>
                <c:pt idx="1">
                  <c:v>4.7751999999999999</c:v>
                </c:pt>
                <c:pt idx="2">
                  <c:v>4.8456999999999999</c:v>
                </c:pt>
                <c:pt idx="3">
                  <c:v>5.8955000000000002</c:v>
                </c:pt>
                <c:pt idx="4">
                  <c:v>6.3316999999999997</c:v>
                </c:pt>
                <c:pt idx="5">
                  <c:v>6.3686999999999996</c:v>
                </c:pt>
                <c:pt idx="6">
                  <c:v>6.4984999999999999</c:v>
                </c:pt>
                <c:pt idx="7">
                  <c:v>6.3698999999999995</c:v>
                </c:pt>
                <c:pt idx="8">
                  <c:v>6.4828000000000001</c:v>
                </c:pt>
                <c:pt idx="9">
                  <c:v>6.9851000000000001</c:v>
                </c:pt>
                <c:pt idx="10">
                  <c:v>6.9426000000000005</c:v>
                </c:pt>
                <c:pt idx="11">
                  <c:v>7.2412999999999998</c:v>
                </c:pt>
                <c:pt idx="12">
                  <c:v>7.8103999999999996</c:v>
                </c:pt>
                <c:pt idx="13">
                  <c:v>8.507200000000001</c:v>
                </c:pt>
                <c:pt idx="14">
                  <c:v>9.2286000000000001</c:v>
                </c:pt>
                <c:pt idx="15">
                  <c:v>9.8613999999999997</c:v>
                </c:pt>
                <c:pt idx="16">
                  <c:v>9.5704999999999991</c:v>
                </c:pt>
                <c:pt idx="17">
                  <c:v>10.3828</c:v>
                </c:pt>
                <c:pt idx="18">
                  <c:v>11.120799999999999</c:v>
                </c:pt>
                <c:pt idx="19">
                  <c:v>11.787000000000001</c:v>
                </c:pt>
                <c:pt idx="20">
                  <c:v>12.313000000000001</c:v>
                </c:pt>
                <c:pt idx="21">
                  <c:v>13.214</c:v>
                </c:pt>
                <c:pt idx="22">
                  <c:v>14.391</c:v>
                </c:pt>
                <c:pt idx="23">
                  <c:v>15.193</c:v>
                </c:pt>
                <c:pt idx="24">
                  <c:v>15.941000000000001</c:v>
                </c:pt>
                <c:pt idx="25">
                  <c:v>16.786999999999999</c:v>
                </c:pt>
                <c:pt idx="26">
                  <c:v>18.081</c:v>
                </c:pt>
                <c:pt idx="27">
                  <c:v>19.783000000000001</c:v>
                </c:pt>
                <c:pt idx="28">
                  <c:v>21.084</c:v>
                </c:pt>
                <c:pt idx="29">
                  <c:v>22.554746000000002</c:v>
                </c:pt>
                <c:pt idx="30">
                  <c:v>23.795000000000002</c:v>
                </c:pt>
                <c:pt idx="31">
                  <c:v>24.44</c:v>
                </c:pt>
                <c:pt idx="32">
                  <c:v>25.13</c:v>
                </c:pt>
                <c:pt idx="33">
                  <c:v>24.347999999999999</c:v>
                </c:pt>
                <c:pt idx="34">
                  <c:v>22.495999999999999</c:v>
                </c:pt>
                <c:pt idx="35">
                  <c:v>20.907</c:v>
                </c:pt>
                <c:pt idx="36">
                  <c:v>22.065000000000001</c:v>
                </c:pt>
                <c:pt idx="37">
                  <c:v>22.207000000000001</c:v>
                </c:pt>
                <c:pt idx="38">
                  <c:v>23.25</c:v>
                </c:pt>
                <c:pt idx="39">
                  <c:v>24.076000000000001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5,6'!$R$108:$R$147</c:f>
              <c:numCache>
                <c:formatCode>#,##0.00</c:formatCode>
                <c:ptCount val="40"/>
                <c:pt idx="0">
                  <c:v>5.2789999999999999</c:v>
                </c:pt>
                <c:pt idx="1">
                  <c:v>5.1710000000000003</c:v>
                </c:pt>
                <c:pt idx="2">
                  <c:v>4.8170000000000002</c:v>
                </c:pt>
                <c:pt idx="3">
                  <c:v>4.6390000000000002</c:v>
                </c:pt>
                <c:pt idx="4">
                  <c:v>4.5590000000000002</c:v>
                </c:pt>
                <c:pt idx="5">
                  <c:v>4.4779999999999998</c:v>
                </c:pt>
                <c:pt idx="6">
                  <c:v>4.2699999999999996</c:v>
                </c:pt>
                <c:pt idx="7">
                  <c:v>4.1929999999999996</c:v>
                </c:pt>
                <c:pt idx="8">
                  <c:v>4.5110000000000001</c:v>
                </c:pt>
                <c:pt idx="9">
                  <c:v>4.665</c:v>
                </c:pt>
                <c:pt idx="10">
                  <c:v>4.6680000000000001</c:v>
                </c:pt>
                <c:pt idx="11">
                  <c:v>4.851</c:v>
                </c:pt>
                <c:pt idx="12">
                  <c:v>5.3460000000000001</c:v>
                </c:pt>
                <c:pt idx="13">
                  <c:v>5.6550000000000002</c:v>
                </c:pt>
                <c:pt idx="14">
                  <c:v>6.1760000000000002</c:v>
                </c:pt>
                <c:pt idx="15">
                  <c:v>6.5430000000000001</c:v>
                </c:pt>
                <c:pt idx="16">
                  <c:v>6.8</c:v>
                </c:pt>
                <c:pt idx="17">
                  <c:v>6.6269999999999998</c:v>
                </c:pt>
                <c:pt idx="18">
                  <c:v>6.6319999999999997</c:v>
                </c:pt>
                <c:pt idx="19">
                  <c:v>6.649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plus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5,6'!$S$108:$S$147</c:f>
              <c:numCache>
                <c:formatCode>General_)</c:formatCode>
                <c:ptCount val="40"/>
                <c:pt idx="20" formatCode="#,##0.00">
                  <c:v>6.8553000000000006</c:v>
                </c:pt>
                <c:pt idx="21" formatCode="#,##0.00">
                  <c:v>5.5889000000000006</c:v>
                </c:pt>
                <c:pt idx="22" formatCode="#,##0.00">
                  <c:v>5.6341000000000001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5,6'!$T$108:$T$145</c:f>
              <c:numCache>
                <c:formatCode>General_)</c:formatCode>
                <c:ptCount val="38"/>
                <c:pt idx="21" formatCode="#,##0.00">
                  <c:v>5.5889000000000006</c:v>
                </c:pt>
                <c:pt idx="22" formatCode="#,##0.00">
                  <c:v>5.6341000000000001</c:v>
                </c:pt>
                <c:pt idx="23" formatCode="#,##0.00">
                  <c:v>5.3306000000000004</c:v>
                </c:pt>
                <c:pt idx="24" formatCode="#,##0.00">
                  <c:v>5.327</c:v>
                </c:pt>
                <c:pt idx="25" formatCode="#,##0.00">
                  <c:v>5.2936999999999994</c:v>
                </c:pt>
                <c:pt idx="26" formatCode="#,##0.00">
                  <c:v>5.3037999999999998</c:v>
                </c:pt>
                <c:pt idx="27" formatCode="#,##0.00">
                  <c:v>5.3302269999999998</c:v>
                </c:pt>
                <c:pt idx="28" formatCode="#,##0.00">
                  <c:v>5.7135680000000004</c:v>
                </c:pt>
                <c:pt idx="29" formatCode="#,##0.00">
                  <c:v>5.9214670000000007</c:v>
                </c:pt>
                <c:pt idx="30" formatCode="#,##0.00">
                  <c:v>5.9711470000000002</c:v>
                </c:pt>
                <c:pt idx="31" formatCode="#,##0.00">
                  <c:v>5.396636</c:v>
                </c:pt>
                <c:pt idx="32" formatCode="#,##0.00">
                  <c:v>5.4045519999999998</c:v>
                </c:pt>
                <c:pt idx="33" formatCode="#,##0.00">
                  <c:v>5.148219000000001</c:v>
                </c:pt>
                <c:pt idx="34" formatCode="#,##0.00">
                  <c:v>5.4013329999999993</c:v>
                </c:pt>
                <c:pt idx="35" formatCode="#,##0.00">
                  <c:v>5.3725519999999998</c:v>
                </c:pt>
                <c:pt idx="36" formatCode="#,##0.00">
                  <c:v>5.2171419999999999</c:v>
                </c:pt>
                <c:pt idx="37" formatCode="#,##0.00">
                  <c:v>5.1467330000000002</c:v>
                </c:pt>
              </c:numCache>
            </c:numRef>
          </c:val>
          <c:smooth val="0"/>
        </c:ser>
        <c:ser>
          <c:idx val="7"/>
          <c:order val="7"/>
          <c:tx>
            <c:v>Scotrail</c:v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5,6'!$P$108:$P$147</c:f>
              <c:numCache>
                <c:formatCode>General_)</c:formatCode>
                <c:ptCount val="40"/>
                <c:pt idx="28" formatCode="#,##0.00">
                  <c:v>57.451000000000001</c:v>
                </c:pt>
                <c:pt idx="29" formatCode="#,##0.00">
                  <c:v>64.022999999999996</c:v>
                </c:pt>
                <c:pt idx="30" formatCode="#,##0.00">
                  <c:v>69.430000000000007</c:v>
                </c:pt>
                <c:pt idx="31" formatCode="#,##0.00">
                  <c:v>71.584999999999994</c:v>
                </c:pt>
                <c:pt idx="32" formatCode="#,##0.00">
                  <c:v>74.468000000000004</c:v>
                </c:pt>
                <c:pt idx="33" formatCode="#,##0.00">
                  <c:v>76.429000000000002</c:v>
                </c:pt>
                <c:pt idx="34" formatCode="#,##0.00">
                  <c:v>76.929000000000002</c:v>
                </c:pt>
                <c:pt idx="35" formatCode="#,##0.00">
                  <c:v>78.290000000000006</c:v>
                </c:pt>
                <c:pt idx="36" formatCode="#,##0.00">
                  <c:v>81.099999999999994</c:v>
                </c:pt>
                <c:pt idx="37" formatCode="#,##0.00">
                  <c:v>83.25</c:v>
                </c:pt>
                <c:pt idx="38" formatCode="#,##0.00">
                  <c:v>86.34</c:v>
                </c:pt>
                <c:pt idx="39" formatCode="#,##0.00">
                  <c:v>86.34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'Figs 5,6'!$U$107</c:f>
              <c:strCache>
                <c:ptCount val="1"/>
                <c:pt idx="0">
                  <c:v>Ferry (all services)</c:v>
                </c:pt>
              </c:strCache>
            </c:strRef>
          </c:tx>
          <c:spPr>
            <a:ln w="38100">
              <a:solidFill>
                <a:srgbClr val="1616F6"/>
              </a:solidFill>
              <a:prstDash val="lgDash"/>
            </a:ln>
          </c:spPr>
          <c:marker>
            <c:symbol val="circle"/>
            <c:size val="5"/>
            <c:spPr>
              <a:noFill/>
              <a:ln w="25400">
                <a:solidFill>
                  <a:srgbClr val="1616F6"/>
                </a:solidFill>
              </a:ln>
            </c:spPr>
          </c:marker>
          <c:cat>
            <c:numRef>
              <c:f>'Figs 5,6'!$L$108:$L$146</c:f>
              <c:numCache>
                <c:formatCode>0</c:formatCode>
                <c:ptCount val="3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</c:numCache>
            </c:numRef>
          </c:cat>
          <c:val>
            <c:numRef>
              <c:f>'Figs 5,6'!$U$108:$U$147</c:f>
              <c:numCache>
                <c:formatCode>General_)</c:formatCode>
                <c:ptCount val="40"/>
                <c:pt idx="17" formatCode="0.00">
                  <c:v>9.1589740000000006</c:v>
                </c:pt>
                <c:pt idx="18" formatCode="0.00">
                  <c:v>9.5338220000000007</c:v>
                </c:pt>
                <c:pt idx="19" formatCode="0.00">
                  <c:v>9.6359860000000008</c:v>
                </c:pt>
                <c:pt idx="20" formatCode="0.00">
                  <c:v>10.4930865</c:v>
                </c:pt>
                <c:pt idx="21" formatCode="0.00">
                  <c:v>9.3271844999999995</c:v>
                </c:pt>
                <c:pt idx="22" formatCode="0.00">
                  <c:v>9.9245145000000008</c:v>
                </c:pt>
                <c:pt idx="23" formatCode="0.00">
                  <c:v>9.6408050000000003</c:v>
                </c:pt>
                <c:pt idx="24" formatCode="0.00">
                  <c:v>9.9601620000000004</c:v>
                </c:pt>
                <c:pt idx="25" formatCode="0.00">
                  <c:v>9.798566000000001</c:v>
                </c:pt>
                <c:pt idx="26" formatCode="0.00">
                  <c:v>9.7894550000000002</c:v>
                </c:pt>
                <c:pt idx="27" formatCode="0.00">
                  <c:v>9.9714330000000011</c:v>
                </c:pt>
                <c:pt idx="28" formatCode="0.00">
                  <c:v>10.671361999999998</c:v>
                </c:pt>
                <c:pt idx="29" formatCode="0.00">
                  <c:v>10.837052000000003</c:v>
                </c:pt>
                <c:pt idx="30" formatCode="0.00">
                  <c:v>10.572758999999998</c:v>
                </c:pt>
                <c:pt idx="31" formatCode="0.00">
                  <c:v>10.588667000000001</c:v>
                </c:pt>
                <c:pt idx="32" formatCode="0.00">
                  <c:v>10.720838000000001</c:v>
                </c:pt>
                <c:pt idx="33" formatCode="0.00">
                  <c:v>10.013630000000001</c:v>
                </c:pt>
                <c:pt idx="34" formatCode="0.00">
                  <c:v>10.218646</c:v>
                </c:pt>
                <c:pt idx="35" formatCode="0.00">
                  <c:v>9.9904419999999998</c:v>
                </c:pt>
                <c:pt idx="36" formatCode="0.00">
                  <c:v>9.6309830000000005</c:v>
                </c:pt>
                <c:pt idx="37" formatCode="0.00">
                  <c:v>9.6975620000000013</c:v>
                </c:pt>
                <c:pt idx="38" formatCode="0.00">
                  <c:v>10.2216</c:v>
                </c:pt>
                <c:pt idx="39" formatCode="0.00">
                  <c:v>10.244899999999999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76448"/>
        <c:axId val="96145408"/>
      </c:lineChart>
      <c:catAx>
        <c:axId val="9397644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4540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9614540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9.4752186588921289E-3"/>
              <c:y val="4.640371229698375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76448"/>
        <c:crosses val="autoZero"/>
        <c:crossBetween val="midCat"/>
      </c:valAx>
      <c:spPr>
        <a:solidFill>
          <a:srgbClr val="FFFFFF"/>
        </a:solidFill>
        <a:ln w="3175">
          <a:solidFill>
            <a:srgbClr val="E3E3E3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1.8221574344023325E-2"/>
          <c:y val="0.93387519715487999"/>
          <c:w val="0.65573884897040935"/>
          <c:h val="3.3146378744420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4910011969122"/>
          <c:y val="5.4054212574525425E-2"/>
          <c:w val="0.83658232157040735"/>
          <c:h val="0.61561742098765071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9'!$A$62</c:f>
              <c:strCache>
                <c:ptCount val="1"/>
                <c:pt idx="0">
                  <c:v>Scotland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7, 8, 9'!$D$61:$N$61</c:f>
              <c:numCache>
                <c:formatCode>General_)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'Figs 7, 8, 9'!$D$62:$N$62</c:f>
              <c:numCache>
                <c:formatCode>General_)</c:formatCode>
                <c:ptCount val="11"/>
                <c:pt idx="0">
                  <c:v>48.151839977971406</c:v>
                </c:pt>
                <c:pt idx="1">
                  <c:v>49.534930139720558</c:v>
                </c:pt>
                <c:pt idx="2">
                  <c:v>49.956030468917419</c:v>
                </c:pt>
                <c:pt idx="3">
                  <c:v>50.812050290135396</c:v>
                </c:pt>
                <c:pt idx="4">
                  <c:v>51.225009129523919</c:v>
                </c:pt>
                <c:pt idx="5">
                  <c:v>51.298706015023214</c:v>
                </c:pt>
                <c:pt idx="6">
                  <c:v>51.018243320284292</c:v>
                </c:pt>
                <c:pt idx="7">
                  <c:v>50.774542915904078</c:v>
                </c:pt>
                <c:pt idx="8">
                  <c:v>51.132941884974407</c:v>
                </c:pt>
                <c:pt idx="9">
                  <c:v>51.785948908534642</c:v>
                </c:pt>
                <c:pt idx="10">
                  <c:v>52.759368688757561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 7, 8, 9'!$A$63</c:f>
              <c:strCache>
                <c:ptCount val="1"/>
                <c:pt idx="0">
                  <c:v>GB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7, 8, 9'!$D$61:$N$61</c:f>
              <c:numCache>
                <c:formatCode>General_)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'Figs 7, 8, 9'!$D$63:$N$63</c:f>
              <c:numCache>
                <c:formatCode>General_)</c:formatCode>
                <c:ptCount val="11"/>
                <c:pt idx="0">
                  <c:v>55.393264705143977</c:v>
                </c:pt>
                <c:pt idx="1">
                  <c:v>56.056395354474269</c:v>
                </c:pt>
                <c:pt idx="2">
                  <c:v>55.972022454692173</c:v>
                </c:pt>
                <c:pt idx="3">
                  <c:v>56.501770594655987</c:v>
                </c:pt>
                <c:pt idx="4">
                  <c:v>56.430337971994838</c:v>
                </c:pt>
                <c:pt idx="5">
                  <c:v>56.160125481680936</c:v>
                </c:pt>
                <c:pt idx="6">
                  <c:v>55.976308802697361</c:v>
                </c:pt>
                <c:pt idx="7">
                  <c:v>55.682663908198272</c:v>
                </c:pt>
                <c:pt idx="8">
                  <c:v>55.787884940410848</c:v>
                </c:pt>
                <c:pt idx="9">
                  <c:v>56.256867721716368</c:v>
                </c:pt>
                <c:pt idx="10">
                  <c:v>56.780168873687089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60768"/>
        <c:axId val="96162560"/>
      </c:lineChart>
      <c:catAx>
        <c:axId val="9616076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6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16256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60768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963114817748373E-3"/>
          <c:y val="0.85886138106610543"/>
          <c:w val="0.86956591964465979"/>
          <c:h val="7.20723873479779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Style="combo" dx="16" fmlaLink="L!$A$9" fmlaRange="L!$B$2:$B$8" noThreeD="1" sel="6" val="0"/>
</file>

<file path=xl/ctrlProps/ctrlProp2.xml><?xml version="1.0" encoding="utf-8"?>
<formControlPr xmlns="http://schemas.microsoft.com/office/spreadsheetml/2009/9/main" objectType="Drop" dropStyle="combo" dx="16" fmlaLink="L!$C$41" fmlaRange="Topic" noThreeD="1" sel="6" val="0"/>
</file>

<file path=xl/ctrlProps/ctrlProp3.xml><?xml version="1.0" encoding="utf-8"?>
<formControlPr xmlns="http://schemas.microsoft.com/office/spreadsheetml/2009/9/main" objectType="Drop" dropStyle="combo" dx="16" fmlaLink="L!$H$10" fmlaRange="L!$K$2:$K$9" noThreeD="1" val="0"/>
</file>

<file path=xl/ctrlProps/ctrlProp4.xml><?xml version="1.0" encoding="utf-8"?>
<formControlPr xmlns="http://schemas.microsoft.com/office/spreadsheetml/2009/9/main" objectType="Drop" dropStyle="combo" dx="16" fmlaLink="L!$H$11" fmlaRange="L!$K$2:$K$9" noThreeD="1" sel="2" val="0"/>
</file>

<file path=xl/ctrlProps/ctrlProp5.xml><?xml version="1.0" encoding="utf-8"?>
<formControlPr xmlns="http://schemas.microsoft.com/office/spreadsheetml/2009/9/main" objectType="Drop" dropStyle="combo" dx="16" fmlaLink="L!$H$12" fmlaRange="L!$K$2:$K$9" noThreeD="1" sel="3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4</xdr:col>
          <xdr:colOff>9525</xdr:colOff>
          <xdr:row>6</xdr:row>
          <xdr:rowOff>0</xdr:rowOff>
        </xdr:to>
        <xdr:sp macro="" textlink="">
          <xdr:nvSpPr>
            <xdr:cNvPr id="2871297" name="Drop Down 1" hidden="1">
              <a:extLst>
                <a:ext uri="{63B3BB69-23CF-44E3-9099-C40C66FF867C}">
                  <a14:compatExt spid="_x0000_s287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2871298" name="Drop Down 2" hidden="1">
              <a:extLst>
                <a:ext uri="{63B3BB69-23CF-44E3-9099-C40C66FF867C}">
                  <a14:compatExt spid="_x0000_s287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304800</xdr:colOff>
      <xdr:row>18</xdr:row>
      <xdr:rowOff>123825</xdr:rowOff>
    </xdr:from>
    <xdr:to>
      <xdr:col>7</xdr:col>
      <xdr:colOff>333375</xdr:colOff>
      <xdr:row>39</xdr:row>
      <xdr:rowOff>95250</xdr:rowOff>
    </xdr:to>
    <xdr:graphicFrame macro="">
      <xdr:nvGraphicFramePr>
        <xdr:cNvPr id="28716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161925</xdr:colOff>
      <xdr:row>18</xdr:row>
      <xdr:rowOff>123825</xdr:rowOff>
    </xdr:from>
    <xdr:to>
      <xdr:col>15</xdr:col>
      <xdr:colOff>485775</xdr:colOff>
      <xdr:row>39</xdr:row>
      <xdr:rowOff>95250</xdr:rowOff>
    </xdr:to>
    <xdr:graphicFrame macro="">
      <xdr:nvGraphicFramePr>
        <xdr:cNvPr id="287163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0</xdr:rowOff>
        </xdr:from>
        <xdr:to>
          <xdr:col>10</xdr:col>
          <xdr:colOff>590550</xdr:colOff>
          <xdr:row>6</xdr:row>
          <xdr:rowOff>0</xdr:rowOff>
        </xdr:to>
        <xdr:sp macro="" textlink="">
          <xdr:nvSpPr>
            <xdr:cNvPr id="2871300" name="Drop Down 4" hidden="1">
              <a:extLst>
                <a:ext uri="{63B3BB69-23CF-44E3-9099-C40C66FF867C}">
                  <a14:compatExt spid="_x0000_s287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</xdr:row>
          <xdr:rowOff>0</xdr:rowOff>
        </xdr:from>
        <xdr:to>
          <xdr:col>13</xdr:col>
          <xdr:colOff>0</xdr:colOff>
          <xdr:row>6</xdr:row>
          <xdr:rowOff>0</xdr:rowOff>
        </xdr:to>
        <xdr:sp macro="" textlink="">
          <xdr:nvSpPr>
            <xdr:cNvPr id="2871313" name="Drop Down 17" hidden="1">
              <a:extLst>
                <a:ext uri="{63B3BB69-23CF-44E3-9099-C40C66FF867C}">
                  <a14:compatExt spid="_x0000_s287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0</xdr:rowOff>
        </xdr:from>
        <xdr:to>
          <xdr:col>15</xdr:col>
          <xdr:colOff>285750</xdr:colOff>
          <xdr:row>6</xdr:row>
          <xdr:rowOff>0</xdr:rowOff>
        </xdr:to>
        <xdr:sp macro="" textlink="">
          <xdr:nvSpPr>
            <xdr:cNvPr id="2871314" name="Drop Down 18" hidden="1">
              <a:extLst>
                <a:ext uri="{63B3BB69-23CF-44E3-9099-C40C66FF867C}">
                  <a14:compatExt spid="_x0000_s287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15</xdr:col>
      <xdr:colOff>361950</xdr:colOff>
      <xdr:row>2</xdr:row>
      <xdr:rowOff>28575</xdr:rowOff>
    </xdr:from>
    <xdr:to>
      <xdr:col>16</xdr:col>
      <xdr:colOff>190500</xdr:colOff>
      <xdr:row>6</xdr:row>
      <xdr:rowOff>19050</xdr:rowOff>
    </xdr:to>
    <xdr:pic>
      <xdr:nvPicPr>
        <xdr:cNvPr id="2871639" name="Picture 14" descr="http://cms.ukintpress.com/UserFiles/Transport-Scotland-log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33350"/>
          <a:ext cx="6096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38100</xdr:rowOff>
    </xdr:from>
    <xdr:to>
      <xdr:col>15</xdr:col>
      <xdr:colOff>571500</xdr:colOff>
      <xdr:row>41</xdr:row>
      <xdr:rowOff>76200</xdr:rowOff>
    </xdr:to>
    <xdr:graphicFrame macro="">
      <xdr:nvGraphicFramePr>
        <xdr:cNvPr id="69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46</xdr:row>
      <xdr:rowOff>133350</xdr:rowOff>
    </xdr:from>
    <xdr:to>
      <xdr:col>15</xdr:col>
      <xdr:colOff>571500</xdr:colOff>
      <xdr:row>88</xdr:row>
      <xdr:rowOff>38100</xdr:rowOff>
    </xdr:to>
    <xdr:graphicFrame macro="">
      <xdr:nvGraphicFramePr>
        <xdr:cNvPr id="69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16</xdr:col>
      <xdr:colOff>704850</xdr:colOff>
      <xdr:row>41</xdr:row>
      <xdr:rowOff>171450</xdr:rowOff>
    </xdr:to>
    <xdr:graphicFrame macro="">
      <xdr:nvGraphicFramePr>
        <xdr:cNvPr id="79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17</xdr:col>
      <xdr:colOff>19050</xdr:colOff>
      <xdr:row>79</xdr:row>
      <xdr:rowOff>171450</xdr:rowOff>
    </xdr:to>
    <xdr:graphicFrame macro="">
      <xdr:nvGraphicFramePr>
        <xdr:cNvPr id="79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95250</xdr:rowOff>
    </xdr:from>
    <xdr:to>
      <xdr:col>18</xdr:col>
      <xdr:colOff>228600</xdr:colOff>
      <xdr:row>48</xdr:row>
      <xdr:rowOff>171450</xdr:rowOff>
    </xdr:to>
    <xdr:graphicFrame macro="">
      <xdr:nvGraphicFramePr>
        <xdr:cNvPr id="89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514350</xdr:colOff>
      <xdr:row>58</xdr:row>
      <xdr:rowOff>57150</xdr:rowOff>
    </xdr:from>
    <xdr:to>
      <xdr:col>18</xdr:col>
      <xdr:colOff>209550</xdr:colOff>
      <xdr:row>101</xdr:row>
      <xdr:rowOff>76200</xdr:rowOff>
    </xdr:to>
    <xdr:graphicFrame macro="">
      <xdr:nvGraphicFramePr>
        <xdr:cNvPr id="89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352425</xdr:colOff>
      <xdr:row>17</xdr:row>
      <xdr:rowOff>142875</xdr:rowOff>
    </xdr:to>
    <xdr:graphicFrame macro="">
      <xdr:nvGraphicFramePr>
        <xdr:cNvPr id="40582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104775</xdr:rowOff>
    </xdr:from>
    <xdr:to>
      <xdr:col>6</xdr:col>
      <xdr:colOff>381000</xdr:colOff>
      <xdr:row>37</xdr:row>
      <xdr:rowOff>180975</xdr:rowOff>
    </xdr:to>
    <xdr:graphicFrame macro="">
      <xdr:nvGraphicFramePr>
        <xdr:cNvPr id="40582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28575</xdr:rowOff>
    </xdr:from>
    <xdr:to>
      <xdr:col>6</xdr:col>
      <xdr:colOff>409575</xdr:colOff>
      <xdr:row>56</xdr:row>
      <xdr:rowOff>180975</xdr:rowOff>
    </xdr:to>
    <xdr:graphicFrame macro="">
      <xdr:nvGraphicFramePr>
        <xdr:cNvPr id="40582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17</xdr:col>
      <xdr:colOff>2266950</xdr:colOff>
      <xdr:row>31</xdr:row>
      <xdr:rowOff>9525</xdr:rowOff>
    </xdr:to>
    <xdr:graphicFrame macro="">
      <xdr:nvGraphicFramePr>
        <xdr:cNvPr id="110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17</xdr:col>
      <xdr:colOff>2381250</xdr:colOff>
      <xdr:row>63</xdr:row>
      <xdr:rowOff>1181100</xdr:rowOff>
    </xdr:to>
    <xdr:graphicFrame macro="">
      <xdr:nvGraphicFramePr>
        <xdr:cNvPr id="110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asd\Tran%20Stats\exeldata\sts\sts06\summary%20Jun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"/>
      <sheetName val="pop"/>
      <sheetName val="S1 Numbers"/>
      <sheetName val="Table S2 Index"/>
      <sheetName val="S3 SHS"/>
      <sheetName val="S4 Cross Border"/>
      <sheetName val="Table SGB1 comp num"/>
      <sheetName val="Table SGB2 comp index"/>
      <sheetName val="Table SGB3 comp rel. to pop."/>
      <sheetName val="H1 passenger"/>
      <sheetName val="h2 a freight tonnes"/>
      <sheetName val="H2 b freight tonne km"/>
      <sheetName val="H3 traffic"/>
      <sheetName val="H4 other"/>
      <sheetName val="Figs1,2"/>
      <sheetName val="Figs3,4"/>
      <sheetName val="Figs5,6"/>
      <sheetName val="Figs7,8"/>
      <sheetName val="Figs 9, 10, 11"/>
      <sheetName val="cross"/>
      <sheetName val="Tsumm1"/>
      <sheetName val="Tsumm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B28"/>
  <sheetViews>
    <sheetView zoomScale="85" workbookViewId="0">
      <pane xSplit="1" ySplit="2" topLeftCell="B3" activePane="bottomRight" state="frozen"/>
      <selection activeCell="N6" sqref="N6"/>
      <selection pane="topRight" activeCell="N6" sqref="N6"/>
      <selection pane="bottomLeft" activeCell="N6" sqref="N6"/>
      <selection pane="bottomRight" activeCell="AA14" sqref="AA14"/>
    </sheetView>
  </sheetViews>
  <sheetFormatPr defaultColWidth="11.42578125" defaultRowHeight="12.75"/>
  <cols>
    <col min="1" max="1" width="11.42578125" style="221" customWidth="1"/>
    <col min="2" max="12" width="14.28515625" style="221" hidden="1" customWidth="1"/>
    <col min="13" max="13" width="13.85546875" style="221" hidden="1" customWidth="1"/>
    <col min="14" max="14" width="14.28515625" style="221" hidden="1" customWidth="1"/>
    <col min="15" max="16" width="14.28515625" style="221" bestFit="1" customWidth="1"/>
    <col min="17" max="17" width="11.7109375" style="221" customWidth="1"/>
    <col min="18" max="18" width="12.42578125" style="221" customWidth="1"/>
    <col min="19" max="19" width="13.140625" style="221" customWidth="1"/>
    <col min="20" max="20" width="11.42578125" style="221" customWidth="1"/>
    <col min="21" max="28" width="14.28515625" style="221" bestFit="1" customWidth="1"/>
    <col min="29" max="16384" width="11.42578125" style="221"/>
  </cols>
  <sheetData>
    <row r="1" spans="1:28">
      <c r="A1" s="226" t="s">
        <v>437</v>
      </c>
      <c r="B1" s="222"/>
      <c r="C1" s="222"/>
      <c r="D1" s="222"/>
      <c r="E1" s="222"/>
      <c r="F1" s="222"/>
      <c r="G1" s="222"/>
    </row>
    <row r="2" spans="1:28">
      <c r="B2" s="223">
        <v>1988</v>
      </c>
      <c r="C2" s="223">
        <v>1989</v>
      </c>
      <c r="D2" s="223">
        <v>1990</v>
      </c>
      <c r="E2" s="223">
        <v>1991</v>
      </c>
      <c r="F2" s="223">
        <v>1992</v>
      </c>
      <c r="G2" s="223">
        <v>1993</v>
      </c>
      <c r="H2" s="223">
        <v>1994</v>
      </c>
      <c r="I2" s="223">
        <v>1995</v>
      </c>
      <c r="J2" s="223">
        <v>1996</v>
      </c>
      <c r="K2" s="223">
        <v>1997</v>
      </c>
      <c r="L2" s="223">
        <v>1998</v>
      </c>
      <c r="M2" s="223">
        <v>1999</v>
      </c>
      <c r="N2" s="224" t="s">
        <v>364</v>
      </c>
      <c r="O2" s="223">
        <v>2001</v>
      </c>
      <c r="P2" s="223">
        <v>2002</v>
      </c>
      <c r="Q2" s="225">
        <v>2003</v>
      </c>
      <c r="R2" s="225">
        <v>2004</v>
      </c>
      <c r="S2" s="225">
        <v>2005</v>
      </c>
      <c r="T2" s="225">
        <v>2006</v>
      </c>
      <c r="U2" s="225">
        <v>2007</v>
      </c>
      <c r="V2" s="226">
        <v>2008</v>
      </c>
      <c r="W2" s="226">
        <v>2009</v>
      </c>
      <c r="X2" s="227">
        <v>2010</v>
      </c>
      <c r="Y2" s="226">
        <v>2011</v>
      </c>
      <c r="Z2" s="227">
        <v>2012</v>
      </c>
      <c r="AA2" s="226">
        <v>2013</v>
      </c>
      <c r="AB2" s="227">
        <v>2014</v>
      </c>
    </row>
    <row r="3" spans="1:28">
      <c r="A3" s="221" t="s">
        <v>365</v>
      </c>
      <c r="B3" s="228"/>
      <c r="C3" s="228"/>
      <c r="D3" s="228"/>
      <c r="E3" s="190"/>
      <c r="F3" s="190"/>
      <c r="G3" s="190"/>
      <c r="H3" s="190"/>
      <c r="I3" s="190"/>
      <c r="J3" s="190"/>
      <c r="K3" s="190"/>
      <c r="L3" s="190"/>
      <c r="M3" s="190"/>
      <c r="N3" s="229"/>
      <c r="O3" s="190">
        <v>49449746</v>
      </c>
      <c r="P3" s="190">
        <v>49679267</v>
      </c>
      <c r="Q3" s="190">
        <v>49925517</v>
      </c>
      <c r="R3" s="190">
        <v>50194600</v>
      </c>
      <c r="S3" s="190">
        <v>50606034</v>
      </c>
      <c r="T3" s="190">
        <v>50965186</v>
      </c>
      <c r="U3" s="191">
        <v>51381093</v>
      </c>
      <c r="V3" s="191">
        <v>51815853</v>
      </c>
      <c r="W3" s="191">
        <v>52196381</v>
      </c>
      <c r="X3" s="230">
        <v>52642452</v>
      </c>
      <c r="Y3" s="290">
        <v>53107169</v>
      </c>
      <c r="Z3" s="290">
        <v>53493729</v>
      </c>
      <c r="AA3" s="290">
        <v>53865817</v>
      </c>
      <c r="AB3" s="290">
        <v>54316618</v>
      </c>
    </row>
    <row r="4" spans="1:28">
      <c r="A4" s="221" t="s">
        <v>367</v>
      </c>
      <c r="B4" s="228"/>
      <c r="C4" s="228"/>
      <c r="D4" s="228"/>
      <c r="E4" s="190"/>
      <c r="F4" s="190"/>
      <c r="G4" s="190"/>
      <c r="H4" s="190"/>
      <c r="I4" s="190"/>
      <c r="J4" s="190"/>
      <c r="K4" s="190"/>
      <c r="L4" s="190"/>
      <c r="M4" s="190"/>
      <c r="N4" s="229"/>
      <c r="O4" s="190">
        <v>2910232</v>
      </c>
      <c r="P4" s="190">
        <v>2922876</v>
      </c>
      <c r="Q4" s="190">
        <v>2937721</v>
      </c>
      <c r="R4" s="190">
        <v>2957422</v>
      </c>
      <c r="S4" s="190">
        <v>2969309</v>
      </c>
      <c r="T4" s="190">
        <v>2985668</v>
      </c>
      <c r="U4" s="191">
        <v>3006299</v>
      </c>
      <c r="V4" s="191">
        <v>3025867</v>
      </c>
      <c r="W4" s="191">
        <v>3038872</v>
      </c>
      <c r="X4" s="230">
        <v>3049971</v>
      </c>
      <c r="Y4" s="290">
        <v>3063758</v>
      </c>
      <c r="Z4" s="290">
        <v>3074067</v>
      </c>
      <c r="AA4" s="290">
        <v>3082412</v>
      </c>
      <c r="AB4" s="290">
        <v>3092036</v>
      </c>
    </row>
    <row r="5" spans="1:28">
      <c r="A5" s="221" t="s">
        <v>123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>
        <v>5064200</v>
      </c>
      <c r="P5" s="230">
        <v>5066000</v>
      </c>
      <c r="Q5" s="230">
        <v>5068500</v>
      </c>
      <c r="R5" s="230">
        <v>5084300</v>
      </c>
      <c r="S5" s="230">
        <v>5110200</v>
      </c>
      <c r="T5" s="230">
        <v>5133100</v>
      </c>
      <c r="U5" s="232">
        <v>5170000</v>
      </c>
      <c r="V5" s="232">
        <v>5202900</v>
      </c>
      <c r="W5" s="232">
        <v>5231900</v>
      </c>
      <c r="X5" s="232">
        <v>5262200</v>
      </c>
      <c r="Y5" s="232">
        <v>5299900</v>
      </c>
      <c r="Z5" s="232">
        <v>5313600</v>
      </c>
      <c r="AA5" s="232">
        <v>5327700</v>
      </c>
      <c r="AB5" s="290">
        <v>5347600</v>
      </c>
    </row>
    <row r="6" spans="1:28">
      <c r="A6" s="221" t="s">
        <v>124</v>
      </c>
      <c r="B6" s="231"/>
      <c r="C6" s="231"/>
      <c r="D6" s="231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>
        <v>57424178</v>
      </c>
      <c r="P6" s="233">
        <v>57668143</v>
      </c>
      <c r="Q6" s="233">
        <v>57931738</v>
      </c>
      <c r="R6" s="230">
        <v>58236322</v>
      </c>
      <c r="S6" s="233">
        <v>58685543</v>
      </c>
      <c r="T6" s="231">
        <v>59083954</v>
      </c>
      <c r="U6" s="191">
        <v>59557392</v>
      </c>
      <c r="V6" s="191">
        <v>60044620</v>
      </c>
      <c r="W6" s="191">
        <v>60467153</v>
      </c>
      <c r="X6" s="230">
        <v>60954623</v>
      </c>
      <c r="Y6" s="290">
        <v>61470827</v>
      </c>
      <c r="Z6" s="290">
        <v>61881396</v>
      </c>
      <c r="AA6" s="290">
        <v>62275929</v>
      </c>
      <c r="AB6" s="290">
        <v>62756254</v>
      </c>
    </row>
    <row r="7" spans="1:28">
      <c r="A7" s="221" t="s">
        <v>368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>
        <v>1688838</v>
      </c>
      <c r="P7" s="190">
        <v>1697534</v>
      </c>
      <c r="Q7" s="233">
        <v>1704924</v>
      </c>
      <c r="R7" s="190">
        <v>1714042</v>
      </c>
      <c r="S7" s="190">
        <v>1727733</v>
      </c>
      <c r="T7" s="190">
        <v>1743113</v>
      </c>
      <c r="U7" s="191">
        <v>1761683</v>
      </c>
      <c r="V7" s="191">
        <v>1779152</v>
      </c>
      <c r="W7" s="191">
        <v>1793333</v>
      </c>
      <c r="X7" s="230">
        <v>1804833</v>
      </c>
      <c r="Y7" s="290">
        <v>1814318</v>
      </c>
      <c r="Z7" s="290">
        <v>1823634</v>
      </c>
      <c r="AA7" s="290">
        <v>1829725</v>
      </c>
      <c r="AB7" s="290">
        <v>1840498</v>
      </c>
    </row>
    <row r="8" spans="1:28" s="230" customFormat="1">
      <c r="A8" s="234" t="s">
        <v>131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>
        <v>59113016</v>
      </c>
      <c r="P8" s="235">
        <v>59365677</v>
      </c>
      <c r="Q8" s="236">
        <v>59636662</v>
      </c>
      <c r="R8" s="190">
        <v>59950364</v>
      </c>
      <c r="S8" s="190">
        <v>60413276</v>
      </c>
      <c r="T8" s="190">
        <v>60827067</v>
      </c>
      <c r="U8" s="191">
        <v>61319075</v>
      </c>
      <c r="V8" s="191">
        <v>61823772</v>
      </c>
      <c r="W8" s="191">
        <v>62260486</v>
      </c>
      <c r="X8" s="230">
        <v>62759456</v>
      </c>
      <c r="Y8" s="290">
        <v>63285145</v>
      </c>
      <c r="Z8" s="290">
        <v>63705030</v>
      </c>
      <c r="AA8" s="230">
        <v>64105654</v>
      </c>
      <c r="AB8" s="290">
        <v>64596752</v>
      </c>
    </row>
    <row r="9" spans="1:28" s="230" customFormat="1">
      <c r="R9" s="190"/>
      <c r="S9" s="190"/>
    </row>
    <row r="10" spans="1:28">
      <c r="A10" s="237"/>
      <c r="B10" s="238"/>
      <c r="C10" s="238"/>
      <c r="D10" s="238"/>
      <c r="E10" s="352"/>
      <c r="F10" s="352"/>
      <c r="G10" s="352"/>
      <c r="H10" s="352"/>
      <c r="L10" s="237" t="s">
        <v>369</v>
      </c>
      <c r="M10" s="237"/>
      <c r="S10" s="190"/>
      <c r="AB10" s="682"/>
    </row>
    <row r="13" spans="1:28">
      <c r="E13" s="231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</row>
    <row r="19" spans="1:27">
      <c r="A19" s="226" t="s">
        <v>436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</row>
    <row r="20" spans="1:27">
      <c r="B20" s="351">
        <v>1988</v>
      </c>
      <c r="C20" s="351">
        <v>1989</v>
      </c>
      <c r="D20" s="351">
        <v>1990</v>
      </c>
      <c r="E20" s="351">
        <v>1991</v>
      </c>
      <c r="F20" s="351">
        <v>1992</v>
      </c>
      <c r="G20" s="351">
        <v>1993</v>
      </c>
      <c r="H20" s="351">
        <v>1994</v>
      </c>
      <c r="I20" s="351">
        <v>1995</v>
      </c>
      <c r="J20" s="351">
        <v>1996</v>
      </c>
      <c r="K20" s="351">
        <v>1997</v>
      </c>
      <c r="L20" s="351">
        <v>1998</v>
      </c>
      <c r="M20" s="351">
        <v>1999</v>
      </c>
      <c r="N20" s="351" t="s">
        <v>364</v>
      </c>
      <c r="O20" s="351">
        <v>2001</v>
      </c>
      <c r="P20" s="351">
        <v>2002</v>
      </c>
      <c r="Q20" s="351">
        <v>2003</v>
      </c>
      <c r="R20" s="351">
        <v>2004</v>
      </c>
      <c r="S20" s="351">
        <v>2005</v>
      </c>
      <c r="T20" s="351">
        <v>2006</v>
      </c>
      <c r="U20" s="351">
        <v>2007</v>
      </c>
      <c r="V20" s="351">
        <v>2008</v>
      </c>
      <c r="W20" s="351">
        <v>2009</v>
      </c>
      <c r="X20" s="351">
        <v>2010</v>
      </c>
      <c r="Y20" s="351">
        <v>2011</v>
      </c>
      <c r="Z20" s="351"/>
      <c r="AA20" s="351"/>
    </row>
    <row r="21" spans="1:27">
      <c r="A21" s="221" t="s">
        <v>365</v>
      </c>
      <c r="B21" s="230" t="s">
        <v>366</v>
      </c>
      <c r="C21" s="230" t="s">
        <v>366</v>
      </c>
      <c r="D21" s="230" t="s">
        <v>366</v>
      </c>
      <c r="E21" s="230">
        <v>47875000</v>
      </c>
      <c r="F21" s="230">
        <v>47996100</v>
      </c>
      <c r="G21" s="230">
        <v>48100500</v>
      </c>
      <c r="H21" s="230">
        <v>48222900</v>
      </c>
      <c r="I21" s="230">
        <v>48365000</v>
      </c>
      <c r="J21" s="230">
        <v>48496200</v>
      </c>
      <c r="K21" s="230">
        <v>48635900</v>
      </c>
      <c r="L21" s="230">
        <v>48789200</v>
      </c>
      <c r="M21" s="230">
        <v>48987000</v>
      </c>
      <c r="N21" s="230">
        <v>49166600</v>
      </c>
      <c r="O21" s="230">
        <v>49390000</v>
      </c>
      <c r="P21" s="230">
        <v>49559000</v>
      </c>
      <c r="Q21" s="230">
        <v>49855700</v>
      </c>
      <c r="R21" s="230">
        <v>50093800</v>
      </c>
      <c r="S21" s="230">
        <v>50431700</v>
      </c>
      <c r="T21" s="230">
        <v>50762900</v>
      </c>
      <c r="U21" s="230">
        <v>51092000</v>
      </c>
      <c r="V21" s="230">
        <v>51446200</v>
      </c>
      <c r="W21" s="230">
        <v>51446200</v>
      </c>
      <c r="X21" s="230">
        <v>52234000</v>
      </c>
      <c r="Y21" s="230">
        <v>53107200</v>
      </c>
      <c r="Z21" s="230"/>
      <c r="AA21" s="230"/>
    </row>
    <row r="22" spans="1:27">
      <c r="A22" s="221" t="s">
        <v>367</v>
      </c>
      <c r="B22" s="230" t="s">
        <v>366</v>
      </c>
      <c r="C22" s="230" t="s">
        <v>366</v>
      </c>
      <c r="D22" s="230" t="s">
        <v>366</v>
      </c>
      <c r="E22" s="230">
        <v>2873000</v>
      </c>
      <c r="F22" s="230">
        <v>2877000</v>
      </c>
      <c r="G22" s="230">
        <v>2882000</v>
      </c>
      <c r="H22" s="230">
        <v>2885000</v>
      </c>
      <c r="I22" s="230">
        <v>2886000</v>
      </c>
      <c r="J22" s="230">
        <v>2887000</v>
      </c>
      <c r="K22" s="230">
        <v>2890000</v>
      </c>
      <c r="L22" s="230">
        <v>2893000</v>
      </c>
      <c r="M22" s="230">
        <v>2894000</v>
      </c>
      <c r="N22" s="230">
        <v>2900000</v>
      </c>
      <c r="O22" s="230">
        <v>2908000</v>
      </c>
      <c r="P22" s="230">
        <v>2919000</v>
      </c>
      <c r="Q22" s="230">
        <v>2938000</v>
      </c>
      <c r="R22" s="230">
        <v>2951800</v>
      </c>
      <c r="S22" s="230">
        <v>2958600</v>
      </c>
      <c r="T22" s="230">
        <v>2965900</v>
      </c>
      <c r="U22" s="230">
        <v>2980000</v>
      </c>
      <c r="V22" s="230">
        <v>2993400</v>
      </c>
      <c r="W22" s="230">
        <v>2993400</v>
      </c>
      <c r="X22" s="230">
        <v>3006400</v>
      </c>
      <c r="Y22" s="230">
        <v>3063800</v>
      </c>
      <c r="Z22" s="230"/>
      <c r="AA22" s="230"/>
    </row>
    <row r="23" spans="1:27">
      <c r="A23" s="221" t="s">
        <v>123</v>
      </c>
      <c r="B23" s="230">
        <v>5077440</v>
      </c>
      <c r="C23" s="230">
        <v>5078190</v>
      </c>
      <c r="D23" s="230">
        <v>5081270</v>
      </c>
      <c r="E23" s="230">
        <v>5083330</v>
      </c>
      <c r="F23" s="230">
        <v>5085620</v>
      </c>
      <c r="G23" s="230">
        <v>5092460</v>
      </c>
      <c r="H23" s="230">
        <v>5102210</v>
      </c>
      <c r="I23" s="230">
        <v>5103690</v>
      </c>
      <c r="J23" s="230">
        <v>5092190</v>
      </c>
      <c r="K23" s="230">
        <v>5083340</v>
      </c>
      <c r="L23" s="230">
        <v>5077070</v>
      </c>
      <c r="M23" s="230">
        <v>5071950</v>
      </c>
      <c r="N23" s="230">
        <v>5062940</v>
      </c>
      <c r="O23" s="230">
        <v>5064200</v>
      </c>
      <c r="P23" s="230">
        <v>5054800</v>
      </c>
      <c r="Q23" s="230">
        <v>5057400</v>
      </c>
      <c r="R23" s="230">
        <v>5078400</v>
      </c>
      <c r="S23" s="230">
        <v>5094800</v>
      </c>
      <c r="T23" s="230">
        <v>5116900</v>
      </c>
      <c r="U23" s="230">
        <v>5144200</v>
      </c>
      <c r="V23" s="230">
        <v>5168500</v>
      </c>
      <c r="W23" s="230">
        <v>5231900</v>
      </c>
      <c r="X23" s="230">
        <v>5262200</v>
      </c>
      <c r="Y23" s="230">
        <v>5299900</v>
      </c>
      <c r="Z23" s="230"/>
      <c r="AA23" s="230"/>
    </row>
    <row r="24" spans="1:27">
      <c r="A24" s="221" t="s">
        <v>124</v>
      </c>
      <c r="B24" s="230">
        <v>55331000</v>
      </c>
      <c r="C24" s="230">
        <v>55486000</v>
      </c>
      <c r="D24" s="230">
        <v>55641900</v>
      </c>
      <c r="E24" s="230">
        <v>55831330</v>
      </c>
      <c r="F24" s="230">
        <v>55958720</v>
      </c>
      <c r="G24" s="230">
        <v>56074960</v>
      </c>
      <c r="H24" s="230">
        <v>56210110</v>
      </c>
      <c r="I24" s="230">
        <v>56354690</v>
      </c>
      <c r="J24" s="230">
        <v>56475390</v>
      </c>
      <c r="K24" s="230">
        <v>56609240</v>
      </c>
      <c r="L24" s="230">
        <v>56759270</v>
      </c>
      <c r="M24" s="230">
        <v>56952950</v>
      </c>
      <c r="N24" s="230">
        <v>57129540</v>
      </c>
      <c r="O24" s="230">
        <v>57362200</v>
      </c>
      <c r="P24" s="230">
        <v>57532800</v>
      </c>
      <c r="Q24" s="230">
        <v>57851100</v>
      </c>
      <c r="R24" s="230">
        <v>58124600</v>
      </c>
      <c r="S24" s="230">
        <v>58485100</v>
      </c>
      <c r="T24" s="230">
        <v>58845700</v>
      </c>
      <c r="U24" s="230">
        <v>59216200</v>
      </c>
      <c r="V24" s="230">
        <v>59608200</v>
      </c>
      <c r="W24" s="230">
        <v>59608200</v>
      </c>
      <c r="X24" s="230">
        <v>60462600</v>
      </c>
      <c r="Y24" s="230">
        <v>61470900</v>
      </c>
      <c r="Z24" s="230"/>
      <c r="AA24" s="230"/>
    </row>
    <row r="25" spans="1:27">
      <c r="A25" s="221" t="s">
        <v>368</v>
      </c>
      <c r="B25" s="230">
        <v>1585440</v>
      </c>
      <c r="C25" s="230">
        <v>1590435</v>
      </c>
      <c r="D25" s="230">
        <v>1595595</v>
      </c>
      <c r="E25" s="230">
        <v>1607295</v>
      </c>
      <c r="F25" s="230">
        <v>1623263</v>
      </c>
      <c r="G25" s="230">
        <v>1635552</v>
      </c>
      <c r="H25" s="230">
        <v>1643707</v>
      </c>
      <c r="I25" s="230">
        <v>1649131</v>
      </c>
      <c r="J25" s="230">
        <v>1661751</v>
      </c>
      <c r="K25" s="230">
        <v>1671261</v>
      </c>
      <c r="L25" s="230">
        <v>1677769</v>
      </c>
      <c r="M25" s="230">
        <v>1679006</v>
      </c>
      <c r="N25" s="230">
        <v>1682944</v>
      </c>
      <c r="O25" s="230">
        <v>1689319</v>
      </c>
      <c r="P25" s="230">
        <v>1696641</v>
      </c>
      <c r="Q25" s="230">
        <v>1702700</v>
      </c>
      <c r="R25" s="230">
        <v>1709700</v>
      </c>
      <c r="S25" s="230">
        <v>1724400</v>
      </c>
      <c r="T25" s="230">
        <v>1741600</v>
      </c>
      <c r="U25" s="230">
        <v>1759100</v>
      </c>
      <c r="V25" s="230">
        <v>1775000</v>
      </c>
      <c r="W25" s="230">
        <v>1775000</v>
      </c>
      <c r="X25" s="230">
        <v>1799400</v>
      </c>
      <c r="Y25" s="230">
        <v>1806900</v>
      </c>
      <c r="Z25" s="230"/>
      <c r="AA25" s="230"/>
    </row>
    <row r="26" spans="1:27">
      <c r="A26" s="221" t="s">
        <v>131</v>
      </c>
      <c r="B26" s="230">
        <v>56916440</v>
      </c>
      <c r="C26" s="230">
        <v>57076435</v>
      </c>
      <c r="D26" s="230">
        <v>57237495</v>
      </c>
      <c r="E26" s="230">
        <v>57438625</v>
      </c>
      <c r="F26" s="230">
        <v>57581983</v>
      </c>
      <c r="G26" s="230">
        <v>57710512</v>
      </c>
      <c r="H26" s="230">
        <v>57853817</v>
      </c>
      <c r="I26" s="230">
        <v>58003821</v>
      </c>
      <c r="J26" s="230">
        <v>58137141</v>
      </c>
      <c r="K26" s="230">
        <v>58280501</v>
      </c>
      <c r="L26" s="230">
        <v>58437039</v>
      </c>
      <c r="M26" s="230">
        <v>58631956</v>
      </c>
      <c r="N26" s="230">
        <v>58812484</v>
      </c>
      <c r="O26" s="230">
        <v>59051519</v>
      </c>
      <c r="P26" s="230">
        <v>59229441</v>
      </c>
      <c r="Q26" s="230">
        <v>59553800</v>
      </c>
      <c r="R26" s="230">
        <v>59834300</v>
      </c>
      <c r="S26" s="230">
        <v>59834300</v>
      </c>
      <c r="T26" s="230">
        <v>60587300</v>
      </c>
      <c r="U26" s="230">
        <v>60975400</v>
      </c>
      <c r="V26" s="230">
        <v>61383200</v>
      </c>
      <c r="W26" s="230">
        <v>61383200</v>
      </c>
      <c r="X26" s="230">
        <v>62262000</v>
      </c>
      <c r="Y26" s="230">
        <v>63277800</v>
      </c>
      <c r="Z26" s="230"/>
      <c r="AA26" s="230"/>
    </row>
    <row r="28" spans="1:27">
      <c r="L28" s="221" t="s">
        <v>369</v>
      </c>
    </row>
  </sheetData>
  <phoneticPr fontId="3" type="noConversion"/>
  <printOptions gridLines="1"/>
  <pageMargins left="0.75" right="0.75" top="1.9" bottom="1" header="0.97" footer="0.5"/>
  <pageSetup paperSize="9" scale="40" orientation="landscape" verticalDpi="300" r:id="rId1"/>
  <headerFooter alignWithMargins="0">
    <oddFooter>&amp;LSTS2003&amp;CPOPULATION&amp;R&amp;F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pageSetUpPr fitToPage="1"/>
  </sheetPr>
  <dimension ref="A1:AE70"/>
  <sheetViews>
    <sheetView zoomScale="80" zoomScaleNormal="80" workbookViewId="0">
      <selection activeCell="AE31" sqref="AE31"/>
    </sheetView>
  </sheetViews>
  <sheetFormatPr defaultColWidth="12.5703125" defaultRowHeight="15"/>
  <cols>
    <col min="1" max="1" width="5.140625" style="18" customWidth="1"/>
    <col min="2" max="2" width="3.140625" style="18" customWidth="1"/>
    <col min="3" max="3" width="8.7109375" style="18" bestFit="1" customWidth="1"/>
    <col min="4" max="15" width="12.5703125" style="18" hidden="1" customWidth="1"/>
    <col min="16" max="17" width="8.85546875" style="18" hidden="1" customWidth="1"/>
    <col min="18" max="20" width="8.85546875" style="18" customWidth="1"/>
    <col min="21" max="22" width="9" style="18" customWidth="1"/>
    <col min="23" max="23" width="8.7109375" style="18" customWidth="1"/>
    <col min="24" max="24" width="8.28515625" style="18" customWidth="1"/>
    <col min="25" max="25" width="8" style="18" customWidth="1"/>
    <col min="26" max="26" width="7.7109375" style="18" customWidth="1"/>
    <col min="27" max="27" width="8.140625" style="18" customWidth="1"/>
    <col min="28" max="28" width="7.5703125" style="18" customWidth="1"/>
    <col min="29" max="16384" width="12.5703125" style="18"/>
  </cols>
  <sheetData>
    <row r="1" spans="1:28" ht="20.25">
      <c r="Z1" s="649" t="s">
        <v>461</v>
      </c>
    </row>
    <row r="2" spans="1:28" ht="15.75">
      <c r="A2" s="1" t="s">
        <v>261</v>
      </c>
    </row>
    <row r="3" spans="1:28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8" s="62" customFormat="1" ht="15.75">
      <c r="A4" s="10"/>
      <c r="B4" s="10"/>
      <c r="C4" s="10"/>
      <c r="D4" s="10">
        <v>1990</v>
      </c>
      <c r="E4" s="10">
        <v>1991</v>
      </c>
      <c r="F4" s="10">
        <v>1992</v>
      </c>
      <c r="G4" s="10">
        <v>1993</v>
      </c>
      <c r="H4" s="10">
        <v>1994</v>
      </c>
      <c r="I4" s="10">
        <v>1995</v>
      </c>
      <c r="J4" s="10">
        <v>1996</v>
      </c>
      <c r="K4" s="10">
        <v>1997</v>
      </c>
      <c r="L4" s="10">
        <v>1998</v>
      </c>
      <c r="M4" s="10">
        <v>1999</v>
      </c>
      <c r="N4" s="10">
        <v>2000</v>
      </c>
      <c r="O4" s="10">
        <v>2001</v>
      </c>
      <c r="P4" s="10">
        <v>2002</v>
      </c>
      <c r="Q4" s="10">
        <v>2003</v>
      </c>
      <c r="R4" s="10">
        <v>2004</v>
      </c>
      <c r="S4" s="10">
        <v>2005</v>
      </c>
      <c r="T4" s="10">
        <v>2006</v>
      </c>
      <c r="U4" s="10">
        <v>2007</v>
      </c>
      <c r="V4" s="10">
        <v>2008</v>
      </c>
      <c r="W4" s="10">
        <v>2009</v>
      </c>
      <c r="X4" s="10">
        <v>2010</v>
      </c>
      <c r="Y4" s="10">
        <v>2011</v>
      </c>
      <c r="Z4" s="10">
        <v>2012</v>
      </c>
      <c r="AA4" s="10">
        <v>2013</v>
      </c>
      <c r="AB4" s="10">
        <v>2014</v>
      </c>
    </row>
    <row r="5" spans="1:28" s="62" customFormat="1" ht="15.7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3"/>
      <c r="S5" s="13"/>
      <c r="T5" s="13"/>
      <c r="U5" s="13"/>
      <c r="V5" s="13"/>
      <c r="W5" s="13"/>
      <c r="X5" s="13"/>
      <c r="Y5" s="13"/>
      <c r="Z5" s="13"/>
    </row>
    <row r="6" spans="1:28">
      <c r="A6" s="14" t="s">
        <v>379</v>
      </c>
      <c r="B6" s="13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8"/>
      <c r="Q6" s="8"/>
      <c r="R6" s="8"/>
      <c r="S6" s="8"/>
      <c r="T6" s="8"/>
      <c r="U6" s="8"/>
      <c r="V6" s="8"/>
      <c r="W6" s="8"/>
      <c r="X6" s="8"/>
      <c r="Z6" s="377" t="s">
        <v>673</v>
      </c>
    </row>
    <row r="7" spans="1:28">
      <c r="A7" s="8"/>
      <c r="B7" s="16"/>
      <c r="C7" s="8" t="s">
        <v>123</v>
      </c>
      <c r="D7" s="31">
        <f>'SGB1'!D6/'SGB1'!$Q6*100</f>
        <v>75.031787796004195</v>
      </c>
      <c r="E7" s="31">
        <f>'SGB1'!E6/'SGB1'!$Q6*100</f>
        <v>76.773297412074754</v>
      </c>
      <c r="F7" s="31">
        <f>'SGB1'!F6/'SGB1'!$Q6*100</f>
        <v>79.06034016089032</v>
      </c>
      <c r="G7" s="31">
        <f>'SGB1'!G6/'SGB1'!$Q6*100</f>
        <v>78.632306472121158</v>
      </c>
      <c r="H7" s="31">
        <f>'SGB1'!H6/'SGB1'!$Q6*100</f>
        <v>79.73176555503801</v>
      </c>
      <c r="I7" s="31">
        <f>'SGB1'!I6/'SGB1'!$Q6*100</f>
        <v>80.147210017666893</v>
      </c>
      <c r="J7" s="31">
        <f>'SGB1'!J6/'SGB1'!$Q6*100</f>
        <v>82.518180940750923</v>
      </c>
      <c r="K7" s="31">
        <f>'SGB1'!K6/'SGB1'!$Q6*100</f>
        <v>84.876562637694661</v>
      </c>
      <c r="L7" s="31">
        <f>'SGB1'!L6/'SGB1'!$Q6*100</f>
        <v>86.991552629259886</v>
      </c>
      <c r="M7" s="31">
        <f>'SGB1'!M6/'SGB1'!$Q6*100</f>
        <v>89.42546968304525</v>
      </c>
      <c r="N7" s="31">
        <f>'SGB1'!N6/'SGB1'!$Q6*100</f>
        <v>91.832403828803322</v>
      </c>
      <c r="O7" s="31">
        <f>'SGB1'!O6/'SGB1'!$Q6*100</f>
        <v>94.933172191238739</v>
      </c>
      <c r="P7" s="31">
        <f>'SGB1'!P6/'SGB1'!$Q6*100</f>
        <v>97.77632302275714</v>
      </c>
      <c r="Q7" s="31">
        <f>'SGB1'!Q6/'SGB1'!$Q6*100</f>
        <v>100</v>
      </c>
      <c r="R7" s="31">
        <f>'SGB1'!R6/'SGB1'!$R6*100</f>
        <v>100</v>
      </c>
      <c r="S7" s="31">
        <f>'SGB1'!S6/'SGB1'!$R6*100</f>
        <v>103.3963950422027</v>
      </c>
      <c r="T7" s="31">
        <f>'SGB1'!T6/'SGB1'!$R6*100</f>
        <v>104.74265823157083</v>
      </c>
      <c r="U7" s="31">
        <f>'SGB1'!U6/'SGB1'!$R6*100</f>
        <v>107.3033317757162</v>
      </c>
      <c r="V7" s="31">
        <f>'SGB1'!V6/'SGB1'!$R6*100</f>
        <v>108.86379455138993</v>
      </c>
      <c r="W7" s="31">
        <f>'SGB1'!W6/'SGB1'!$R6*100</f>
        <v>109.62807534074233</v>
      </c>
      <c r="X7" s="31">
        <f>'SGB1'!X6/'SGB1'!$R6*100</f>
        <v>109.66013992412333</v>
      </c>
      <c r="Y7" s="31">
        <f>'SGB1'!Y6/'SGB1'!$R6*100</f>
        <v>109.91820876208651</v>
      </c>
      <c r="Z7" s="31">
        <f>'SGB1'!Z6/'SGB1'!$R6*100</f>
        <v>110.98022044094724</v>
      </c>
      <c r="AA7" s="31">
        <f>'SGB1'!AA6/'SGB1'!$R6*100</f>
        <v>112.69577776833766</v>
      </c>
      <c r="AB7" s="31">
        <f>'SGB1'!AB6/'SGB1'!$R6*100</f>
        <v>115.24297193348207</v>
      </c>
    </row>
    <row r="8" spans="1:28">
      <c r="A8" s="8"/>
      <c r="B8" s="16"/>
      <c r="C8" s="8" t="s">
        <v>124</v>
      </c>
      <c r="D8" s="31">
        <f>'SGB1'!D7/'SGB1'!$Q7*100</f>
        <v>79.062389848431451</v>
      </c>
      <c r="E8" s="31">
        <f>'SGB1'!E7/'SGB1'!$Q7*100</f>
        <v>78.543275547152874</v>
      </c>
      <c r="F8" s="31">
        <f>'SGB1'!F7/'SGB1'!$Q7*100</f>
        <v>79.632774697984431</v>
      </c>
      <c r="G8" s="31">
        <f>'SGB1'!G7/'SGB1'!$Q7*100</f>
        <v>79.552664466305629</v>
      </c>
      <c r="H8" s="31">
        <f>'SGB1'!H7/'SGB1'!$Q7*100</f>
        <v>80.850450219502036</v>
      </c>
      <c r="I8" s="31">
        <f>'SGB1'!I7/'SGB1'!$Q7*100</f>
        <v>81.292658698368953</v>
      </c>
      <c r="J8" s="31">
        <f>'SGB1'!J7/'SGB1'!$Q7*100</f>
        <v>84.282372544621396</v>
      </c>
      <c r="K8" s="31">
        <f>'SGB1'!K7/'SGB1'!$Q7*100</f>
        <v>86.43573557214728</v>
      </c>
      <c r="L8" s="31">
        <f>'SGB1'!L7/'SGB1'!$Q7*100</f>
        <v>88.243022398820784</v>
      </c>
      <c r="M8" s="31">
        <f>'SGB1'!M7/'SGB1'!$Q7*100</f>
        <v>90.90268209055661</v>
      </c>
      <c r="N8" s="31">
        <f>'SGB1'!N7/'SGB1'!$Q7*100</f>
        <v>92.601019002146955</v>
      </c>
      <c r="O8" s="31">
        <f>'SGB1'!O7/'SGB1'!$Q7*100</f>
        <v>95.321562469958664</v>
      </c>
      <c r="P8" s="31">
        <f>'SGB1'!P7/'SGB1'!$Q7*100</f>
        <v>97.917133976351451</v>
      </c>
      <c r="Q8" s="31">
        <f>'SGB1'!Q7/'SGB1'!$Q7*100</f>
        <v>100</v>
      </c>
      <c r="R8" s="31">
        <f>'SGB1'!R7/'SGB1'!$R7*100</f>
        <v>100</v>
      </c>
      <c r="S8" s="31">
        <f>'SGB1'!S7/'SGB1'!$R7*100</f>
        <v>101.97774264546328</v>
      </c>
      <c r="T8" s="31">
        <f>'SGB1'!T7/'SGB1'!$R7*100</f>
        <v>102.51552744970395</v>
      </c>
      <c r="U8" s="31">
        <f>'SGB1'!U7/'SGB1'!$R7*100</f>
        <v>104.31501596453703</v>
      </c>
      <c r="V8" s="31">
        <f>'SGB1'!V7/'SGB1'!$R7*100</f>
        <v>105.03543817229301</v>
      </c>
      <c r="W8" s="31">
        <f>'SGB1'!W7/'SGB1'!$R7*100</f>
        <v>105.26807712576334</v>
      </c>
      <c r="X8" s="31">
        <f>'SGB1'!X7/'SGB1'!$R7*100</f>
        <v>105.76939148764683</v>
      </c>
      <c r="Y8" s="31">
        <f>'SGB1'!Y7/'SGB1'!$R7*100</f>
        <v>106.10556433863417</v>
      </c>
      <c r="Z8" s="31">
        <f>'SGB1'!Z7/'SGB1'!$R7*100</f>
        <v>107.01609473325273</v>
      </c>
      <c r="AA8" s="31">
        <f>'SGB1'!AA7/'SGB1'!$R7*100</f>
        <v>108.60376019095446</v>
      </c>
      <c r="AB8" s="31">
        <f>'SGB1'!AB7/'SGB1'!$R7*100</f>
        <v>110.45942837657709</v>
      </c>
    </row>
    <row r="9" spans="1:28">
      <c r="A9" s="8"/>
      <c r="B9" s="16"/>
      <c r="C9" s="8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8">
      <c r="A10" s="14" t="s">
        <v>262</v>
      </c>
      <c r="B10" s="8"/>
      <c r="C10" s="16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8">
      <c r="A11" s="8"/>
      <c r="B11" s="16"/>
      <c r="C11" s="8" t="s">
        <v>123</v>
      </c>
      <c r="D11" s="31">
        <f>'SGB1'!D14/'SGB1'!$Q14*100</f>
        <v>94.759297637487606</v>
      </c>
      <c r="E11" s="31">
        <f>'SGB1'!E14/'SGB1'!$Q14*100</f>
        <v>95.168027296542917</v>
      </c>
      <c r="F11" s="31">
        <f>'SGB1'!F14/'SGB1'!$Q14*100</f>
        <v>95.398968718251297</v>
      </c>
      <c r="G11" s="31">
        <f>'SGB1'!G14/'SGB1'!$Q14*100</f>
        <v>95.556595402909394</v>
      </c>
      <c r="H11" s="31">
        <f>'SGB1'!H14/'SGB1'!$Q14*100</f>
        <v>95.943330640849624</v>
      </c>
      <c r="I11" s="31">
        <f>'SGB1'!I14/'SGB1'!$Q14*100</f>
        <v>96.77911864322283</v>
      </c>
      <c r="J11" s="31">
        <f>'SGB1'!J14/'SGB1'!$Q14*100</f>
        <v>97.284990328869767</v>
      </c>
      <c r="K11" s="31">
        <f>'SGB1'!K14/'SGB1'!$Q14*100</f>
        <v>97.41512398713401</v>
      </c>
      <c r="L11" s="31">
        <f>'SGB1'!L14/'SGB1'!$Q14*100</f>
        <v>97.737708830155256</v>
      </c>
      <c r="M11" s="31">
        <f>'SGB1'!M14/'SGB1'!$Q14*100</f>
        <v>98.100616778554141</v>
      </c>
      <c r="N11" s="31">
        <f>'SGB1'!N14/'SGB1'!$Q14*100</f>
        <v>98.765948017285439</v>
      </c>
      <c r="O11" s="31">
        <f>'SGB1'!O14/'SGB1'!$Q14*100</f>
        <v>99.07326506631594</v>
      </c>
      <c r="P11" s="31">
        <f>'SGB1'!P14/'SGB1'!$Q14*100</f>
        <v>100.05531596910444</v>
      </c>
      <c r="Q11" s="31">
        <f>'SGB1'!Q14/'SGB1'!$Q14*100</f>
        <v>100</v>
      </c>
      <c r="R11" s="31">
        <f>'SGB1'!R14/'SGB1'!$R14*100</f>
        <v>100</v>
      </c>
      <c r="S11" s="31">
        <f>'SGB1'!S14/'SGB1'!$R14*100</f>
        <v>100.4690743754086</v>
      </c>
      <c r="T11" s="31">
        <f>'SGB1'!T14/'SGB1'!$R14*100</f>
        <v>100.69224511448789</v>
      </c>
      <c r="U11" s="31">
        <f>'SGB1'!U14/'SGB1'!$R14*100</f>
        <v>101.09066615815318</v>
      </c>
      <c r="V11" s="31">
        <f>'SGB1'!V14/'SGB1'!$R14*100</f>
        <v>101.37956263078054</v>
      </c>
      <c r="W11" s="31">
        <f>'SGB1'!W14/'SGB1'!$R14*100</f>
        <v>101.72517227817519</v>
      </c>
      <c r="X11" s="31">
        <f>'SGB1'!X14/'SGB1'!$R14*100</f>
        <v>101.89613612187762</v>
      </c>
      <c r="Y11" s="31">
        <f>'SGB1'!Y14/'SGB1'!$R14*100</f>
        <v>102.13867287141039</v>
      </c>
      <c r="Z11" s="31">
        <f>'SGB1'!Z14/'SGB1'!$R14*100</f>
        <v>102.39557292854488</v>
      </c>
      <c r="AA11" s="31">
        <f>'SGB1'!AA14/'SGB1'!$R14*100</f>
        <v>102.51168655932561</v>
      </c>
      <c r="AB11" s="31">
        <f>'SGB1'!AB14/'SGB1'!$R14*100</f>
        <v>102.55853354677711</v>
      </c>
    </row>
    <row r="12" spans="1:28">
      <c r="A12" s="8"/>
      <c r="B12" s="8"/>
      <c r="C12" s="8" t="s">
        <v>371</v>
      </c>
      <c r="D12" s="33">
        <f>'SGB1'!D15/'SGB1'!$Q15*100</f>
        <v>91.256691307672696</v>
      </c>
      <c r="E12" s="33">
        <f>'SGB1'!E15/'SGB1'!$Q15*100</f>
        <v>91.75783838898802</v>
      </c>
      <c r="F12" s="33">
        <f>'SGB1'!F15/'SGB1'!$Q15*100</f>
        <v>92.355340300790218</v>
      </c>
      <c r="G12" s="33">
        <f>'SGB1'!G15/'SGB1'!$Q15*100</f>
        <v>98.088197807800142</v>
      </c>
      <c r="H12" s="33">
        <f>'SGB1'!H15/'SGB1'!$Q15*100</f>
        <v>98.292123374968142</v>
      </c>
      <c r="I12" s="33">
        <f>'SGB1'!I15/'SGB1'!$Q15*100</f>
        <v>98.496048942136113</v>
      </c>
      <c r="J12" s="33">
        <f>'SGB1'!J15/'SGB1'!$Q15*100</f>
        <v>98.648993117512106</v>
      </c>
      <c r="K12" s="33">
        <f>'SGB1'!K15/'SGB1'!$Q15*100</f>
        <v>98.878409380576088</v>
      </c>
      <c r="L12" s="33">
        <f>'SGB1'!L15/'SGB1'!$Q15*100</f>
        <v>99.056844251848077</v>
      </c>
      <c r="M12" s="33">
        <f>'SGB1'!M15/'SGB1'!$Q15*100</f>
        <v>99.286260514912044</v>
      </c>
      <c r="N12" s="33">
        <f>'SGB1'!N15/'SGB1'!$Q15*100</f>
        <v>99.464695386184033</v>
      </c>
      <c r="O12" s="33">
        <f>'SGB1'!O15/'SGB1'!$Q15*100</f>
        <v>99.668620953352033</v>
      </c>
      <c r="P12" s="33">
        <f>'SGB1'!P15/'SGB1'!$Q15*100</f>
        <v>99.821565128728025</v>
      </c>
      <c r="Q12" s="32">
        <f>'SGB1'!Q15/'SGB1'!$Q15*100</f>
        <v>100</v>
      </c>
      <c r="R12" s="31">
        <f>'SGB1'!R15/'SGB1'!$R15*100</f>
        <v>100</v>
      </c>
      <c r="S12" s="31">
        <f>'SGB1'!S15/'SGB1'!$R15*100</f>
        <v>100.07737941707506</v>
      </c>
      <c r="T12" s="31">
        <f>'SGB1'!T15/'SGB1'!$R15*100</f>
        <v>102.75986587567706</v>
      </c>
      <c r="U12" s="31">
        <f>'SGB1'!U15/'SGB1'!$R15*100</f>
        <v>102.88883157080215</v>
      </c>
      <c r="V12" s="31">
        <f>'SGB1'!V15/'SGB1'!$R15*100</f>
        <v>101.75393345370132</v>
      </c>
      <c r="W12" s="31">
        <f>'SGB1'!W15/'SGB1'!$R15*100</f>
        <v>101.7353623936033</v>
      </c>
      <c r="X12" s="31">
        <f>'SGB1'!X15/'SGB1'!$R15*100</f>
        <v>101.69022440030953</v>
      </c>
      <c r="Y12" s="31">
        <f>'SGB1'!Y15/'SGB1'!$R15*100</f>
        <v>101.70105751870003</v>
      </c>
      <c r="Z12" s="31">
        <f>'SGB1'!Z15/'SGB1'!$R15*100</f>
        <v>101.8545266958989</v>
      </c>
      <c r="AA12" s="31">
        <f>'SGB1'!AA15/'SGB1'!$R15*100</f>
        <v>102.00177972659273</v>
      </c>
      <c r="AB12" s="31">
        <f>'SGB1'!AB15/'SGB1'!$R15*100</f>
        <v>102.0427908176425</v>
      </c>
    </row>
    <row r="13" spans="1:28">
      <c r="A13" s="8"/>
      <c r="B13" s="8"/>
      <c r="C13" s="8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8">
      <c r="A14" s="13" t="s">
        <v>22</v>
      </c>
      <c r="B14" s="8"/>
      <c r="C14" s="16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8">
      <c r="A15" s="13"/>
      <c r="B15" s="8" t="s">
        <v>126</v>
      </c>
      <c r="C15" s="16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8">
      <c r="A16" s="8"/>
      <c r="C16" s="8" t="s">
        <v>123</v>
      </c>
      <c r="D16" s="31">
        <f>'SGB1'!D19/'SGB1'!$Q19*100</f>
        <v>56.352459016393439</v>
      </c>
      <c r="E16" s="31">
        <f>'SGB1'!E19/'SGB1'!$Q19*100</f>
        <v>54.644808743169406</v>
      </c>
      <c r="F16" s="31">
        <f>'SGB1'!F19/'SGB1'!$Q19*100</f>
        <v>60.040983606557376</v>
      </c>
      <c r="G16" s="31">
        <f>'SGB1'!G19/'SGB1'!$Q19*100</f>
        <v>74.077868852459019</v>
      </c>
      <c r="H16" s="31">
        <f>'SGB1'!H19/'SGB1'!$Q19*100</f>
        <v>76.058743169398895</v>
      </c>
      <c r="I16" s="31">
        <f>'SGB1'!I19/'SGB1'!$Q19*100</f>
        <v>73.736338797814199</v>
      </c>
      <c r="J16" s="31">
        <f>'SGB1'!J19/'SGB1'!$Q19*100</f>
        <v>78.312841530054655</v>
      </c>
      <c r="K16" s="31">
        <f>'SGB1'!K19/'SGB1'!$Q19*100</f>
        <v>82.855191256830608</v>
      </c>
      <c r="L16" s="31">
        <f>'SGB1'!L19/'SGB1'!$Q19*100</f>
        <v>86.612021857923509</v>
      </c>
      <c r="M16" s="31">
        <f>'SGB1'!M19/'SGB1'!$Q19*100</f>
        <v>88.183060109289613</v>
      </c>
      <c r="N16" s="31">
        <f>'SGB1'!N19/'SGB1'!$Q19*100</f>
        <v>92.298497267759572</v>
      </c>
      <c r="O16" s="31">
        <f>'SGB1'!O19/'SGB1'!$Q19*100</f>
        <v>95.064890710382528</v>
      </c>
      <c r="P16" s="31">
        <f>'SGB1'!P19/'SGB1'!$Q19*100</f>
        <v>97.848360655737707</v>
      </c>
      <c r="Q16" s="31">
        <f>'SGB1'!Q19/'SGB1'!$Q19*100</f>
        <v>100</v>
      </c>
      <c r="R16" s="31">
        <f>'SGB1'!R19/'SGB1'!$R19*100</f>
        <v>100</v>
      </c>
      <c r="S16" s="31">
        <f>'SGB1'!S19/'SGB1'!$R19*100</f>
        <v>100.92853815338935</v>
      </c>
      <c r="T16" s="31">
        <f>'SGB1'!T19/'SGB1'!$R19*100</f>
        <v>105.55933236881016</v>
      </c>
      <c r="U16" s="31">
        <f>'SGB1'!U19/'SGB1'!$R19*100</f>
        <v>107.92223363744201</v>
      </c>
      <c r="V16" s="31">
        <f>'SGB1'!V19/'SGB1'!$R19*100</f>
        <v>109.66159151574044</v>
      </c>
      <c r="W16" s="31">
        <f>'SGB1'!W19/'SGB1'!$R19*100</f>
        <v>108.84113968635438</v>
      </c>
      <c r="X16" s="31">
        <f>'SGB1'!X19/'SGB1'!$R19*100</f>
        <v>106.70796492995065</v>
      </c>
      <c r="Y16" s="31">
        <f>'SGB1'!Y19/'SGB1'!$R19*100</f>
        <v>107.80737038132796</v>
      </c>
      <c r="Z16" s="31">
        <f>'SGB1'!Z19/'SGB1'!$R19*100</f>
        <v>117.160521236329</v>
      </c>
      <c r="AA16" s="31">
        <f>'SGB1'!AA19/'SGB1'!$R19*100</f>
        <v>119.16242370003098</v>
      </c>
      <c r="AB16" s="31">
        <f>'SGB1'!AB19/'SGB1'!$R19*100</f>
        <v>121.77146051747867</v>
      </c>
    </row>
    <row r="17" spans="1:28">
      <c r="A17" s="8"/>
      <c r="B17" s="8"/>
      <c r="C17" s="8" t="s">
        <v>124</v>
      </c>
      <c r="D17" s="31">
        <f>'SGB1'!D20/'SGB1'!$Q20*100</f>
        <v>66.236559139784944</v>
      </c>
      <c r="E17" s="31">
        <f>'SGB1'!E20/'SGB1'!$Q20*100</f>
        <v>65.591397849462368</v>
      </c>
      <c r="F17" s="31">
        <f>'SGB1'!F20/'SGB1'!$Q20*100</f>
        <v>66.129032258064512</v>
      </c>
      <c r="G17" s="31">
        <f>'SGB1'!G20/'SGB1'!$Q20*100</f>
        <v>73.333333333333343</v>
      </c>
      <c r="H17" s="31">
        <f>'SGB1'!H20/'SGB1'!$Q20*100</f>
        <v>76.021505376344095</v>
      </c>
      <c r="I17" s="31">
        <f>'SGB1'!I20/'SGB1'!$Q20*100</f>
        <v>79.462365591397855</v>
      </c>
      <c r="J17" s="31">
        <f>'SGB1'!J20/'SGB1'!$Q20*100</f>
        <v>84.193548387096769</v>
      </c>
      <c r="K17" s="31">
        <f>'SGB1'!K20/'SGB1'!$Q20*100</f>
        <v>88.279569892473106</v>
      </c>
      <c r="L17" s="31">
        <f>'SGB1'!L20/'SGB1'!$Q20*100</f>
        <v>92.150537634408607</v>
      </c>
      <c r="M17" s="31">
        <f>'SGB1'!M20/'SGB1'!$Q20*100</f>
        <v>94.408602150537632</v>
      </c>
      <c r="N17" s="31">
        <f>'SGB1'!N20/'SGB1'!$Q20*100</f>
        <v>94.946236559139791</v>
      </c>
      <c r="O17" s="31">
        <f>'SGB1'!O20/'SGB1'!$Q20*100</f>
        <v>97.634408602150529</v>
      </c>
      <c r="P17" s="31">
        <f>'SGB1'!P20/'SGB1'!$Q20*100</f>
        <v>99.569892473118273</v>
      </c>
      <c r="Q17" s="31">
        <f>'SGB1'!Q20/'SGB1'!$Q20*100</f>
        <v>100</v>
      </c>
      <c r="R17" s="31">
        <f>'SGB1'!R20/'SGB1'!$R20*100</f>
        <v>100</v>
      </c>
      <c r="S17" s="31">
        <f>'SGB1'!S20/'SGB1'!$R20*100</f>
        <v>100.41407867494824</v>
      </c>
      <c r="T17" s="31">
        <f>'SGB1'!T20/'SGB1'!$R20*100</f>
        <v>103.00207039337475</v>
      </c>
      <c r="U17" s="31">
        <f>'SGB1'!U20/'SGB1'!$R20*100</f>
        <v>104.1407867494824</v>
      </c>
      <c r="V17" s="31">
        <f>'SGB1'!V20/'SGB1'!$R20*100</f>
        <v>103.62318840579709</v>
      </c>
      <c r="W17" s="31">
        <f>'SGB1'!W20/'SGB1'!$R20*100</f>
        <v>103.00207039337475</v>
      </c>
      <c r="X17" s="31">
        <f>'SGB1'!X20/'SGB1'!$R20*100</f>
        <v>101.65631469979297</v>
      </c>
      <c r="Y17" s="31">
        <f>'SGB1'!Y20/'SGB1'!$R20*100</f>
        <v>103.00207039337475</v>
      </c>
      <c r="Z17" s="31">
        <f>'SGB1'!Z20/'SGB1'!$R20*100</f>
        <v>103.93374741200829</v>
      </c>
      <c r="AA17" s="31">
        <f>'SGB1'!AA20/'SGB1'!$R20*100</f>
        <v>105.4865424430642</v>
      </c>
      <c r="AB17" s="31">
        <f>'SGB1'!AB20/'SGB1'!$R20*100</f>
        <v>107.14285714285714</v>
      </c>
    </row>
    <row r="18" spans="1:28">
      <c r="A18" s="8"/>
      <c r="B18" s="8" t="s">
        <v>25</v>
      </c>
      <c r="C18" s="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8">
      <c r="A19" s="8"/>
      <c r="C19" s="8" t="s">
        <v>123</v>
      </c>
      <c r="D19" s="31">
        <f>'SGB1'!D22/'SGB1'!$Q22*100</f>
        <v>84.761293869696686</v>
      </c>
      <c r="E19" s="31">
        <f>'SGB1'!E22/'SGB1'!$Q22*100</f>
        <v>85.892971685146165</v>
      </c>
      <c r="F19" s="31">
        <f>'SGB1'!F22/'SGB1'!$Q22*100</f>
        <v>87.327041143590208</v>
      </c>
      <c r="G19" s="31">
        <f>'SGB1'!G22/'SGB1'!$Q22*100</f>
        <v>86.167873178777597</v>
      </c>
      <c r="H19" s="31">
        <f>'SGB1'!H22/'SGB1'!$Q22*100</f>
        <v>88.449555575918623</v>
      </c>
      <c r="I19" s="31">
        <f>'SGB1'!I22/'SGB1'!$Q22*100</f>
        <v>90.121872995509946</v>
      </c>
      <c r="J19" s="31">
        <f>'SGB1'!J22/'SGB1'!$Q22*100</f>
        <v>92.79299917529552</v>
      </c>
      <c r="K19" s="31">
        <f>'SGB1'!K22/'SGB1'!$Q22*100</f>
        <v>94.382846146797405</v>
      </c>
      <c r="L19" s="31">
        <f>'SGB1'!L22/'SGB1'!$Q22*100</f>
        <v>95.354164757628524</v>
      </c>
      <c r="M19" s="31">
        <f>'SGB1'!M22/'SGB1'!$Q22*100</f>
        <v>96.311738293778063</v>
      </c>
      <c r="N19" s="31">
        <f>'SGB1'!N22/'SGB1'!$Q22*100</f>
        <v>94.066709429121218</v>
      </c>
      <c r="O19" s="31">
        <f>'SGB1'!O22/'SGB1'!$Q22*100</f>
        <v>95.184642169889116</v>
      </c>
      <c r="P19" s="31">
        <f>'SGB1'!P22/'SGB1'!$Q22*100</f>
        <v>98.65756437276643</v>
      </c>
      <c r="Q19" s="31">
        <f>'SGB1'!Q22/'SGB1'!$Q22*100</f>
        <v>100</v>
      </c>
      <c r="R19" s="31">
        <f>'SGB1'!R22/'SGB1'!$R22*100</f>
        <v>100</v>
      </c>
      <c r="S19" s="31">
        <f>'SGB1'!S22/'SGB1'!$R22*100</f>
        <v>99.050854662204927</v>
      </c>
      <c r="T19" s="31">
        <f>'SGB1'!T22/'SGB1'!$R22*100</f>
        <v>101.58722980917065</v>
      </c>
      <c r="U19" s="31">
        <f>'SGB1'!U22/'SGB1'!$R22*100</f>
        <v>101.32947454101475</v>
      </c>
      <c r="V19" s="31">
        <f>'SGB1'!V22/'SGB1'!$R22*100</f>
        <v>100.05878628922854</v>
      </c>
      <c r="W19" s="31">
        <f>'SGB1'!W22/'SGB1'!$R22*100</f>
        <v>100.96319073889843</v>
      </c>
      <c r="X19" s="31">
        <f>'SGB1'!X22/'SGB1'!$R22*100</f>
        <v>99.44831328570136</v>
      </c>
      <c r="Y19" s="31">
        <f>'SGB1'!Y22/'SGB1'!$R22*100</f>
        <v>99.466401374694755</v>
      </c>
      <c r="Z19" s="31">
        <f>'SGB1'!Z22/'SGB1'!$R22*100</f>
        <v>98.186669078411867</v>
      </c>
      <c r="AA19" s="31">
        <f>'SGB1'!AA22/'SGB1'!$R22*100</f>
        <v>98.516776702541378</v>
      </c>
      <c r="AB19" s="31">
        <f>'SGB1'!AB22/'SGB1'!$R22*100</f>
        <v>99.556841819661742</v>
      </c>
    </row>
    <row r="20" spans="1:28">
      <c r="A20" s="8"/>
      <c r="B20" s="8"/>
      <c r="C20" s="8" t="s">
        <v>144</v>
      </c>
      <c r="D20" s="31">
        <f>'SGB1'!D23/'SGB1'!$Q23*100</f>
        <v>87.375565610859724</v>
      </c>
      <c r="E20" s="31">
        <f>'SGB1'!E23/'SGB1'!$Q23*100</f>
        <v>88.914027149321257</v>
      </c>
      <c r="F20" s="31">
        <f>'SGB1'!F23/'SGB1'!$Q23*100</f>
        <v>88.914027149321257</v>
      </c>
      <c r="G20" s="31">
        <f>'SGB1'!G23/'SGB1'!$Q23*100</f>
        <v>86.244343891402707</v>
      </c>
      <c r="H20" s="31">
        <f>'SGB1'!H23/'SGB1'!$Q23*100</f>
        <v>88.280542986425331</v>
      </c>
      <c r="I20" s="31">
        <f>'SGB1'!I23/'SGB1'!$Q23*100</f>
        <v>90.31674208144797</v>
      </c>
      <c r="J20" s="31">
        <f>'SGB1'!J23/'SGB1'!$Q23*100</f>
        <v>92.488687782805428</v>
      </c>
      <c r="K20" s="31">
        <f>'SGB1'!K23/'SGB1'!$Q23*100</f>
        <v>93.891402714932127</v>
      </c>
      <c r="L20" s="31">
        <f>'SGB1'!L23/'SGB1'!$Q23*100</f>
        <v>95.02262443438913</v>
      </c>
      <c r="M20" s="31">
        <f>'SGB1'!M23/'SGB1'!$Q23*100</f>
        <v>96.199095022624434</v>
      </c>
      <c r="N20" s="31">
        <f>'SGB1'!N23/'SGB1'!$Q23*100</f>
        <v>95.791855203619903</v>
      </c>
      <c r="O20" s="31">
        <f>'SGB1'!O23/'SGB1'!$Q23*100</f>
        <v>97.33031674208145</v>
      </c>
      <c r="P20" s="31">
        <f>'SGB1'!P23/'SGB1'!$Q23*100</f>
        <v>98.914027149321257</v>
      </c>
      <c r="Q20" s="31">
        <f>'SGB1'!Q23/'SGB1'!$Q23*100</f>
        <v>100</v>
      </c>
      <c r="R20" s="31">
        <f>'SGB1'!R23/'SGB1'!$R23*100</f>
        <v>100</v>
      </c>
      <c r="S20" s="31">
        <f>'SGB1'!S23/'SGB1'!$R23*100</f>
        <v>99.553770638107991</v>
      </c>
      <c r="T20" s="31">
        <f>'SGB1'!T23/'SGB1'!$R23*100</f>
        <v>100.89245872378403</v>
      </c>
      <c r="U20" s="31">
        <f>'SGB1'!U23/'SGB1'!$R23*100</f>
        <v>100.35698348951361</v>
      </c>
      <c r="V20" s="31">
        <f>'SGB1'!V23/'SGB1'!$R23*100</f>
        <v>99.419901829540393</v>
      </c>
      <c r="W20" s="31">
        <f>'SGB1'!W23/'SGB1'!$R23*100</f>
        <v>99.241410084783581</v>
      </c>
      <c r="X20" s="31">
        <f>'SGB1'!X23/'SGB1'!$R23*100</f>
        <v>97.947344935296741</v>
      </c>
      <c r="Y20" s="31">
        <f>'SGB1'!Y23/'SGB1'!$R23*100</f>
        <v>98.348951360999564</v>
      </c>
      <c r="Z20" s="31">
        <f>'SGB1'!Z23/'SGB1'!$R23*100</f>
        <v>97.501115573404732</v>
      </c>
      <c r="AA20" s="31">
        <f>'SGB1'!AA23/'SGB1'!$R23*100</f>
        <v>97.545738509593932</v>
      </c>
      <c r="AB20" s="31">
        <f>'SGB1'!AB23/'SGB1'!$R23*100</f>
        <v>99.419901829540393</v>
      </c>
    </row>
    <row r="21" spans="1:28">
      <c r="A21" s="8"/>
      <c r="B21" s="8" t="s">
        <v>128</v>
      </c>
      <c r="C21" s="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8">
      <c r="A22" s="8"/>
      <c r="B22" s="8"/>
      <c r="C22" s="8" t="s">
        <v>123</v>
      </c>
      <c r="D22" s="31">
        <f>'SGB1'!D25/'SGB1'!$Q25*100</f>
        <v>0</v>
      </c>
      <c r="E22" s="31">
        <f>'SGB1'!E25/'SGB1'!$Q25*100</f>
        <v>0</v>
      </c>
      <c r="F22" s="31">
        <f>'SGB1'!F25/'SGB1'!$Q25*100</f>
        <v>0</v>
      </c>
      <c r="G22" s="31">
        <f>'SGB1'!G25/'SGB1'!$Q25*100</f>
        <v>84.813739949569452</v>
      </c>
      <c r="H22" s="31">
        <f>'SGB1'!H25/'SGB1'!$Q25*100</f>
        <v>86.728674056805772</v>
      </c>
      <c r="I22" s="31">
        <f>'SGB1'!I25/'SGB1'!$Q25*100</f>
        <v>87.38760169370569</v>
      </c>
      <c r="J22" s="31">
        <f>'SGB1'!J25/'SGB1'!$Q25*100</f>
        <v>89.863932632380241</v>
      </c>
      <c r="K22" s="31">
        <f>'SGB1'!K25/'SGB1'!$Q25*100</f>
        <v>91.778866739616547</v>
      </c>
      <c r="L22" s="31">
        <f>'SGB1'!L25/'SGB1'!$Q25*100</f>
        <v>93.175222417812449</v>
      </c>
      <c r="M22" s="31">
        <f>'SGB1'!M25/'SGB1'!$Q25*100</f>
        <v>94.604881297873362</v>
      </c>
      <c r="N22" s="31">
        <f>'SGB1'!N25/'SGB1'!$Q25*100</f>
        <v>94.10771207003188</v>
      </c>
      <c r="O22" s="31">
        <f>'SGB1'!O25/'SGB1'!$Q25*100</f>
        <v>95.306627337171136</v>
      </c>
      <c r="P22" s="31">
        <f>'SGB1'!P25/'SGB1'!$Q25*100</f>
        <v>98.803463532993959</v>
      </c>
      <c r="Q22" s="31">
        <f>'SGB1'!Q25/'SGB1'!$Q25*100</f>
        <v>100</v>
      </c>
      <c r="R22" s="31">
        <f>'SGB1'!R25/'SGB1'!$R25*100</f>
        <v>100</v>
      </c>
      <c r="S22" s="31">
        <f>'SGB1'!S25/'SGB1'!$R25*100</f>
        <v>100.0293968278589</v>
      </c>
      <c r="T22" s="31">
        <f>'SGB1'!T25/'SGB1'!$R25*100</f>
        <v>103.31039097546888</v>
      </c>
      <c r="U22" s="31">
        <f>'SGB1'!U25/'SGB1'!$R25*100</f>
        <v>104.59126279630755</v>
      </c>
      <c r="V22" s="31">
        <f>'SGB1'!V25/'SGB1'!$R25*100</f>
        <v>104.13230324076024</v>
      </c>
      <c r="W22" s="31">
        <f>'SGB1'!W25/'SGB1'!$R25*100</f>
        <v>103.54455401401343</v>
      </c>
      <c r="X22" s="31">
        <f>'SGB1'!X25/'SGB1'!$R25*100</f>
        <v>101.83282220225279</v>
      </c>
      <c r="Y22" s="31">
        <f>'SGB1'!Y25/'SGB1'!$R25*100</f>
        <v>101.60334242447912</v>
      </c>
      <c r="Z22" s="31">
        <f>'SGB1'!Z25/'SGB1'!$R25*100</f>
        <v>101.97566165576497</v>
      </c>
      <c r="AA22" s="31">
        <f>'SGB1'!AA25/'SGB1'!$R25*100</f>
        <v>102.6570760979296</v>
      </c>
      <c r="AB22" s="31">
        <f>'SGB1'!AB25/'SGB1'!$R25*100</f>
        <v>104.87928333371737</v>
      </c>
    </row>
    <row r="23" spans="1:28">
      <c r="A23" s="8"/>
      <c r="B23" s="8"/>
      <c r="C23" s="8" t="s">
        <v>144</v>
      </c>
      <c r="D23" s="31">
        <f>'SGB1'!D26/'SGB1'!$Q26*100</f>
        <v>0</v>
      </c>
      <c r="E23" s="31">
        <f>'SGB1'!E26/'SGB1'!$Q26*100</f>
        <v>0</v>
      </c>
      <c r="F23" s="31">
        <f>'SGB1'!F26/'SGB1'!$Q26*100</f>
        <v>0</v>
      </c>
      <c r="G23" s="31">
        <f>'SGB1'!G26/'SGB1'!$Q26*100</f>
        <v>84.713375796178354</v>
      </c>
      <c r="H23" s="31">
        <f>'SGB1'!H26/'SGB1'!$Q26*100</f>
        <v>86.603657283747694</v>
      </c>
      <c r="I23" s="31">
        <f>'SGB1'!I26/'SGB1'!$Q26*100</f>
        <v>88.288473392233414</v>
      </c>
      <c r="J23" s="31">
        <f>'SGB1'!J26/'SGB1'!$Q26*100</f>
        <v>90.630778713786725</v>
      </c>
      <c r="K23" s="31">
        <f>'SGB1'!K26/'SGB1'!$Q26*100</f>
        <v>92.521060201356079</v>
      </c>
      <c r="L23" s="31">
        <f>'SGB1'!L26/'SGB1'!$Q26*100</f>
        <v>94.205876309841798</v>
      </c>
      <c r="M23" s="31">
        <f>'SGB1'!M26/'SGB1'!$Q26*100</f>
        <v>95.952332032052595</v>
      </c>
      <c r="N23" s="31">
        <f>'SGB1'!N26/'SGB1'!$Q26*100</f>
        <v>95.787959728785694</v>
      </c>
      <c r="O23" s="31">
        <f>'SGB1'!O26/'SGB1'!$Q26*100</f>
        <v>97.102938154920906</v>
      </c>
      <c r="P23" s="31">
        <f>'SGB1'!P26/'SGB1'!$Q26*100</f>
        <v>99.383603862749126</v>
      </c>
      <c r="Q23" s="31">
        <f>'SGB1'!Q26/'SGB1'!$Q26*100</f>
        <v>100</v>
      </c>
      <c r="R23" s="31">
        <f>'SGB1'!R26/'SGB1'!$R26*100</f>
        <v>100</v>
      </c>
      <c r="S23" s="31">
        <f>'SGB1'!S26/'SGB1'!$R26*100</f>
        <v>100</v>
      </c>
      <c r="T23" s="31">
        <f>'SGB1'!T26/'SGB1'!$R26*100</f>
        <v>101.45778497671594</v>
      </c>
      <c r="U23" s="31">
        <f>'SGB1'!U26/'SGB1'!$R26*100</f>
        <v>102.32840656003239</v>
      </c>
      <c r="V23" s="31">
        <f>'SGB1'!V26/'SGB1'!$R26*100</f>
        <v>101.35654990888845</v>
      </c>
      <c r="W23" s="31">
        <f>'SGB1'!W26/'SGB1'!$R26*100</f>
        <v>100.38469325774449</v>
      </c>
      <c r="X23" s="31">
        <f>'SGB1'!X26/'SGB1'!$R26*100</f>
        <v>98.785179186070053</v>
      </c>
      <c r="Y23" s="31">
        <f>'SGB1'!Y26/'SGB1'!$R26*100</f>
        <v>98.987649321725044</v>
      </c>
      <c r="Z23" s="31">
        <f>'SGB1'!Z26/'SGB1'!$R26*100</f>
        <v>98.62320307754608</v>
      </c>
      <c r="AA23" s="31">
        <f>'SGB1'!AA26/'SGB1'!$R26*100</f>
        <v>98.967402308159564</v>
      </c>
      <c r="AB23" s="31">
        <f>'SGB1'!AB26/'SGB1'!$R26*100</f>
        <v>101.33630289532294</v>
      </c>
    </row>
    <row r="24" spans="1:28">
      <c r="A24" s="8"/>
      <c r="B24" s="8"/>
      <c r="C24" s="8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8">
      <c r="A25" s="14" t="s">
        <v>454</v>
      </c>
      <c r="B25" s="8"/>
      <c r="C25" s="8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8">
      <c r="A26" s="8"/>
      <c r="B26" s="16"/>
      <c r="C26" s="8" t="s">
        <v>123</v>
      </c>
      <c r="D26" s="31">
        <f>'SGB1'!D29/'SGB1'!$Q29*100</f>
        <v>206.43789857273003</v>
      </c>
      <c r="E26" s="31">
        <f>'SGB1'!E29/'SGB1'!$Q29*100</f>
        <v>186.12207713331307</v>
      </c>
      <c r="F26" s="31">
        <f>'SGB1'!F29/'SGB1'!$Q29*100</f>
        <v>171.24202854539934</v>
      </c>
      <c r="G26" s="31">
        <f>'SGB1'!G29/'SGB1'!$Q29*100</f>
        <v>147.37321591254172</v>
      </c>
      <c r="H26" s="31">
        <f>'SGB1'!H29/'SGB1'!$Q29*100</f>
        <v>169.17704221075005</v>
      </c>
      <c r="I26" s="31">
        <f>'SGB1'!I29/'SGB1'!$Q29*100</f>
        <v>162.13179471606438</v>
      </c>
      <c r="J26" s="31">
        <f>'SGB1'!J29/'SGB1'!$Q29*100</f>
        <v>133.55602793805039</v>
      </c>
      <c r="K26" s="31">
        <f>'SGB1'!K29/'SGB1'!$Q29*100</f>
        <v>134.34558153659276</v>
      </c>
      <c r="L26" s="31">
        <f>'SGB1'!L29/'SGB1'!$Q29*100</f>
        <v>135.34770725781962</v>
      </c>
      <c r="M26" s="31">
        <f>'SGB1'!M29/'SGB1'!$Q29*100</f>
        <v>123.74734284846645</v>
      </c>
      <c r="N26" s="31">
        <f>'SGB1'!N29/'SGB1'!$Q29*100</f>
        <v>118.25083510476769</v>
      </c>
      <c r="O26" s="31">
        <f>'SGB1'!O29/'SGB1'!$Q29*100</f>
        <v>114.12086243546918</v>
      </c>
      <c r="P26" s="31">
        <f>'SGB1'!P29/'SGB1'!$Q29*100</f>
        <v>107.28818706346797</v>
      </c>
      <c r="Q26" s="31">
        <f>'SGB1'!Q29/'SGB1'!$Q29*100</f>
        <v>100</v>
      </c>
      <c r="R26" s="31">
        <f>'SGB1'!R29/'SGB1'!$R29*100</f>
        <v>100</v>
      </c>
      <c r="S26" s="31">
        <f>'SGB1'!S29/'SGB1'!$R29*100</f>
        <v>96.031229668184778</v>
      </c>
      <c r="T26" s="31">
        <f>'SGB1'!T29/'SGB1'!$R29*100</f>
        <v>95.933636955107346</v>
      </c>
      <c r="U26" s="31">
        <f>'SGB1'!U29/'SGB1'!$R29*100</f>
        <v>86.727391021470396</v>
      </c>
      <c r="V26" s="31">
        <f>'SGB1'!V29/'SGB1'!$R29*100</f>
        <v>92.550422901756676</v>
      </c>
      <c r="W26" s="31">
        <f>'SGB1'!W29/'SGB1'!$R29*100</f>
        <v>81.424853610930398</v>
      </c>
      <c r="X26" s="31">
        <f>'SGB1'!X29/'SGB1'!$R29*100</f>
        <v>70.819778789850361</v>
      </c>
      <c r="Y26" s="31">
        <f>'SGB1'!Y29/'SGB1'!$R29*100</f>
        <v>67.176317501626542</v>
      </c>
      <c r="Z26" s="31">
        <f>'SGB1'!Z29/'SGB1'!$R29*100</f>
        <v>70.234222511385809</v>
      </c>
      <c r="AA26" s="31">
        <f>'SGB1'!AA29/'SGB1'!$R29*100</f>
        <v>59.986987638256352</v>
      </c>
      <c r="AB26" s="31">
        <f>'SGB1'!AB29/'SGB1'!$R29*100</f>
        <v>61.613532856213403</v>
      </c>
    </row>
    <row r="27" spans="1:28">
      <c r="A27" s="8"/>
      <c r="B27" s="8"/>
      <c r="C27" s="8" t="s">
        <v>124</v>
      </c>
      <c r="D27" s="31">
        <f>'SGB1'!D30/'SGB1'!$Q30*100</f>
        <v>176.42885933091495</v>
      </c>
      <c r="E27" s="31">
        <f>'SGB1'!E30/'SGB1'!$Q30*100</f>
        <v>150.97675668413274</v>
      </c>
      <c r="F27" s="31">
        <f>'SGB1'!F30/'SGB1'!$Q30*100</f>
        <v>143.71893053876124</v>
      </c>
      <c r="G27" s="31">
        <f>'SGB1'!G30/'SGB1'!$Q30*100</f>
        <v>131.22128174123338</v>
      </c>
      <c r="H27" s="31">
        <f>'SGB1'!H30/'SGB1'!$Q30*100</f>
        <v>134.8649738008867</v>
      </c>
      <c r="I27" s="31">
        <f>'SGB1'!I30/'SGB1'!$Q30*100</f>
        <v>132.08115007389495</v>
      </c>
      <c r="J27" s="31">
        <f>'SGB1'!J30/'SGB1'!$Q30*100</f>
        <v>129.24089748757223</v>
      </c>
      <c r="K27" s="31">
        <f>'SGB1'!K30/'SGB1'!$Q30*100</f>
        <v>125.17264543866719</v>
      </c>
      <c r="L27" s="31">
        <f>'SGB1'!L30/'SGB1'!$Q30*100</f>
        <v>118.91710331855434</v>
      </c>
      <c r="M27" s="31">
        <f>'SGB1'!M30/'SGB1'!$Q30*100</f>
        <v>114.32218191589412</v>
      </c>
      <c r="N27" s="31">
        <f>'SGB1'!N30/'SGB1'!$Q30*100</f>
        <v>111.68614805857852</v>
      </c>
      <c r="O27" s="31">
        <f>'SGB1'!O30/'SGB1'!$Q30*100</f>
        <v>108.98831116485287</v>
      </c>
      <c r="P27" s="31">
        <f>'SGB1'!P30/'SGB1'!$Q30*100</f>
        <v>105.89009807873167</v>
      </c>
      <c r="Q27" s="31">
        <f>'SGB1'!Q30/'SGB1'!$Q30*100</f>
        <v>100</v>
      </c>
      <c r="R27" s="31">
        <f>'SGB1'!R30/'SGB1'!$R30*100</f>
        <v>100</v>
      </c>
      <c r="S27" s="31">
        <f>'SGB1'!S30/'SGB1'!$R30*100</f>
        <v>93.60717300806381</v>
      </c>
      <c r="T27" s="31">
        <f>'SGB1'!T30/'SGB1'!$R30*100</f>
        <v>92.704724753282292</v>
      </c>
      <c r="U27" s="31">
        <f>'SGB1'!U30/'SGB1'!$R30*100</f>
        <v>89.371488457395714</v>
      </c>
      <c r="V27" s="31">
        <f>'SGB1'!V30/'SGB1'!$R30*100</f>
        <v>83.176617856830944</v>
      </c>
      <c r="W27" s="31">
        <f>'SGB1'!W30/'SGB1'!$R30*100</f>
        <v>78.344153008646032</v>
      </c>
      <c r="X27" s="31">
        <f>'SGB1'!X30/'SGB1'!$R30*100</f>
        <v>71.372012459608158</v>
      </c>
      <c r="Y27" s="31">
        <f>'SGB1'!Y30/'SGB1'!$R30*100</f>
        <v>72.845040901283809</v>
      </c>
      <c r="Z27" s="31">
        <f>'SGB1'!Z30/'SGB1'!$R30*100</f>
        <v>72.175482518703973</v>
      </c>
      <c r="AA27" s="31">
        <f>'SGB1'!AA30/'SGB1'!$R30*100</f>
        <v>68.03295391691654</v>
      </c>
      <c r="AB27" s="31">
        <f>'SGB1'!AB30/'SGB1'!$R30*100</f>
        <v>71.561235480772041</v>
      </c>
    </row>
    <row r="28" spans="1:28">
      <c r="A28" s="8"/>
      <c r="B28" s="8"/>
      <c r="C28" s="8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8">
      <c r="A29" s="14" t="s">
        <v>455</v>
      </c>
      <c r="B29" s="13"/>
      <c r="C29" s="13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8">
      <c r="A30" s="8"/>
      <c r="B30" s="16"/>
      <c r="C30" s="8" t="s">
        <v>123</v>
      </c>
      <c r="D30" s="31">
        <f>'SGB1'!D33/'SGB1'!$R33*100</f>
        <v>127.17391304347827</v>
      </c>
      <c r="E30" s="31">
        <f>'SGB1'!E33/'SGB1'!$R33*100</f>
        <v>124.1304347826087</v>
      </c>
      <c r="F30" s="31">
        <f>'SGB1'!F33/'SGB1'!$R33*100</f>
        <v>115.65217391304347</v>
      </c>
      <c r="G30" s="31">
        <f>'SGB1'!G33/'SGB1'!$R33*100</f>
        <v>114.13043478260869</v>
      </c>
      <c r="H30" s="31">
        <f>'SGB1'!H33/'SGB1'!$R33*100</f>
        <v>111.52173913043477</v>
      </c>
      <c r="I30" s="31">
        <f>'SGB1'!I33/'SGB1'!$R33*100</f>
        <v>107.39130434782609</v>
      </c>
      <c r="J30" s="31">
        <f>'SGB1'!J33/'SGB1'!$R33*100</f>
        <v>103.8908695652174</v>
      </c>
      <c r="K30" s="31">
        <f>'SGB1'!K33/'SGB1'!$R33*100</f>
        <v>97.490217391304341</v>
      </c>
      <c r="L30" s="31">
        <f>'SGB1'!L33/'SGB1'!$R33*100</f>
        <v>92.13</v>
      </c>
      <c r="M30" s="31">
        <f>'SGB1'!M33/'SGB1'!$R33*100</f>
        <v>98.866086956521741</v>
      </c>
      <c r="N30" s="31">
        <f>'SGB1'!N33/'SGB1'!$R33*100</f>
        <v>99.554130434782607</v>
      </c>
      <c r="O30" s="31">
        <f>'SGB1'!O33/'SGB1'!$R33*100</f>
        <v>101.27152173913043</v>
      </c>
      <c r="P30" s="31">
        <f>'SGB1'!P33/'SGB1'!$R33*100</f>
        <v>102.33478260869566</v>
      </c>
      <c r="Q30" s="32">
        <f>'SGB1'!Q33/'SGB1'!$R33*100</f>
        <v>103.82217391304347</v>
      </c>
      <c r="R30" s="31">
        <f>'SGB1'!R33/'SGB1'!$R33*100</f>
        <v>100</v>
      </c>
      <c r="S30" s="31">
        <f>'SGB1'!S33/'SGB1'!$R33*100</f>
        <v>101.30434782608695</v>
      </c>
      <c r="T30" s="31">
        <f>'SGB1'!T33/'SGB1'!$R33*100</f>
        <v>103.47826086956522</v>
      </c>
      <c r="U30" s="31">
        <f>'SGB1'!U33/'SGB1'!$R33*100</f>
        <v>106.08695652173914</v>
      </c>
      <c r="V30" s="31">
        <f>'SGB1'!V33/'SGB1'!$R33*100</f>
        <v>105.21739130434781</v>
      </c>
      <c r="W30" s="31">
        <f>'SGB1'!W33/'SGB1'!$R33*100</f>
        <v>99.782608695652172</v>
      </c>
      <c r="X30" s="31">
        <f>'SGB1'!X33/'SGB1'!$R33*100</f>
        <v>93.913043478260875</v>
      </c>
      <c r="Y30" s="31">
        <f>'SGB1'!Y33/'SGB1'!$R33*100</f>
        <v>95.027218771480221</v>
      </c>
      <c r="Z30" s="31">
        <f>'SGB1'!Z33/'SGB1'!$R33*100</f>
        <v>91.852888976890867</v>
      </c>
      <c r="AA30" s="31">
        <f>'SGB1'!AA33/'SGB1'!$R33*100</f>
        <v>92.216771967064346</v>
      </c>
      <c r="AB30" s="31">
        <f>'SGB1'!AB33/'SGB1'!$R33*100</f>
        <v>89.984900566960874</v>
      </c>
    </row>
    <row r="31" spans="1:28">
      <c r="A31" s="8"/>
      <c r="B31" s="16"/>
      <c r="C31" s="8" t="s">
        <v>124</v>
      </c>
      <c r="D31" s="31">
        <v>106.5934065934066</v>
      </c>
      <c r="E31" s="31">
        <v>102.52747252747253</v>
      </c>
      <c r="F31" s="31">
        <v>98.461538461538467</v>
      </c>
      <c r="G31" s="31">
        <v>96.285714285714292</v>
      </c>
      <c r="H31" s="31">
        <v>97.010989010989007</v>
      </c>
      <c r="I31" s="31">
        <v>95.956043956043956</v>
      </c>
      <c r="J31" s="31">
        <v>97.912087912087912</v>
      </c>
      <c r="K31" s="31">
        <v>97.362637362637358</v>
      </c>
      <c r="L31" s="31">
        <v>95.604395604395606</v>
      </c>
      <c r="M31" s="31">
        <v>96.175824175824175</v>
      </c>
      <c r="N31" s="31">
        <v>97.142857142857139</v>
      </c>
      <c r="O31" s="31">
        <v>97.912087912087912</v>
      </c>
      <c r="P31" s="31">
        <v>100</v>
      </c>
      <c r="Q31" s="32"/>
      <c r="R31" s="31">
        <f>'SGB1'!R34/'SGB1'!$R34*100</f>
        <v>100</v>
      </c>
      <c r="S31" s="31">
        <f>'SGB1'!S34/'SGB1'!$R34*100</f>
        <v>101.94342474627511</v>
      </c>
      <c r="T31" s="31">
        <f>'SGB1'!T34/'SGB1'!$R34*100</f>
        <v>106.08939753832864</v>
      </c>
      <c r="U31" s="31">
        <f>'SGB1'!U34/'SGB1'!$R34*100</f>
        <v>111.4662060030231</v>
      </c>
      <c r="V31" s="31">
        <f>'SGB1'!V34/'SGB1'!$R34*100</f>
        <v>113.77672209026129</v>
      </c>
      <c r="W31" s="31">
        <f>'SGB1'!W34/'SGB1'!$R34*100</f>
        <v>112.50269920103648</v>
      </c>
      <c r="X31" s="31">
        <f>'SGB1'!X34/'SGB1'!$R34*100</f>
        <v>112.02763981861369</v>
      </c>
      <c r="Y31" s="31">
        <f>'SGB1'!Y34/'SGB1'!$R34*100</f>
        <v>112.61066724249622</v>
      </c>
      <c r="Z31" s="31">
        <f>'SGB1'!Z34/'SGB1'!$R34*100</f>
        <v>110.58086806305334</v>
      </c>
      <c r="AA31" s="31">
        <f>'SGB1'!AA34/'SGB1'!$R34*100</f>
        <v>112.41632476786872</v>
      </c>
      <c r="AB31" s="31">
        <f>'SGB1'!AB34/'SGB1'!$R34*100</f>
        <v>111.48779961131505</v>
      </c>
    </row>
    <row r="32" spans="1:28">
      <c r="A32" s="8"/>
      <c r="B32" s="16"/>
      <c r="C32" s="8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8">
      <c r="A33" s="14" t="s">
        <v>456</v>
      </c>
      <c r="B33" s="8"/>
      <c r="C33" s="16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8">
      <c r="A34" s="8"/>
      <c r="B34" s="16"/>
      <c r="C34" s="8" t="s">
        <v>123</v>
      </c>
      <c r="D34" s="31">
        <f>'SGB1'!D37/'SGB1'!$Q37*100</f>
        <v>98.044584844608011</v>
      </c>
      <c r="E34" s="31">
        <f>'SGB1'!E37/'SGB1'!$Q37*100</f>
        <v>98.057286467185321</v>
      </c>
      <c r="F34" s="31">
        <f>'SGB1'!F37/'SGB1'!$Q37*100</f>
        <v>107.71145416513603</v>
      </c>
      <c r="G34" s="31">
        <f>'SGB1'!G37/'SGB1'!$Q37*100</f>
        <v>106.70845931323549</v>
      </c>
      <c r="H34" s="31">
        <f>'SGB1'!H37/'SGB1'!$Q37*100</f>
        <v>98.877170244134064</v>
      </c>
      <c r="I34" s="31">
        <f>'SGB1'!I37/'SGB1'!$Q37*100</f>
        <v>101.37237549809288</v>
      </c>
      <c r="J34" s="31">
        <f>'SGB1'!J37/'SGB1'!$Q37*100</f>
        <v>102.85735734884152</v>
      </c>
      <c r="K34" s="31">
        <f>'SGB1'!K37/'SGB1'!$Q37*100</f>
        <v>108.61837127584219</v>
      </c>
      <c r="L34" s="31">
        <f>'SGB1'!L37/'SGB1'!$Q37*100</f>
        <v>111.74935710573388</v>
      </c>
      <c r="M34" s="31">
        <f>'SGB1'!M37/'SGB1'!$Q37*100</f>
        <v>116.07906322478408</v>
      </c>
      <c r="N34" s="31">
        <f>'SGB1'!N37/'SGB1'!$Q37*100</f>
        <v>115.9142069805991</v>
      </c>
      <c r="O34" s="31">
        <f>'SGB1'!O37/'SGB1'!$Q37*100</f>
        <v>115.52263694703906</v>
      </c>
      <c r="P34" s="31">
        <f>'SGB1'!P37/'SGB1'!$Q37*100</f>
        <v>93.708133687512841</v>
      </c>
      <c r="Q34" s="31">
        <f>'SGB1'!Q37/'SGB1'!$Q37*100</f>
        <v>100</v>
      </c>
      <c r="R34" s="31">
        <f>'SGB1'!R37/'SGB1'!$R37*100</f>
        <v>100</v>
      </c>
      <c r="S34" s="31">
        <f>'SGB1'!S37/'SGB1'!$R37*100</f>
        <v>108.94513100183715</v>
      </c>
      <c r="T34" s="31">
        <f>'SGB1'!T37/'SGB1'!$R37*100</f>
        <v>113.92322873005773</v>
      </c>
      <c r="U34" s="31">
        <f>'SGB1'!U37/'SGB1'!$R37*100</f>
        <v>118.75371909930567</v>
      </c>
      <c r="V34" s="31">
        <f>'SGB1'!V37/'SGB1'!$R37*100</f>
        <v>124.48664810992673</v>
      </c>
      <c r="W34" s="31">
        <f>'SGB1'!W37/'SGB1'!$R37*100</f>
        <v>124.84222321888181</v>
      </c>
      <c r="X34" s="31">
        <f>'SGB1'!X37/'SGB1'!$R37*100</f>
        <v>129.69460523586429</v>
      </c>
      <c r="Y34" s="31">
        <f>'SGB1'!Y37/'SGB1'!$R37*100</f>
        <v>136.00335285612709</v>
      </c>
      <c r="Z34" s="31">
        <f>'SGB1'!Z37/'SGB1'!$R37*100</f>
        <v>139.98874338598017</v>
      </c>
      <c r="AA34" s="31">
        <f>'SGB1'!AA37/'SGB1'!$R37*100</f>
        <v>141.53615968909452</v>
      </c>
      <c r="AB34" s="701" t="s">
        <v>7</v>
      </c>
    </row>
    <row r="35" spans="1:28">
      <c r="A35" s="8"/>
      <c r="B35" s="8"/>
      <c r="C35" s="8" t="s">
        <v>124</v>
      </c>
      <c r="D35" s="31">
        <f>'SGB1'!D38/'SGB1'!$Q38*100</f>
        <v>102.35091432510501</v>
      </c>
      <c r="E35" s="31">
        <f>'SGB1'!E38/'SGB1'!$Q38*100</f>
        <v>100.07644956232488</v>
      </c>
      <c r="F35" s="31">
        <f>'SGB1'!F38/'SGB1'!$Q38*100</f>
        <v>97.29654818559365</v>
      </c>
      <c r="G35" s="31">
        <f>'SGB1'!G38/'SGB1'!$Q38*100</f>
        <v>93.505773580960124</v>
      </c>
      <c r="H35" s="31">
        <f>'SGB1'!H38/'SGB1'!$Q38*100</f>
        <v>92.873977813521208</v>
      </c>
      <c r="I35" s="31">
        <f>'SGB1'!I38/'SGB1'!$Q38*100</f>
        <v>96.159315804203587</v>
      </c>
      <c r="J35" s="31">
        <f>'SGB1'!J38/'SGB1'!$Q38*100</f>
        <v>101.21368194371496</v>
      </c>
      <c r="K35" s="31">
        <f>'SGB1'!K38/'SGB1'!$Q38*100</f>
        <v>106.89984385066522</v>
      </c>
      <c r="L35" s="31">
        <f>'SGB1'!L38/'SGB1'!$Q38*100</f>
        <v>112.71236491110331</v>
      </c>
      <c r="M35" s="31">
        <f>'SGB1'!M38/'SGB1'!$Q38*100</f>
        <v>117.64037189712685</v>
      </c>
      <c r="N35" s="31">
        <f>'SGB1'!N38/'SGB1'!$Q38*100</f>
        <v>95.410926929531655</v>
      </c>
      <c r="O35" s="31">
        <f>'SGB1'!O38/'SGB1'!$Q38*100</f>
        <v>95.859592523926352</v>
      </c>
      <c r="P35" s="31">
        <f>'SGB1'!P38/'SGB1'!$Q38*100</f>
        <v>97.968166292972555</v>
      </c>
      <c r="Q35" s="31">
        <f>'SGB1'!Q38/'SGB1'!$Q38*100</f>
        <v>100</v>
      </c>
      <c r="R35" s="31">
        <f>'SGB1'!R38/'SGB1'!$R38*100</f>
        <v>100</v>
      </c>
      <c r="S35" s="31">
        <f>'SGB1'!S38/'SGB1'!$R38*100</f>
        <v>102.33902407442854</v>
      </c>
      <c r="T35" s="31">
        <f>'SGB1'!T38/'SGB1'!$R38*100</f>
        <v>121.71363744502031</v>
      </c>
      <c r="U35" s="31">
        <f>'SGB1'!U38/'SGB1'!$R38*100</f>
        <v>125.92124557582855</v>
      </c>
      <c r="V35" s="31">
        <f>'SGB1'!V38/'SGB1'!$R38*100</f>
        <v>132.86131765051266</v>
      </c>
      <c r="W35" s="31">
        <f>'SGB1'!W38/'SGB1'!$R38*100</f>
        <v>131.77646027184844</v>
      </c>
      <c r="X35" s="31">
        <f>'SGB1'!X38/'SGB1'!$R38*100</f>
        <v>143.53143401249642</v>
      </c>
      <c r="Y35" s="31">
        <f>'SGB1'!Y38/'SGB1'!$R38*100</f>
        <v>152.09479294259611</v>
      </c>
      <c r="Z35" s="31">
        <f>'SGB1'!Z38/'SGB1'!$R38*100</f>
        <v>156.9633390736808</v>
      </c>
      <c r="AA35" s="31">
        <f>'SGB1'!AA38/'SGB1'!$R38*100</f>
        <v>164.8764534722099</v>
      </c>
      <c r="AB35" s="701" t="s">
        <v>7</v>
      </c>
    </row>
    <row r="36" spans="1:28">
      <c r="A36" s="8"/>
      <c r="B36" s="8"/>
      <c r="C36" s="8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8">
      <c r="A37" s="14" t="s">
        <v>130</v>
      </c>
      <c r="B37" s="8"/>
      <c r="C37" s="16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8">
      <c r="A38" s="8"/>
      <c r="B38" s="16"/>
      <c r="C38" s="8" t="s">
        <v>123</v>
      </c>
      <c r="D38" s="31">
        <f>'SGB1'!D41/'SGB1'!$Q41*100</f>
        <v>46.955036994877638</v>
      </c>
      <c r="E38" s="31">
        <f>'SGB1'!E41/'SGB1'!$Q41*100</f>
        <v>45.39224056156327</v>
      </c>
      <c r="F38" s="31">
        <f>'SGB1'!F41/'SGB1'!$Q41*100</f>
        <v>49.24492506165813</v>
      </c>
      <c r="G38" s="31">
        <f>'SGB1'!G41/'SGB1'!$Q41*100</f>
        <v>52.74520963763991</v>
      </c>
      <c r="H38" s="31">
        <f>'SGB1'!H41/'SGB1'!$Q41*100</f>
        <v>55.904951622083097</v>
      </c>
      <c r="I38" s="31">
        <f>'SGB1'!I41/'SGB1'!$Q41*100</f>
        <v>58.399734395750336</v>
      </c>
      <c r="J38" s="31">
        <f>'SGB1'!J41/'SGB1'!$Q41*100</f>
        <v>62.673117055587177</v>
      </c>
      <c r="K38" s="31">
        <f>'SGB1'!K41/'SGB1'!$Q41*100</f>
        <v>68.255549231644849</v>
      </c>
      <c r="L38" s="31">
        <f>'SGB1'!L41/'SGB1'!$Q41*100</f>
        <v>72.059381521532913</v>
      </c>
      <c r="M38" s="31">
        <f>'SGB1'!M41/'SGB1'!$Q41*100</f>
        <v>75.607095427812567</v>
      </c>
      <c r="N38" s="31">
        <f>'SGB1'!N41/'SGB1'!$Q41*100</f>
        <v>79.619616771011195</v>
      </c>
      <c r="O38" s="31">
        <f>'SGB1'!O41/'SGB1'!$Q41*100</f>
        <v>85.756972111553793</v>
      </c>
      <c r="P38" s="31">
        <f>'SGB1'!P41/'SGB1'!$Q41*100</f>
        <v>93.829444128248923</v>
      </c>
      <c r="Q38" s="31">
        <f>'SGB1'!Q41/'SGB1'!$Q41*100</f>
        <v>100</v>
      </c>
      <c r="R38" s="31">
        <f>'SGB1'!R41/'SGB1'!$R41*100</f>
        <v>100</v>
      </c>
      <c r="S38" s="31">
        <f>'SGB1'!S41/'SGB1'!$R41*100</f>
        <v>105.49767235646199</v>
      </c>
      <c r="T38" s="31">
        <f>'SGB1'!T41/'SGB1'!$R41*100</f>
        <v>108.34404788295279</v>
      </c>
      <c r="U38" s="31">
        <f>'SGB1'!U41/'SGB1'!$R41*100</f>
        <v>111.42540456661494</v>
      </c>
      <c r="V38" s="31">
        <f>'SGB1'!V41/'SGB1'!$R41*100</f>
        <v>107.94945688317445</v>
      </c>
      <c r="W38" s="31">
        <f>'SGB1'!W41/'SGB1'!$R41*100</f>
        <v>99.738417202394146</v>
      </c>
      <c r="X38" s="31">
        <f>'SGB1'!X41/'SGB1'!$R41*100</f>
        <v>92.693416093992468</v>
      </c>
      <c r="Y38" s="31">
        <f>'SGB1'!Y41/'SGB1'!$R41*100</f>
        <v>97.827532697849705</v>
      </c>
      <c r="Z38" s="31">
        <f>'SGB1'!Z41/'SGB1'!$R41*100</f>
        <v>98.457104854799383</v>
      </c>
      <c r="AA38" s="31">
        <f>'SGB1'!AA41/'SGB1'!$R41*100</f>
        <v>103.08135668366216</v>
      </c>
      <c r="AB38" s="31">
        <f>'SGB1'!AB41/'SGB1'!$R41*100</f>
        <v>106.74351585014409</v>
      </c>
    </row>
    <row r="39" spans="1:28">
      <c r="A39" s="8"/>
      <c r="B39" s="8"/>
      <c r="C39" s="8" t="s">
        <v>131</v>
      </c>
      <c r="D39" s="31">
        <f>'SGB1'!D42/'SGB1'!$Q42*100</f>
        <v>51.2</v>
      </c>
      <c r="E39" s="31">
        <f>'SGB1'!E42/'SGB1'!$Q42*100</f>
        <v>47.9</v>
      </c>
      <c r="F39" s="31">
        <f>'SGB1'!F42/'SGB1'!$Q42*100</f>
        <v>53.05</v>
      </c>
      <c r="G39" s="31">
        <f>'SGB1'!G42/'SGB1'!$Q42*100</f>
        <v>56.15</v>
      </c>
      <c r="H39" s="31">
        <f>'SGB1'!H42/'SGB1'!$Q42*100</f>
        <v>61.1</v>
      </c>
      <c r="I39" s="31">
        <f>'SGB1'!I42/'SGB1'!$Q42*100</f>
        <v>64.7</v>
      </c>
      <c r="J39" s="31">
        <f>'SGB1'!J42/'SGB1'!$Q42*100</f>
        <v>67.900000000000006</v>
      </c>
      <c r="K39" s="31">
        <f>'SGB1'!K42/'SGB1'!$Q42*100</f>
        <v>73.349999999999994</v>
      </c>
      <c r="L39" s="31">
        <f>'SGB1'!L42/'SGB1'!$Q42*100</f>
        <v>79.45</v>
      </c>
      <c r="M39" s="31">
        <f>'SGB1'!M42/'SGB1'!$Q42*100</f>
        <v>84.2</v>
      </c>
      <c r="N39" s="31">
        <f>'SGB1'!N42/'SGB1'!$Q42*100</f>
        <v>89.942606499999997</v>
      </c>
      <c r="O39" s="31">
        <f>'SGB1'!O42/'SGB1'!$Q42*100</f>
        <v>90.615437499999999</v>
      </c>
      <c r="P39" s="31">
        <f>'SGB1'!P42/'SGB1'!$Q42*100</f>
        <v>94.4</v>
      </c>
      <c r="Q39" s="31">
        <f>'SGB1'!Q42/'SGB1'!$Q42*100</f>
        <v>100</v>
      </c>
      <c r="R39" s="31">
        <f>'SGB1'!R42/'SGB1'!$R42*100</f>
        <v>100</v>
      </c>
      <c r="S39" s="31">
        <f>'SGB1'!S42/'SGB1'!$R42*100</f>
        <v>105.80296708391286</v>
      </c>
      <c r="T39" s="31">
        <f>'SGB1'!T42/'SGB1'!$R42*100</f>
        <v>109.03987019007882</v>
      </c>
      <c r="U39" s="31">
        <f>'SGB1'!U42/'SGB1'!$R42*100</f>
        <v>111.60037088548911</v>
      </c>
      <c r="V39" s="31">
        <f>'SGB1'!V42/'SGB1'!$R42*100</f>
        <v>109.13305516921652</v>
      </c>
      <c r="W39" s="31">
        <f>'SGB1'!W42/'SGB1'!$R42*100</f>
        <v>101.1126564673157</v>
      </c>
      <c r="X39" s="31">
        <f>'SGB1'!X42/'SGB1'!$R42*100</f>
        <v>97.66110338433009</v>
      </c>
      <c r="Y39" s="31">
        <f>'SGB1'!Y42/'SGB1'!$R42*100</f>
        <v>101.66388502549837</v>
      </c>
      <c r="Z39" s="31">
        <f>'SGB1'!Z42/'SGB1'!$R42*100</f>
        <v>102.29160871580901</v>
      </c>
      <c r="AA39" s="31">
        <f>'SGB1'!AA42/'SGB1'!$R42*100</f>
        <v>105.87946221604081</v>
      </c>
      <c r="AB39" s="31">
        <f>'SGB1'!AB42/'SGB1'!$R42*100</f>
        <v>110.50625869262865</v>
      </c>
    </row>
    <row r="40" spans="1:28">
      <c r="A40" s="70"/>
      <c r="B40" s="70"/>
      <c r="C40" s="7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8" ht="12.75" customHeight="1">
      <c r="A41" s="14" t="s">
        <v>132</v>
      </c>
      <c r="B41" s="8"/>
      <c r="C41" s="16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73"/>
    </row>
    <row r="42" spans="1:28">
      <c r="A42" s="14"/>
      <c r="B42" s="16" t="s">
        <v>381</v>
      </c>
      <c r="C42" s="16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8">
      <c r="A43" s="8"/>
      <c r="C43" s="8" t="s">
        <v>123</v>
      </c>
      <c r="D43" s="31">
        <f>'SGB1'!D46/'SGB1'!$Q46*100</f>
        <v>104.95436766623207</v>
      </c>
      <c r="E43" s="31">
        <f>'SGB1'!E46/'SGB1'!$Q46*100</f>
        <v>97.001303780964804</v>
      </c>
      <c r="F43" s="31">
        <f>'SGB1'!F46/'SGB1'!$Q46*100</f>
        <v>102.41199478487613</v>
      </c>
      <c r="G43" s="31">
        <f>'SGB1'!G46/'SGB1'!$Q46*100</f>
        <v>103.58539765319425</v>
      </c>
      <c r="H43" s="31">
        <f>'SGB1'!H46/'SGB1'!$Q46*100</f>
        <v>101.56453715775751</v>
      </c>
      <c r="I43" s="31">
        <f>'SGB1'!I46/'SGB1'!$Q46*100</f>
        <v>102.80312907431551</v>
      </c>
      <c r="J43" s="31">
        <f>'SGB1'!J46/'SGB1'!$Q46*100</f>
        <v>105.8670143415906</v>
      </c>
      <c r="K43" s="31">
        <f>'SGB1'!K46/'SGB1'!$Q46*100</f>
        <v>102.60756192959583</v>
      </c>
      <c r="L43" s="31">
        <f>'SGB1'!L46/'SGB1'!$Q46*100</f>
        <v>101.43415906127771</v>
      </c>
      <c r="M43" s="31">
        <f>'SGB1'!M46/'SGB1'!$Q46*100</f>
        <v>101.56453715775751</v>
      </c>
      <c r="N43" s="31">
        <f>'SGB1'!N46/'SGB1'!$Q46*100</f>
        <v>103.32464146023467</v>
      </c>
      <c r="O43" s="31">
        <f>'SGB1'!O46/'SGB1'!$Q46*100</f>
        <v>98.305084745762713</v>
      </c>
      <c r="P43" s="31">
        <f>'SGB1'!P46/'SGB1'!$Q46*100</f>
        <v>100.65189048239895</v>
      </c>
      <c r="Q43" s="31">
        <f>'SGB1'!Q46/'SGB1'!$Q46*100</f>
        <v>100</v>
      </c>
      <c r="R43" s="31">
        <f>'SGB1'!R46/'SGB1'!$R46*100</f>
        <v>100</v>
      </c>
      <c r="S43" s="31">
        <f>'SGB1'!S46/'SGB1'!$R46*100</f>
        <v>95.66724436741768</v>
      </c>
      <c r="T43" s="31">
        <f>'SGB1'!T46/'SGB1'!$R46*100</f>
        <v>98.229498107458127</v>
      </c>
      <c r="U43" s="31">
        <f>'SGB1'!U46/'SGB1'!$R46*100</f>
        <v>102.15395239547385</v>
      </c>
      <c r="V43" s="31">
        <f>'SGB1'!V46/'SGB1'!$R46*100</f>
        <v>90.717205605803613</v>
      </c>
      <c r="W43" s="31">
        <f>'SGB1'!W46/'SGB1'!$R46*100</f>
        <v>76.212281815939548</v>
      </c>
      <c r="X43" s="31">
        <f>'SGB1'!X46/'SGB1'!$R46*100</f>
        <v>76.218350299787673</v>
      </c>
      <c r="Y43" s="31">
        <f>'SGB1'!Y46/'SGB1'!$R46*100</f>
        <v>83.304448295782791</v>
      </c>
      <c r="Z43" s="31">
        <f>'SGB1'!Z46/'SGB1'!$R46*100</f>
        <v>87.001733102253027</v>
      </c>
      <c r="AA43" s="31">
        <f>'SGB1'!AA46/'SGB1'!$R46*100</f>
        <v>78.451761987290595</v>
      </c>
      <c r="AB43" s="31">
        <f>'SGB1'!AB46/'SGB1'!$R46*100</f>
        <v>79.491623339110333</v>
      </c>
    </row>
    <row r="44" spans="1:28">
      <c r="A44" s="8"/>
      <c r="B44" s="16"/>
      <c r="C44" s="697" t="s">
        <v>131</v>
      </c>
      <c r="D44" s="33">
        <f>'SGB1'!D47/'SGB1'!$Q47*100</f>
        <v>100.12172854534388</v>
      </c>
      <c r="E44" s="33">
        <f>'SGB1'!E47/'SGB1'!$Q47*100</f>
        <v>91.600730371272064</v>
      </c>
      <c r="F44" s="33">
        <f>'SGB1'!F47/'SGB1'!$Q47*100</f>
        <v>89.044430919050527</v>
      </c>
      <c r="G44" s="33">
        <f>'SGB1'!G47/'SGB1'!$Q47*100</f>
        <v>92.696287279367013</v>
      </c>
      <c r="H44" s="33">
        <f>'SGB1'!H47/'SGB1'!$Q47*100</f>
        <v>97.200243457090679</v>
      </c>
      <c r="I44" s="33">
        <f>'SGB1'!I47/'SGB1'!$Q47*100</f>
        <v>97.930614729153987</v>
      </c>
      <c r="J44" s="33">
        <f>'SGB1'!J47/'SGB1'!$Q47*100</f>
        <v>99.087035909920871</v>
      </c>
      <c r="K44" s="33">
        <f>'SGB1'!K47/'SGB1'!$Q47*100</f>
        <v>100</v>
      </c>
      <c r="L44" s="33">
        <f>'SGB1'!L47/'SGB1'!$Q47*100</f>
        <v>99.20876445526477</v>
      </c>
      <c r="M44" s="33">
        <f>'SGB1'!M47/'SGB1'!$Q47*100</f>
        <v>95.374315276932435</v>
      </c>
      <c r="N44" s="33">
        <f>'SGB1'!N47/'SGB1'!$Q47*100</f>
        <v>96.956786366402923</v>
      </c>
      <c r="O44" s="33">
        <f>'SGB1'!O47/'SGB1'!$Q47*100</f>
        <v>96.226415094339629</v>
      </c>
      <c r="P44" s="33">
        <f>'SGB1'!P47/'SGB1'!$Q47*100</f>
        <v>99.026171637248936</v>
      </c>
      <c r="Q44" s="32">
        <f>'SGB1'!Q47/'SGB1'!$Q47*100</f>
        <v>100</v>
      </c>
      <c r="R44" s="31">
        <f>'SGB1'!R47/'SGB1'!$R47*100</f>
        <v>100</v>
      </c>
      <c r="S44" s="31">
        <f>'SGB1'!S47/'SGB1'!$R47*100</f>
        <v>100.11467889908256</v>
      </c>
      <c r="T44" s="31">
        <f>'SGB1'!T47/'SGB1'!$R47*100</f>
        <v>101.83486238532109</v>
      </c>
      <c r="U44" s="31">
        <f>'SGB1'!U47/'SGB1'!$R47*100</f>
        <v>104.47247706422019</v>
      </c>
      <c r="V44" s="31">
        <f>'SGB1'!V47/'SGB1'!$R47*100</f>
        <v>95.642201834862391</v>
      </c>
      <c r="W44" s="31">
        <f>'SGB1'!W47/'SGB1'!$R47*100</f>
        <v>77.752293577981646</v>
      </c>
      <c r="X44" s="31">
        <f>'SGB1'!X47/'SGB1'!$R47*100</f>
        <v>85.37844036697247</v>
      </c>
      <c r="Y44" s="31">
        <f>'SGB1'!Y47/'SGB1'!$R47*100</f>
        <v>89.392201834862391</v>
      </c>
      <c r="Z44" s="31">
        <f>'SGB1'!Z47/'SGB1'!$R47*100</f>
        <v>90.997706422018354</v>
      </c>
      <c r="AA44" s="31">
        <f>'SGB1'!AA47/'SGB1'!$R47*100</f>
        <v>84.575688073394488</v>
      </c>
      <c r="AB44" s="31">
        <f>'SGB1'!AB47/'SGB1'!$R47*100</f>
        <v>85.435779816513758</v>
      </c>
    </row>
    <row r="45" spans="1:28">
      <c r="A45" s="8"/>
      <c r="B45" s="16" t="s">
        <v>372</v>
      </c>
      <c r="C45" s="8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8">
      <c r="A46" s="8"/>
      <c r="C46" s="8" t="s">
        <v>123</v>
      </c>
      <c r="D46" s="31">
        <f>'SGB1'!D49/'SGB1'!$Q49*100</f>
        <v>117.80924807405924</v>
      </c>
      <c r="E46" s="31">
        <f>'SGB1'!E49/'SGB1'!$Q49*100</f>
        <v>108.19216659862583</v>
      </c>
      <c r="F46" s="31">
        <f>'SGB1'!F49/'SGB1'!$Q49*100</f>
        <v>83.668608836270636</v>
      </c>
      <c r="G46" s="31">
        <f>'SGB1'!G49/'SGB1'!$Q49*100</f>
        <v>60.226972739901704</v>
      </c>
      <c r="H46" s="31">
        <f>'SGB1'!H49/'SGB1'!$Q49*100</f>
        <v>64.915299959175499</v>
      </c>
      <c r="I46" s="31">
        <f>'SGB1'!I49/'SGB1'!$Q49*100</f>
        <v>0</v>
      </c>
      <c r="J46" s="31">
        <f>'SGB1'!J49/'SGB1'!$Q49*100</f>
        <v>65.275940514504242</v>
      </c>
      <c r="K46" s="31">
        <f>'SGB1'!K49/'SGB1'!$Q49*100</f>
        <v>84.630316983813984</v>
      </c>
      <c r="L46" s="31">
        <f>'SGB1'!L49/'SGB1'!$Q49*100</f>
        <v>92.44419568260362</v>
      </c>
      <c r="M46" s="31">
        <f>'SGB1'!M49/'SGB1'!$Q49*100</f>
        <v>99.05593919696409</v>
      </c>
      <c r="N46" s="31">
        <f>'SGB1'!N49/'SGB1'!$Q49*100</f>
        <v>99.176152715407</v>
      </c>
      <c r="O46" s="31">
        <f>'SGB1'!O49/'SGB1'!$Q49*100</f>
        <v>115.04627258751907</v>
      </c>
      <c r="P46" s="31">
        <f>'SGB1'!P49/'SGB1'!$Q49*100</f>
        <v>109.63468073453346</v>
      </c>
      <c r="Q46" s="31">
        <f>'SGB1'!Q49/'SGB1'!$Q49*100</f>
        <v>100</v>
      </c>
      <c r="R46" s="31">
        <f>'SGB1'!R49/'SGB1'!$R49*100</f>
        <v>100</v>
      </c>
      <c r="S46" s="31">
        <f>'SGB1'!S49/'SGB1'!$R49*100</f>
        <v>127.28888888888889</v>
      </c>
      <c r="T46" s="31">
        <f>'SGB1'!T49/'SGB1'!$R49*100</f>
        <v>115.20000000000002</v>
      </c>
      <c r="U46" s="31">
        <f>'SGB1'!U49/'SGB1'!$R49*100</f>
        <v>100.8888888888889</v>
      </c>
      <c r="V46" s="31">
        <f>'SGB1'!V49/'SGB1'!$R49*100</f>
        <v>92.088888888888889</v>
      </c>
      <c r="W46" s="31">
        <f>'SGB1'!W49/'SGB1'!$R49*100</f>
        <v>86.133333333333326</v>
      </c>
      <c r="X46" s="31">
        <f>'SGB1'!X49/'SGB1'!$R49*100</f>
        <v>74.044444444444451</v>
      </c>
      <c r="Y46" s="31">
        <f>'SGB1'!Y49/'SGB1'!$R49*100</f>
        <v>87.733333333333334</v>
      </c>
      <c r="Z46" s="31">
        <f>'SGB1'!Z49/'SGB1'!$R49*100</f>
        <v>74.933333333333323</v>
      </c>
      <c r="AA46" s="701" t="s">
        <v>7</v>
      </c>
      <c r="AB46" s="701" t="s">
        <v>7</v>
      </c>
    </row>
    <row r="47" spans="1:28">
      <c r="A47" s="8"/>
      <c r="B47" s="16"/>
      <c r="C47" s="6" t="s">
        <v>124</v>
      </c>
      <c r="D47" s="33">
        <f>'SGB1'!D50/'SGB1'!$Q50*100</f>
        <v>155.23059617547804</v>
      </c>
      <c r="E47" s="33">
        <f>'SGB1'!E50/'SGB1'!$Q50*100</f>
        <v>152.75590551181102</v>
      </c>
      <c r="F47" s="33">
        <f>'SGB1'!F50/'SGB1'!$Q50*100</f>
        <v>137.6827896512936</v>
      </c>
      <c r="G47" s="33">
        <f>'SGB1'!G50/'SGB1'!$Q50*100</f>
        <v>116.08548931383578</v>
      </c>
      <c r="H47" s="33">
        <f>'SGB1'!H50/'SGB1'!$Q50*100</f>
        <v>109.44881889763778</v>
      </c>
      <c r="I47" s="32">
        <f>'SGB1'!I50/'SGB1'!$Q50*100</f>
        <v>113.27334083239595</v>
      </c>
      <c r="J47" s="33">
        <f>'SGB1'!J50/'SGB1'!$Q50*100</f>
        <v>114.39820022497187</v>
      </c>
      <c r="K47" s="33">
        <f>'SGB1'!K50/'SGB1'!$Q50*100</f>
        <v>118.56017997750281</v>
      </c>
      <c r="L47" s="33">
        <f>'SGB1'!L50/'SGB1'!$Q50*100</f>
        <v>114.84814398200223</v>
      </c>
      <c r="M47" s="33">
        <f>'SGB1'!M50/'SGB1'!$Q50*100</f>
        <v>103.3745781777278</v>
      </c>
      <c r="N47" s="33">
        <f>'SGB1'!N50/'SGB1'!$Q50*100</f>
        <v>107.31158605174353</v>
      </c>
      <c r="O47" s="33">
        <f>'SGB1'!O50/'SGB1'!$Q50*100</f>
        <v>106.18672665916759</v>
      </c>
      <c r="P47" s="33">
        <f>'SGB1'!P50/'SGB1'!$Q50*100</f>
        <v>97.86276715410574</v>
      </c>
      <c r="Q47" s="32">
        <f>'SGB1'!Q50/'SGB1'!$Q50*100</f>
        <v>100</v>
      </c>
      <c r="R47" s="31">
        <f>'SGB1'!R50/'SGB1'!$R50*100</f>
        <v>100</v>
      </c>
      <c r="S47" s="31">
        <f>'SGB1'!S50/'SGB1'!$R50*100</f>
        <v>105.1948051948052</v>
      </c>
      <c r="T47" s="31">
        <f>'SGB1'!T50/'SGB1'!$R50*100</f>
        <v>108.29170829170832</v>
      </c>
      <c r="U47" s="31">
        <f>'SGB1'!U50/'SGB1'!$R50*100</f>
        <v>102.29770229770232</v>
      </c>
      <c r="V47" s="31">
        <f>'SGB1'!V50/'SGB1'!$R50*100</f>
        <v>102.59740259740259</v>
      </c>
      <c r="W47" s="31">
        <f>'SGB1'!W50/'SGB1'!$R50*100</f>
        <v>87.112887112887122</v>
      </c>
      <c r="X47" s="31">
        <f>'SGB1'!X50/'SGB1'!$R50*100</f>
        <v>89.810189810189826</v>
      </c>
      <c r="Y47" s="31">
        <f>'SGB1'!Y50/'SGB1'!$R50*100</f>
        <v>101.59840159840161</v>
      </c>
      <c r="Z47" s="31">
        <f>'SGB1'!Z50/'SGB1'!$R50*100</f>
        <v>112.98701298701299</v>
      </c>
      <c r="AA47" s="31">
        <f>'SGB1'!AA50/'SGB1'!$R50*100</f>
        <v>116.43561312359809</v>
      </c>
      <c r="AB47" s="31">
        <f>'SGB1'!AB50/'SGB1'!$R50*100</f>
        <v>110.0650508321734</v>
      </c>
    </row>
    <row r="48" spans="1:28">
      <c r="A48" s="8"/>
      <c r="B48" s="16" t="s">
        <v>14</v>
      </c>
      <c r="C48" s="8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31">
      <c r="A49" s="8"/>
      <c r="C49" s="8" t="s">
        <v>123</v>
      </c>
      <c r="D49" s="31">
        <f>'SGB1'!D52/'SGB1'!$Q52*100</f>
        <v>153.25474115838028</v>
      </c>
      <c r="E49" s="31">
        <f>'SGB1'!E52/'SGB1'!$Q52*100</f>
        <v>161.9682214249103</v>
      </c>
      <c r="F49" s="31">
        <f>'SGB1'!F52/'SGB1'!$Q52*100</f>
        <v>154.27985648385442</v>
      </c>
      <c r="G49" s="31">
        <f>'SGB1'!G52/'SGB1'!$Q52*100</f>
        <v>125.57662737057917</v>
      </c>
      <c r="H49" s="31">
        <f>'SGB1'!H52/'SGB1'!$Q52*100</f>
        <v>140.95335725269092</v>
      </c>
      <c r="I49" s="31">
        <f>'SGB1'!I52/'SGB1'!$Q52*100</f>
        <v>163.50589441312147</v>
      </c>
      <c r="J49" s="31">
        <f>'SGB1'!J52/'SGB1'!$Q52*100</f>
        <v>185.54587391081498</v>
      </c>
      <c r="K49" s="31">
        <f>'SGB1'!K52/'SGB1'!$Q52*100</f>
        <v>176.83239364428496</v>
      </c>
      <c r="L49" s="31">
        <f>'SGB1'!L52/'SGB1'!$Q52*100</f>
        <v>203.48539210661198</v>
      </c>
      <c r="M49" s="32">
        <f>'SGB1'!M52/'SGB1'!$Q52*100</f>
        <v>180.93285494618141</v>
      </c>
      <c r="N49" s="31">
        <f>'SGB1'!N52/'SGB1'!$Q52*100</f>
        <v>126.60174269605329</v>
      </c>
      <c r="O49" s="31">
        <f>'SGB1'!O52/'SGB1'!$Q52*100</f>
        <v>105.58687852383393</v>
      </c>
      <c r="P49" s="31">
        <f>'SGB1'!P52/'SGB1'!$Q52*100</f>
        <v>98.411071245515117</v>
      </c>
      <c r="Q49" s="31">
        <f>'SGB1'!Q52/'SGB1'!$Q52*100</f>
        <v>100</v>
      </c>
      <c r="R49" s="31">
        <f>'SGB1'!R52/'SGB1'!$R52*100</f>
        <v>100</v>
      </c>
      <c r="S49" s="31">
        <f>'SGB1'!S52/'SGB1'!$R52*100</f>
        <v>124.59736456808201</v>
      </c>
      <c r="T49" s="31">
        <f>'SGB1'!T52/'SGB1'!$R52*100</f>
        <v>100.43923865300147</v>
      </c>
      <c r="U49" s="31">
        <f>'SGB1'!U52/'SGB1'!$R52*100</f>
        <v>111.22498779892631</v>
      </c>
      <c r="V49" s="31">
        <f>'SGB1'!V52/'SGB1'!$R52*100</f>
        <v>113.6163982430454</v>
      </c>
      <c r="W49" s="31">
        <f>'SGB1'!W52/'SGB1'!$R52*100</f>
        <v>96.82772083943388</v>
      </c>
      <c r="X49" s="31">
        <f>'SGB1'!X52/'SGB1'!$R52*100</f>
        <v>87.603709126403132</v>
      </c>
      <c r="Y49" s="31">
        <f>'SGB1'!Y52/'SGB1'!$R52*100</f>
        <v>79.697413372376772</v>
      </c>
      <c r="Z49" s="31">
        <f>'SGB1'!Z52/'SGB1'!$R52*100</f>
        <v>61.200585651537331</v>
      </c>
      <c r="AA49" s="31">
        <f>'SGB1'!AA52/'SGB1'!$R52*100</f>
        <v>55.588091752074185</v>
      </c>
      <c r="AB49" s="31">
        <f>'SGB1'!AB52/'SGB1'!$R52*100</f>
        <v>57.637872132747688</v>
      </c>
    </row>
    <row r="50" spans="1:31">
      <c r="A50" s="8"/>
      <c r="B50" s="16"/>
      <c r="C50" s="8" t="s">
        <v>131</v>
      </c>
      <c r="D50" s="31">
        <f>'SGB1'!D53/'SGB1'!$Q53*100</f>
        <v>108.75631626081903</v>
      </c>
      <c r="E50" s="31">
        <f>'SGB1'!E53/'SGB1'!$Q53*100</f>
        <v>111.7674846263466</v>
      </c>
      <c r="F50" s="31">
        <f>'SGB1'!F53/'SGB1'!$Q53*100</f>
        <v>109.81908156629936</v>
      </c>
      <c r="G50" s="31">
        <f>'SGB1'!G53/'SGB1'!$Q53*100</f>
        <v>106.6307856498584</v>
      </c>
      <c r="H50" s="31">
        <f>'SGB1'!H53/'SGB1'!$Q53*100</f>
        <v>108.40206115899227</v>
      </c>
      <c r="I50" s="31">
        <f>'SGB1'!I53/'SGB1'!$Q53*100</f>
        <v>119.91535196836236</v>
      </c>
      <c r="J50" s="31">
        <f>'SGB1'!J53/'SGB1'!$Q53*100</f>
        <v>125.58343359759073</v>
      </c>
      <c r="K50" s="31">
        <f>'SGB1'!K53/'SGB1'!$Q53*100</f>
        <v>125.93768869941746</v>
      </c>
      <c r="L50" s="31">
        <f>'SGB1'!L53/'SGB1'!$Q53*100</f>
        <v>136.91959685604741</v>
      </c>
      <c r="M50" s="32">
        <f>'SGB1'!M53/'SGB1'!$Q53*100</f>
        <v>129.30311216677183</v>
      </c>
      <c r="N50" s="31">
        <f>'SGB1'!N53/'SGB1'!$Q53*100</f>
        <v>111.7674846263466</v>
      </c>
      <c r="O50" s="31">
        <f>'SGB1'!O53/'SGB1'!$Q53*100</f>
        <v>98.225705664415116</v>
      </c>
      <c r="P50" s="31">
        <f>'SGB1'!P53/'SGB1'!$Q53*100</f>
        <v>102.58922337611772</v>
      </c>
      <c r="Q50" s="31">
        <f>'SGB1'!Q53/'SGB1'!$Q53*100</f>
        <v>100</v>
      </c>
      <c r="R50" s="31">
        <f>'SGB1'!R53/'SGB1'!$R53*100</f>
        <v>100</v>
      </c>
      <c r="S50" s="31">
        <f>'SGB1'!S53/'SGB1'!$R53*100</f>
        <v>108.84722988772356</v>
      </c>
      <c r="T50" s="31">
        <f>'SGB1'!T53/'SGB1'!$R53*100</f>
        <v>94.79063534395884</v>
      </c>
      <c r="U50" s="31">
        <f>'SGB1'!U53/'SGB1'!$R53*100</f>
        <v>96.277818375911124</v>
      </c>
      <c r="V50" s="31">
        <f>'SGB1'!V53/'SGB1'!$R53*100</f>
        <v>97.24392909091209</v>
      </c>
      <c r="W50" s="31">
        <f>'SGB1'!W53/'SGB1'!$R53*100</f>
        <v>91.291453851749949</v>
      </c>
      <c r="X50" s="31">
        <f>'SGB1'!X53/'SGB1'!$R53*100</f>
        <v>84.461494968060052</v>
      </c>
      <c r="Y50" s="31">
        <f>'SGB1'!Y53/'SGB1'!$R53*100</f>
        <v>82.45890311199679</v>
      </c>
      <c r="Z50" s="31">
        <f>'SGB1'!Z53/'SGB1'!$R53*100</f>
        <v>71.650442311498736</v>
      </c>
      <c r="AA50" s="31">
        <f>'SGB1'!AA53/'SGB1'!$R53*100</f>
        <v>63.415865734396114</v>
      </c>
      <c r="AB50" s="31">
        <f>'SGB1'!AB53/'SGB1'!$R53*100</f>
        <v>66.063941608680636</v>
      </c>
    </row>
    <row r="51" spans="1:31">
      <c r="A51" s="8"/>
      <c r="B51" s="16" t="s">
        <v>380</v>
      </c>
      <c r="C51" s="8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31">
      <c r="A52" s="8"/>
      <c r="C52" s="8" t="s">
        <v>123</v>
      </c>
      <c r="D52" s="31">
        <f>'SGB1'!D55/'SGB1'!$Q55*100</f>
        <v>97.108407638713402</v>
      </c>
      <c r="E52" s="31">
        <f>'SGB1'!E55/'SGB1'!$Q55*100</f>
        <v>77.253528753474598</v>
      </c>
      <c r="F52" s="31">
        <f>'SGB1'!F55/'SGB1'!$Q55*100</f>
        <v>86.639471499223859</v>
      </c>
      <c r="G52" s="31">
        <f>'SGB1'!G55/'SGB1'!$Q55*100</f>
        <v>97.108407638713402</v>
      </c>
      <c r="H52" s="31">
        <f>'SGB1'!H55/'SGB1'!$Q55*100</f>
        <v>86.942709649471141</v>
      </c>
      <c r="I52" s="31">
        <f>'SGB1'!I55/'SGB1'!$Q55*100</f>
        <v>92.494855781379741</v>
      </c>
      <c r="J52" s="31">
        <f>'SGB1'!J55/'SGB1'!$Q55*100</f>
        <v>92.422656221797055</v>
      </c>
      <c r="K52" s="31">
        <f>'SGB1'!K55/'SGB1'!$Q55*100</f>
        <v>92.830583733439227</v>
      </c>
      <c r="L52" s="31">
        <f>'SGB1'!L55/'SGB1'!$Q55*100</f>
        <v>101.29959207248835</v>
      </c>
      <c r="M52" s="31">
        <f>'SGB1'!M55/'SGB1'!$Q55*100</f>
        <v>101.16963286523952</v>
      </c>
      <c r="N52" s="31">
        <f>'SGB1'!N55/'SGB1'!$Q55*100</f>
        <v>101.61727013465219</v>
      </c>
      <c r="O52" s="31">
        <f>'SGB1'!O55/'SGB1'!$Q55*100</f>
        <v>101.55590050900689</v>
      </c>
      <c r="P52" s="31">
        <f>'SGB1'!P55/'SGB1'!$Q55*100</f>
        <v>101.23100249088482</v>
      </c>
      <c r="Q52" s="31">
        <f>'SGB1'!Q55/'SGB1'!$Q55*100</f>
        <v>100</v>
      </c>
      <c r="R52" s="31">
        <f>'SGB1'!R55/'SGB1'!$R55*100</f>
        <v>100</v>
      </c>
      <c r="S52" s="31">
        <f>'SGB1'!S55/'SGB1'!$R55*100</f>
        <v>99.822637596916124</v>
      </c>
      <c r="T52" s="31">
        <f>'SGB1'!T55/'SGB1'!$R55*100</f>
        <v>100.54599004327058</v>
      </c>
      <c r="U52" s="31">
        <f>'SGB1'!U55/'SGB1'!$R55*100</f>
        <v>99.460961373738883</v>
      </c>
      <c r="V52" s="31">
        <f>'SGB1'!V55/'SGB1'!$R55*100</f>
        <v>99.822637596916124</v>
      </c>
      <c r="W52" s="31">
        <f>'SGB1'!W55/'SGB1'!$R55*100</f>
        <v>99.822637596916124</v>
      </c>
      <c r="X52" s="31">
        <f>'SGB1'!X55/'SGB1'!$R55*100</f>
        <v>99.822637596916124</v>
      </c>
      <c r="Y52" s="31">
        <f>'SGB1'!Y55/'SGB1'!$R55*100</f>
        <v>100.54599004327058</v>
      </c>
      <c r="Z52" s="31">
        <f>'SGB1'!Z55/'SGB1'!$R55*100</f>
        <v>101.99269493597951</v>
      </c>
      <c r="AA52" s="701" t="s">
        <v>7</v>
      </c>
      <c r="AB52" s="701" t="s">
        <v>7</v>
      </c>
    </row>
    <row r="53" spans="1:31">
      <c r="A53" s="8"/>
      <c r="B53" s="8"/>
      <c r="C53" s="6" t="s">
        <v>124</v>
      </c>
      <c r="D53" s="31">
        <f>'SGB1'!D56/'SGB1'!$Q56*100</f>
        <v>220.40875806040293</v>
      </c>
      <c r="E53" s="31">
        <f>'SGB1'!E56/'SGB1'!$Q56*100</f>
        <v>191.26379831687856</v>
      </c>
      <c r="F53" s="31">
        <f>'SGB1'!F56/'SGB1'!$Q56*100</f>
        <v>193.08535830084884</v>
      </c>
      <c r="G53" s="31">
        <f>'SGB1'!G56/'SGB1'!$Q56*100</f>
        <v>227.69499799628397</v>
      </c>
      <c r="H53" s="32">
        <f>'SGB1'!H56/'SGB1'!$Q56*100</f>
        <v>133.32534336405698</v>
      </c>
      <c r="I53" s="31">
        <f>'SGB1'!I56/'SGB1'!$Q56*100</f>
        <v>109.32908666982404</v>
      </c>
      <c r="J53" s="31">
        <f>'SGB1'!J56/'SGB1'!$Q56*100</f>
        <v>123.48233451127545</v>
      </c>
      <c r="K53" s="31">
        <f>'SGB1'!K56/'SGB1'!$Q56*100</f>
        <v>111.84498342380414</v>
      </c>
      <c r="L53" s="31">
        <f>'SGB1'!L56/'SGB1'!$Q56*100</f>
        <v>118.38853510146087</v>
      </c>
      <c r="M53" s="31">
        <f>'SGB1'!M56/'SGB1'!$Q56*100</f>
        <v>117.99414732777149</v>
      </c>
      <c r="N53" s="31">
        <f>'SGB1'!N56/'SGB1'!$Q56*100</f>
        <v>115.82255273416153</v>
      </c>
      <c r="O53" s="31">
        <f>'SGB1'!O56/'SGB1'!$Q56*100</f>
        <v>114.71386753615795</v>
      </c>
      <c r="P53" s="31">
        <f>'SGB1'!P56/'SGB1'!$Q56*100</f>
        <v>106.39185398375169</v>
      </c>
      <c r="Q53" s="31">
        <f>'SGB1'!Q56/'SGB1'!$Q56*100</f>
        <v>100</v>
      </c>
      <c r="R53" s="31">
        <f>'SGB1'!R56/'SGB1'!$R56*100</f>
        <v>100</v>
      </c>
      <c r="S53" s="31">
        <f>'SGB1'!S56/'SGB1'!$R56*100</f>
        <v>98.773884470213616</v>
      </c>
      <c r="T53" s="31">
        <f>'SGB1'!T56/'SGB1'!$R56*100</f>
        <v>97.169254578098233</v>
      </c>
      <c r="U53" s="31">
        <f>'SGB1'!U56/'SGB1'!$R56*100</f>
        <v>94.673163634807636</v>
      </c>
      <c r="V53" s="31">
        <f>'SGB1'!V56/'SGB1'!$R56*100</f>
        <v>95.029748055277722</v>
      </c>
      <c r="W53" s="31">
        <f>'SGB1'!W56/'SGB1'!$R56*100</f>
        <v>95.564624685982849</v>
      </c>
      <c r="X53" s="31">
        <f>'SGB1'!X56/'SGB1'!$R56*100</f>
        <v>95.386332475747807</v>
      </c>
      <c r="Y53" s="31">
        <f>'SGB1'!Y56/'SGB1'!$R56*100</f>
        <v>95.742916896217906</v>
      </c>
      <c r="Z53" s="31">
        <f>'SGB1'!Z56/'SGB1'!$R56*100</f>
        <v>96.812670157628148</v>
      </c>
      <c r="AA53" s="701" t="s">
        <v>7</v>
      </c>
      <c r="AB53" s="701" t="s">
        <v>7</v>
      </c>
    </row>
    <row r="54" spans="1:31" hidden="1">
      <c r="A54" s="14" t="s">
        <v>138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73"/>
      <c r="Q54" s="73"/>
      <c r="R54" s="73"/>
      <c r="S54" s="73"/>
      <c r="T54" s="8"/>
      <c r="U54" s="8"/>
      <c r="V54" s="8"/>
      <c r="W54" s="8"/>
      <c r="X54" s="8"/>
      <c r="Y54" s="8"/>
      <c r="Z54" s="8"/>
    </row>
    <row r="55" spans="1:31" hidden="1">
      <c r="A55" s="14" t="s">
        <v>260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73"/>
      <c r="Q55" s="73"/>
      <c r="R55" s="73"/>
      <c r="S55" s="73"/>
      <c r="T55" s="8"/>
      <c r="U55" s="8"/>
      <c r="V55" s="8"/>
      <c r="W55" s="8"/>
      <c r="X55" s="8"/>
      <c r="Y55" s="8"/>
      <c r="Z55" s="8"/>
    </row>
    <row r="56" spans="1:31" hidden="1">
      <c r="A56" s="14"/>
      <c r="B56" s="8"/>
      <c r="C56" s="8" t="s">
        <v>123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73" t="e">
        <v>#REF!</v>
      </c>
      <c r="Q56" s="73" t="e">
        <v>#REF!</v>
      </c>
      <c r="R56" s="73" t="e">
        <v>#REF!</v>
      </c>
      <c r="S56" s="74" t="s">
        <v>7</v>
      </c>
      <c r="T56" s="74" t="s">
        <v>7</v>
      </c>
    </row>
    <row r="57" spans="1:31" hidden="1">
      <c r="A57" s="14"/>
      <c r="B57" s="6"/>
      <c r="C57" s="6" t="s">
        <v>124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73" t="e">
        <v>#REF!</v>
      </c>
      <c r="Q57" s="73" t="e">
        <v>#REF!</v>
      </c>
      <c r="R57" s="73" t="e">
        <v>#REF!</v>
      </c>
      <c r="S57" s="74" t="s">
        <v>7</v>
      </c>
      <c r="T57" s="74" t="s">
        <v>7</v>
      </c>
    </row>
    <row r="58" spans="1:31" hidden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73"/>
      <c r="Q58" s="73"/>
      <c r="R58" s="73"/>
      <c r="S58" s="73"/>
      <c r="T58" s="8"/>
      <c r="U58" s="8"/>
      <c r="V58" s="8"/>
      <c r="W58" s="8"/>
      <c r="X58" s="8"/>
      <c r="Y58" s="8"/>
      <c r="Z58" s="8"/>
    </row>
    <row r="59" spans="1:31" ht="4.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80"/>
      <c r="Q59" s="80"/>
      <c r="R59" s="80"/>
      <c r="S59" s="80"/>
      <c r="T59" s="28"/>
      <c r="U59" s="28"/>
      <c r="V59" s="28"/>
      <c r="W59" s="28"/>
      <c r="X59" s="28"/>
      <c r="Y59" s="28"/>
      <c r="Z59" s="28"/>
      <c r="AA59" s="348"/>
      <c r="AB59" s="348"/>
      <c r="AE59" s="75" t="s">
        <v>139</v>
      </c>
    </row>
    <row r="60" spans="1:31">
      <c r="A60" s="77">
        <v>1</v>
      </c>
      <c r="B60" s="373" t="s">
        <v>459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76"/>
      <c r="Q60" s="76"/>
      <c r="R60" s="76"/>
      <c r="S60" s="76"/>
      <c r="T60" s="76"/>
      <c r="U60" s="8"/>
      <c r="V60" s="8"/>
      <c r="W60" s="8"/>
      <c r="Y60" s="8"/>
      <c r="Z60" s="8"/>
      <c r="AA60" s="8"/>
    </row>
    <row r="61" spans="1:31">
      <c r="A61" s="77">
        <v>2</v>
      </c>
      <c r="B61" s="6" t="s">
        <v>460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76"/>
      <c r="Q61" s="76"/>
      <c r="R61" s="76"/>
      <c r="S61" s="76"/>
      <c r="T61" s="76"/>
      <c r="U61" s="8"/>
      <c r="V61" s="8"/>
      <c r="W61" s="8"/>
      <c r="Y61" s="8"/>
      <c r="Z61" s="8"/>
      <c r="AA61" s="8"/>
    </row>
    <row r="62" spans="1:31">
      <c r="A62" s="77">
        <v>3</v>
      </c>
      <c r="B62" s="8" t="s">
        <v>135</v>
      </c>
    </row>
    <row r="63" spans="1:31" s="8" customFormat="1" ht="12.75">
      <c r="A63" s="77">
        <v>4</v>
      </c>
      <c r="B63" s="6" t="s">
        <v>39</v>
      </c>
    </row>
    <row r="64" spans="1:31" s="8" customFormat="1" ht="12.75">
      <c r="A64" s="77">
        <v>5</v>
      </c>
      <c r="B64" s="6" t="s">
        <v>136</v>
      </c>
    </row>
    <row r="65" spans="1:27" ht="11.25" customHeight="1">
      <c r="A65" s="77">
        <v>6</v>
      </c>
      <c r="B65" s="6" t="s">
        <v>137</v>
      </c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7" ht="15" customHeight="1">
      <c r="A66" s="77">
        <v>7</v>
      </c>
      <c r="B66" s="297" t="s">
        <v>398</v>
      </c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7">
      <c r="A67" s="77">
        <v>8</v>
      </c>
      <c r="B67" s="6" t="s">
        <v>133</v>
      </c>
      <c r="D67" s="299"/>
      <c r="E67" s="299"/>
      <c r="F67" s="299"/>
      <c r="G67" s="299"/>
      <c r="H67" s="299"/>
      <c r="I67" s="299"/>
      <c r="J67" s="299"/>
      <c r="K67" s="299"/>
      <c r="L67" s="299"/>
      <c r="M67" s="299"/>
      <c r="N67" s="299"/>
      <c r="O67" s="299"/>
      <c r="P67" s="297"/>
      <c r="Q67" s="297"/>
      <c r="R67" s="297"/>
      <c r="S67" s="297"/>
      <c r="T67" s="297"/>
      <c r="U67" s="297"/>
      <c r="V67" s="297"/>
      <c r="W67" s="297"/>
      <c r="X67" s="297"/>
      <c r="Y67" s="297"/>
      <c r="Z67" s="297"/>
      <c r="AA67" s="299"/>
    </row>
    <row r="68" spans="1:27">
      <c r="A68" s="8"/>
      <c r="B68" s="27" t="s">
        <v>134</v>
      </c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7">
      <c r="A69" s="77">
        <v>9</v>
      </c>
      <c r="B69" s="8" t="s">
        <v>466</v>
      </c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7">
      <c r="A70" s="77">
        <v>10</v>
      </c>
      <c r="B70" s="8" t="s">
        <v>467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</sheetData>
  <phoneticPr fontId="3" type="noConversion"/>
  <pageMargins left="0.74803149606299213" right="0.78740157480314965" top="0.70866141732283472" bottom="0.55118110236220474" header="0.51181102362204722" footer="0.51181102362204722"/>
  <pageSetup paperSize="9" scale="7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pageSetUpPr fitToPage="1"/>
  </sheetPr>
  <dimension ref="A1:P65"/>
  <sheetViews>
    <sheetView zoomScale="75" zoomScaleNormal="75" workbookViewId="0">
      <selection activeCell="R48" sqref="R48"/>
    </sheetView>
  </sheetViews>
  <sheetFormatPr defaultColWidth="12.5703125" defaultRowHeight="15"/>
  <cols>
    <col min="1" max="1" width="4.5703125" style="18" customWidth="1"/>
    <col min="2" max="2" width="2.28515625" style="18" customWidth="1"/>
    <col min="3" max="3" width="13.85546875" style="18" customWidth="1"/>
    <col min="4" max="4" width="10.7109375" style="18" hidden="1" customWidth="1"/>
    <col min="5" max="5" width="12.85546875" style="18" hidden="1" customWidth="1"/>
    <col min="6" max="15" width="12.85546875" style="18" customWidth="1"/>
    <col min="16" max="16" width="9.85546875" style="18" customWidth="1"/>
    <col min="17" max="16384" width="12.5703125" style="18"/>
  </cols>
  <sheetData>
    <row r="1" spans="1:16" ht="2.25" customHeight="1"/>
    <row r="2" spans="1:16" ht="21.75">
      <c r="A2" s="46" t="s">
        <v>669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649" t="s">
        <v>626</v>
      </c>
      <c r="O2" s="45"/>
    </row>
    <row r="3" spans="1:16" ht="18">
      <c r="A3" s="59"/>
      <c r="B3" s="58"/>
      <c r="C3" s="58"/>
      <c r="D3" s="58"/>
      <c r="E3" s="58"/>
      <c r="F3" s="58"/>
      <c r="G3" s="58"/>
      <c r="H3" s="45"/>
      <c r="I3" s="45"/>
      <c r="J3" s="45"/>
      <c r="K3" s="45"/>
      <c r="L3" s="45"/>
      <c r="M3" s="524"/>
      <c r="N3" s="45"/>
      <c r="O3" s="45"/>
    </row>
    <row r="4" spans="1:16" s="62" customFormat="1" ht="21" customHeight="1">
      <c r="A4" s="650"/>
      <c r="B4" s="650"/>
      <c r="C4" s="650"/>
      <c r="D4" s="651">
        <v>2002</v>
      </c>
      <c r="E4" s="651">
        <v>2003</v>
      </c>
      <c r="F4" s="651">
        <v>2004</v>
      </c>
      <c r="G4" s="651">
        <v>2005</v>
      </c>
      <c r="H4" s="651">
        <v>2006</v>
      </c>
      <c r="I4" s="651">
        <v>2007</v>
      </c>
      <c r="J4" s="651">
        <v>2008</v>
      </c>
      <c r="K4" s="651">
        <v>2009</v>
      </c>
      <c r="L4" s="651">
        <v>2010</v>
      </c>
      <c r="M4" s="651">
        <v>2011</v>
      </c>
      <c r="N4" s="651">
        <v>2012</v>
      </c>
      <c r="O4" s="651">
        <v>2013</v>
      </c>
      <c r="P4" s="651">
        <v>2014</v>
      </c>
    </row>
    <row r="5" spans="1:16" s="62" customFormat="1" ht="21" customHeight="1">
      <c r="A5" s="652"/>
      <c r="B5" s="652"/>
      <c r="C5" s="652" t="s">
        <v>139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6" ht="18.75">
      <c r="A6" s="46" t="s">
        <v>530</v>
      </c>
      <c r="B6" s="47"/>
      <c r="C6" s="49"/>
      <c r="D6" s="610"/>
      <c r="E6" s="610"/>
      <c r="F6" s="610"/>
      <c r="G6" s="610"/>
      <c r="H6" s="610"/>
      <c r="I6" s="610"/>
      <c r="J6" s="45"/>
      <c r="K6" s="610"/>
      <c r="L6" s="610"/>
      <c r="M6" s="610"/>
      <c r="N6" s="610"/>
      <c r="P6" s="610" t="s">
        <v>140</v>
      </c>
    </row>
    <row r="7" spans="1:16" ht="18">
      <c r="A7" s="45"/>
      <c r="B7" s="49"/>
      <c r="C7" s="45" t="s">
        <v>123</v>
      </c>
      <c r="D7" s="653">
        <f>'SGB1'!P6/pop!P5*100000</f>
        <v>45.992893801816031</v>
      </c>
      <c r="E7" s="653">
        <f>'SGB1'!Q6/pop!Q5*100000</f>
        <v>47.015685113939028</v>
      </c>
      <c r="F7" s="653">
        <f>'SGB1'!R6/pop!R5*100000</f>
        <v>48.151839977971406</v>
      </c>
      <c r="G7" s="653">
        <f>'SGB1'!S6/pop!S5*100000</f>
        <v>49.534930139720558</v>
      </c>
      <c r="H7" s="653">
        <f>'SGB1'!T6/pop!T5*100000</f>
        <v>49.956030468917419</v>
      </c>
      <c r="I7" s="653">
        <f>'SGB1'!U6/pop!U5*100000</f>
        <v>50.812050290135396</v>
      </c>
      <c r="J7" s="653">
        <f>'SGB1'!V6/pop!V5*100000</f>
        <v>51.225009129523919</v>
      </c>
      <c r="K7" s="653">
        <f>'SGB1'!W6/pop!W5*100000</f>
        <v>51.298706015023214</v>
      </c>
      <c r="L7" s="653">
        <f>'SGB1'!X6/pop!X5*100000</f>
        <v>51.018243320284292</v>
      </c>
      <c r="M7" s="653">
        <f>'SGB1'!Y6/pop!Y5*100000</f>
        <v>50.774542915904078</v>
      </c>
      <c r="N7" s="653">
        <f>'SGB1'!Z6/pop!Z5*100000</f>
        <v>51.132941884974407</v>
      </c>
      <c r="O7" s="653">
        <f>'SGB1'!AA6/pop!AA5*100000</f>
        <v>51.785948908534642</v>
      </c>
      <c r="P7" s="653">
        <f>'SGB1'!AB6/pop!AB5*100000</f>
        <v>52.759368688757561</v>
      </c>
    </row>
    <row r="8" spans="1:16" ht="18">
      <c r="A8" s="45"/>
      <c r="B8" s="49"/>
      <c r="C8" s="45" t="s">
        <v>124</v>
      </c>
      <c r="D8" s="653">
        <f>'SGB1'!P7/pop!P6*100000</f>
        <v>52.987660795666685</v>
      </c>
      <c r="E8" s="653">
        <f>'SGB1'!Q7/pop!Q6*100000</f>
        <v>53.86857200797256</v>
      </c>
      <c r="F8" s="653">
        <f>'SGB1'!R7/pop!R6*100000</f>
        <v>55.393264705143977</v>
      </c>
      <c r="G8" s="653">
        <f>'SGB1'!S7/pop!S6*100000</f>
        <v>56.056395354474269</v>
      </c>
      <c r="H8" s="653">
        <f>'SGB1'!T7/pop!T6*100000</f>
        <v>55.972022454692173</v>
      </c>
      <c r="I8" s="653">
        <f>'SGB1'!U7/pop!U6*100000</f>
        <v>56.501770594655987</v>
      </c>
      <c r="J8" s="653">
        <f>'SGB1'!V7/pop!V6*100000</f>
        <v>56.430337971994838</v>
      </c>
      <c r="K8" s="653">
        <f>'SGB1'!W7/pop!W6*100000</f>
        <v>56.160125481680936</v>
      </c>
      <c r="L8" s="653">
        <f>'SGB1'!X7/pop!X6*100000</f>
        <v>55.976308802697361</v>
      </c>
      <c r="M8" s="653">
        <f>'SGB1'!Y7/pop!Y6*100000</f>
        <v>55.682663908198272</v>
      </c>
      <c r="N8" s="653">
        <f>'SGB1'!Z7/pop!Z6*100000</f>
        <v>55.787884940410848</v>
      </c>
      <c r="O8" s="653">
        <f>'SGB1'!AA7/pop!AA6*100000</f>
        <v>56.256867721716368</v>
      </c>
      <c r="P8" s="653">
        <f>'SGB1'!AB7/pop!AB6*100000</f>
        <v>56.780168873687089</v>
      </c>
    </row>
    <row r="9" spans="1:16" ht="18">
      <c r="A9" s="45"/>
      <c r="B9" s="45"/>
      <c r="C9" s="45"/>
      <c r="D9" s="539"/>
      <c r="E9" s="539"/>
      <c r="F9" s="539"/>
      <c r="G9" s="539"/>
      <c r="H9" s="539"/>
      <c r="I9" s="539"/>
      <c r="J9" s="539"/>
      <c r="K9" s="539"/>
      <c r="L9" s="539"/>
      <c r="M9" s="539"/>
      <c r="N9" s="539"/>
      <c r="O9" s="539"/>
    </row>
    <row r="10" spans="1:16" ht="18.75">
      <c r="A10" s="46" t="s">
        <v>658</v>
      </c>
      <c r="B10" s="45"/>
      <c r="C10" s="49"/>
      <c r="D10" s="654"/>
      <c r="E10" s="654"/>
      <c r="F10" s="654"/>
      <c r="G10" s="654"/>
      <c r="H10" s="654"/>
      <c r="I10" s="654"/>
      <c r="J10" s="654"/>
      <c r="K10" s="654"/>
      <c r="L10" s="654"/>
      <c r="M10" s="610"/>
      <c r="N10" s="610"/>
      <c r="P10" s="610" t="s">
        <v>141</v>
      </c>
    </row>
    <row r="11" spans="1:16" ht="18">
      <c r="A11" s="45"/>
      <c r="B11" s="49"/>
      <c r="C11" s="45" t="s">
        <v>123</v>
      </c>
      <c r="D11" s="655">
        <f>'SGB1'!P14/pop!P5*1000000</f>
        <v>10.775655349388076</v>
      </c>
      <c r="E11" s="655">
        <f>'SGB1'!Q14/pop!Q5*1000000</f>
        <v>10.764385912992008</v>
      </c>
      <c r="F11" s="655">
        <f>'SGB1'!R14/pop!R5*1000000</f>
        <v>10.737070983222862</v>
      </c>
      <c r="G11" s="655">
        <f>'SGB1'!S14/pop!S5*1000000</f>
        <v>10.732761927126139</v>
      </c>
      <c r="H11" s="655">
        <f>'SGB1'!T14/pop!T5*1000000</f>
        <v>10.708614677290525</v>
      </c>
      <c r="I11" s="655">
        <f>'SGB1'!U14/pop!U5*1000000</f>
        <v>10.674253384912959</v>
      </c>
      <c r="J11" s="655">
        <f>'SGB1'!V14/pop!V5*1000000</f>
        <v>10.637067789117607</v>
      </c>
      <c r="K11" s="655">
        <f>'SGB1'!W14/pop!W5*1000000</f>
        <v>10.614168848792982</v>
      </c>
      <c r="L11" s="655">
        <f>'SGB1'!X14/pop!X5*1000000</f>
        <v>10.570787883394777</v>
      </c>
      <c r="M11" s="655">
        <f>'SGB1'!Y14/pop!Y5*1000000</f>
        <v>10.520576237287496</v>
      </c>
      <c r="N11" s="655">
        <f>'SGB1'!Z14/pop!Z5*1000000</f>
        <v>10.519844361638061</v>
      </c>
      <c r="O11" s="655">
        <f>'SGB1'!AA14/pop!AA5*1000000</f>
        <v>10.503900745162076</v>
      </c>
      <c r="P11" s="655">
        <f>'SGB1'!AB14/pop!AB5*1000000</f>
        <v>10.469594958486052</v>
      </c>
    </row>
    <row r="12" spans="1:16" ht="18">
      <c r="A12" s="45"/>
      <c r="B12" s="45"/>
      <c r="C12" s="45" t="s">
        <v>124</v>
      </c>
      <c r="D12" s="655">
        <f>'SGB1'!P15/pop!P6*1000000</f>
        <v>6.7905775984498069</v>
      </c>
      <c r="E12" s="655">
        <f>'SGB1'!Q15/pop!Q6*1000000</f>
        <v>6.7717630014828831</v>
      </c>
      <c r="F12" s="655">
        <f>'SGB1'!R15/pop!R6*1000000</f>
        <v>6.6573572417571283</v>
      </c>
      <c r="G12" s="655">
        <f>'SGB1'!S15/pop!S6*1000000</f>
        <v>6.611509073026725</v>
      </c>
      <c r="H12" s="655">
        <f>'SGB1'!T15/pop!T6*1000000</f>
        <v>6.7429475014485316</v>
      </c>
      <c r="I12" s="655">
        <f>'SGB1'!U15/pop!U6*1000000</f>
        <v>6.6977412308450308</v>
      </c>
      <c r="J12" s="655">
        <f>'SGB1'!V15/pop!V6*1000000</f>
        <v>6.5701140252032566</v>
      </c>
      <c r="K12" s="655">
        <f>'SGB1'!W15/pop!W6*1000000</f>
        <v>6.5230125850310827</v>
      </c>
      <c r="L12" s="655">
        <f>'SGB1'!X15/pop!X6*1000000</f>
        <v>6.467975365871756</v>
      </c>
      <c r="M12" s="655">
        <f>'SGB1'!Y15/pop!Y6*1000000</f>
        <v>6.4143435063920649</v>
      </c>
      <c r="N12" s="655">
        <f>'SGB1'!Z15/pop!Z6*1000000</f>
        <v>6.381400962576862</v>
      </c>
      <c r="O12" s="655">
        <f>'SGB1'!AA15/pop!AA6*1000000</f>
        <v>6.3501405173738954</v>
      </c>
      <c r="P12" s="655">
        <f>'SGB1'!AB15/pop!AB6*1000000</f>
        <v>6.3040713041922478</v>
      </c>
    </row>
    <row r="13" spans="1:16" ht="18">
      <c r="A13" s="45"/>
      <c r="B13" s="45"/>
      <c r="C13" s="45"/>
      <c r="D13" s="539"/>
      <c r="E13" s="539"/>
      <c r="F13" s="539"/>
      <c r="G13" s="539"/>
      <c r="H13" s="539"/>
      <c r="I13" s="539"/>
      <c r="J13" s="539"/>
      <c r="K13" s="539"/>
      <c r="L13" s="539"/>
      <c r="M13" s="539"/>
      <c r="N13" s="539"/>
      <c r="O13" s="539"/>
    </row>
    <row r="14" spans="1:16" ht="18.75">
      <c r="A14" s="47" t="s">
        <v>22</v>
      </c>
      <c r="B14" s="45"/>
      <c r="C14" s="49"/>
      <c r="D14" s="654"/>
      <c r="E14" s="654"/>
      <c r="F14" s="654"/>
      <c r="G14" s="654"/>
      <c r="H14" s="654"/>
      <c r="I14" s="654"/>
      <c r="J14" s="654"/>
      <c r="K14" s="654"/>
      <c r="L14" s="654"/>
      <c r="M14" s="610"/>
      <c r="N14" s="610"/>
      <c r="P14" s="610" t="s">
        <v>142</v>
      </c>
    </row>
    <row r="15" spans="1:16" ht="18">
      <c r="A15" s="47"/>
      <c r="B15" s="45" t="s">
        <v>126</v>
      </c>
      <c r="C15" s="49"/>
      <c r="D15" s="539"/>
      <c r="E15" s="539"/>
      <c r="F15" s="539"/>
      <c r="G15" s="539"/>
      <c r="H15" s="539"/>
      <c r="I15" s="539"/>
      <c r="J15" s="539"/>
      <c r="K15" s="539"/>
      <c r="L15" s="539"/>
      <c r="M15" s="539"/>
      <c r="N15" s="539"/>
      <c r="O15" s="539"/>
    </row>
    <row r="16" spans="1:16" ht="18">
      <c r="A16" s="45"/>
      <c r="B16" s="45"/>
      <c r="C16" s="45" t="s">
        <v>123</v>
      </c>
      <c r="D16" s="656">
        <f>'SGB1'!P19/pop!P5*1000000000</f>
        <v>1131.0698776154759</v>
      </c>
      <c r="E16" s="656">
        <f>'SGB1'!Q19/pop!Q5*1000000000</f>
        <v>1155.3714116602546</v>
      </c>
      <c r="F16" s="656">
        <f>'SGB1'!R19/pop!R5*1000000000</f>
        <v>1198.6316700430739</v>
      </c>
      <c r="G16" s="656">
        <f>'SGB1'!S19/pop!S5*1000000000</f>
        <v>1203.6299949121365</v>
      </c>
      <c r="H16" s="656">
        <f>'SGB1'!T19/pop!T5*1000000000</f>
        <v>1253.2387835810719</v>
      </c>
      <c r="I16" s="656">
        <f>'SGB1'!U19/pop!U5*1000000000</f>
        <v>1272.147001934236</v>
      </c>
      <c r="J16" s="656">
        <f>'SGB1'!V19/pop!V5*1000000000</f>
        <v>1284.4759653270291</v>
      </c>
      <c r="K16" s="656">
        <f>'SGB1'!W19/pop!W5*1000000000</f>
        <v>1267.7994609988723</v>
      </c>
      <c r="L16" s="656">
        <f>'SGB1'!X19/pop!X5*1000000000</f>
        <v>1235.7949146744709</v>
      </c>
      <c r="M16" s="656">
        <f>'SGB1'!Y19/pop!Y5*1000000000</f>
        <v>1239.6460310571897</v>
      </c>
      <c r="N16" s="656">
        <f>'SGB1'!Z19/pop!Z5*1000000000</f>
        <v>1343.7217705510386</v>
      </c>
      <c r="O16" s="656">
        <f>'SGB1'!AA19/pop!AA5*1000000000</f>
        <v>1363.0647371285918</v>
      </c>
      <c r="P16" s="656">
        <f>'SGB1'!AB19/pop!AB5*1000000000</f>
        <v>1387.7253347295984</v>
      </c>
    </row>
    <row r="17" spans="1:16" ht="18">
      <c r="A17" s="45"/>
      <c r="B17" s="45"/>
      <c r="C17" s="45" t="s">
        <v>124</v>
      </c>
      <c r="D17" s="656">
        <f>'SGB1'!P20/pop!P6*1000000000</f>
        <v>1605.7392380399692</v>
      </c>
      <c r="E17" s="656">
        <f>'SGB1'!Q20/pop!Q6*1000000000</f>
        <v>1605.3376475603061</v>
      </c>
      <c r="F17" s="656">
        <f>'SGB1'!R20/pop!R6*1000000000</f>
        <v>1658.7586008608166</v>
      </c>
      <c r="G17" s="656">
        <f>'SGB1'!S20/pop!S6*1000000000</f>
        <v>1652.8772682566812</v>
      </c>
      <c r="H17" s="656">
        <f>'SGB1'!T20/pop!T6*1000000000</f>
        <v>1684.0443684591589</v>
      </c>
      <c r="I17" s="656">
        <f>'SGB1'!U20/pop!U6*1000000000</f>
        <v>1689.1270188593885</v>
      </c>
      <c r="J17" s="656">
        <f>'SGB1'!V20/pop!V6*1000000000</f>
        <v>1667.0935714140583</v>
      </c>
      <c r="K17" s="656">
        <f>'SGB1'!W20/pop!W6*1000000000</f>
        <v>1645.5214949511515</v>
      </c>
      <c r="L17" s="656">
        <f>'SGB1'!X20/pop!X6*1000000000</f>
        <v>1611.0344903617893</v>
      </c>
      <c r="M17" s="656">
        <f>'SGB1'!Y20/pop!Y6*1000000000</f>
        <v>1618.6539998884348</v>
      </c>
      <c r="N17" s="656">
        <f>'SGB1'!Z20/pop!Z6*1000000000</f>
        <v>1622.4585495776471</v>
      </c>
      <c r="O17" s="656">
        <f>'SGB1'!AA20/pop!AA6*1000000000</f>
        <v>1636.2662369918239</v>
      </c>
      <c r="P17" s="656">
        <f>'SGB1'!AB20/pop!AB6*1000000000</f>
        <v>1649.2380185726192</v>
      </c>
    </row>
    <row r="18" spans="1:16" ht="18">
      <c r="A18" s="45"/>
      <c r="B18" s="45" t="s">
        <v>143</v>
      </c>
      <c r="C18" s="45"/>
      <c r="D18" s="539"/>
      <c r="E18" s="539"/>
      <c r="F18" s="539"/>
      <c r="G18" s="539"/>
      <c r="H18" s="539"/>
      <c r="I18" s="539"/>
      <c r="J18" s="539"/>
      <c r="K18" s="539"/>
      <c r="L18" s="539"/>
      <c r="M18" s="539"/>
      <c r="N18" s="539"/>
      <c r="O18" s="539"/>
      <c r="P18" s="539"/>
    </row>
    <row r="19" spans="1:16" ht="18">
      <c r="A19" s="45"/>
      <c r="B19" s="45"/>
      <c r="C19" s="45" t="s">
        <v>123</v>
      </c>
      <c r="D19" s="656">
        <f>'SGB1'!P22/pop!P5*1000000000</f>
        <v>4250.4934859849982</v>
      </c>
      <c r="E19" s="656">
        <f>'SGB1'!Q22/pop!Q5*1000000000</f>
        <v>4306.2049916148762</v>
      </c>
      <c r="F19" s="656">
        <f>'SGB1'!R22/pop!R5*1000000000</f>
        <v>4349.4679700253719</v>
      </c>
      <c r="G19" s="656">
        <f>'SGB1'!S22/pop!S5*1000000000</f>
        <v>4286.3500450080228</v>
      </c>
      <c r="H19" s="656">
        <f>'SGB1'!T22/pop!T5*1000000000</f>
        <v>4376.4976330092923</v>
      </c>
      <c r="I19" s="656">
        <f>'SGB1'!U22/pop!U5*1000000000</f>
        <v>4334.2359767891685</v>
      </c>
      <c r="J19" s="656">
        <f>'SGB1'!V22/pop!V5*1000000000</f>
        <v>4252.8205423898207</v>
      </c>
      <c r="K19" s="656">
        <f>'SGB1'!W22/pop!W5*1000000000</f>
        <v>4267.4745312410414</v>
      </c>
      <c r="L19" s="656">
        <f>'SGB1'!X22/pop!X5*1000000000</f>
        <v>4179.2406217931666</v>
      </c>
      <c r="M19" s="656">
        <f>'SGB1'!Y22/pop!Y5*1000000000</f>
        <v>4150.2669861695504</v>
      </c>
      <c r="N19" s="656">
        <f>'SGB1'!Z22/pop!Z5*1000000000</f>
        <v>4086.3068352905752</v>
      </c>
      <c r="O19" s="656">
        <f>'SGB1'!AA22/pop!AA5*1000000000</f>
        <v>4089.1942113857763</v>
      </c>
      <c r="P19" s="656">
        <f>'SGB1'!AB22/pop!AB5*1000000000</f>
        <v>4116.9870596155279</v>
      </c>
    </row>
    <row r="20" spans="1:16" ht="21">
      <c r="A20" s="45"/>
      <c r="B20" s="45"/>
      <c r="C20" s="45" t="s">
        <v>670</v>
      </c>
      <c r="D20" s="656">
        <f>'SGB1'!P23/pop!P6*1000000000</f>
        <v>3790.6543999518071</v>
      </c>
      <c r="E20" s="656">
        <f>'SGB1'!Q23/pop!Q6*1000000000</f>
        <v>3814.8346248476096</v>
      </c>
      <c r="F20" s="656">
        <f>'SGB1'!R23/pop!R6*1000000000</f>
        <v>3848.113897028044</v>
      </c>
      <c r="G20" s="656">
        <f>'SGB1'!S23/pop!S6*1000000000</f>
        <v>3801.6177169903667</v>
      </c>
      <c r="H20" s="656">
        <f>'SGB1'!T23/pop!T6*1000000000</f>
        <v>3826.7581076242795</v>
      </c>
      <c r="I20" s="656">
        <f>'SGB1'!U23/pop!U6*1000000000</f>
        <v>3776.1895282452933</v>
      </c>
      <c r="J20" s="656">
        <f>'SGB1'!V23/pop!V6*1000000000</f>
        <v>3710.5739032073152</v>
      </c>
      <c r="K20" s="656">
        <f>'SGB1'!W23/pop!W6*1000000000</f>
        <v>3678.0299545440812</v>
      </c>
      <c r="L20" s="656">
        <f>'SGB1'!X23/pop!X6*1000000000</f>
        <v>3601.0394158290501</v>
      </c>
      <c r="M20" s="656">
        <f>'SGB1'!Y23/pop!Y6*1000000000</f>
        <v>3585.4406188483522</v>
      </c>
      <c r="N20" s="656">
        <f>'SGB1'!Z23/pop!Z6*1000000000</f>
        <v>3530.9481382740619</v>
      </c>
      <c r="O20" s="656">
        <f>'SGB1'!AA23/pop!AA6*1000000000</f>
        <v>3510.1844887773573</v>
      </c>
      <c r="P20" s="656">
        <f>'SGB1'!AB23/pop!AB6*1000000000</f>
        <v>3550.2437733138117</v>
      </c>
    </row>
    <row r="21" spans="1:16" ht="18">
      <c r="A21" s="45"/>
      <c r="B21" s="45" t="s">
        <v>145</v>
      </c>
      <c r="C21" s="45"/>
      <c r="D21" s="657"/>
      <c r="E21" s="657"/>
      <c r="F21" s="657"/>
      <c r="G21" s="657"/>
      <c r="H21" s="657"/>
      <c r="I21" s="657"/>
      <c r="J21" s="657"/>
      <c r="K21" s="657"/>
      <c r="L21" s="657"/>
      <c r="M21" s="657"/>
      <c r="N21" s="657"/>
      <c r="O21" s="657"/>
      <c r="P21" s="657"/>
    </row>
    <row r="22" spans="1:16" ht="18">
      <c r="A22" s="45"/>
      <c r="B22" s="45"/>
      <c r="C22" s="45" t="s">
        <v>123</v>
      </c>
      <c r="D22" s="656">
        <f>'SGB1'!P25/pop!P5*1000000000</f>
        <v>8198.7761547572045</v>
      </c>
      <c r="E22" s="656">
        <f>'SGB1'!Q25/pop!Q5*1000000000</f>
        <v>8293.9725757127344</v>
      </c>
      <c r="F22" s="656">
        <f>'SGB1'!R25/pop!R5*1000000000</f>
        <v>8399.4429911688931</v>
      </c>
      <c r="G22" s="656">
        <f>'SGB1'!S25/pop!S5*1000000000</f>
        <v>8359.3287933936062</v>
      </c>
      <c r="H22" s="656">
        <f>'SGB1'!T25/pop!T5*1000000000</f>
        <v>8595.0010714772743</v>
      </c>
      <c r="I22" s="656">
        <f>'SGB1'!U25/pop!U5*1000000000</f>
        <v>8639.4584139264989</v>
      </c>
      <c r="J22" s="656">
        <f>'SGB1'!V25/pop!V5*1000000000</f>
        <v>8547.1563935497506</v>
      </c>
      <c r="K22" s="656">
        <f>'SGB1'!W25/pop!W5*1000000000</f>
        <v>8451.8052715074828</v>
      </c>
      <c r="L22" s="656">
        <f>'SGB1'!X25/pop!X5*1000000000</f>
        <v>8264.2240887841599</v>
      </c>
      <c r="M22" s="656">
        <f>'SGB1'!Y25/pop!Y5*1000000000</f>
        <v>8186.946923526858</v>
      </c>
      <c r="N22" s="656">
        <f>'SGB1'!Z25/pop!Z5*1000000000</f>
        <v>8195.7618187292974</v>
      </c>
      <c r="O22" s="656">
        <f>'SGB1'!AA25/pop!AA5*1000000000</f>
        <v>8228.6915554554507</v>
      </c>
      <c r="P22" s="656">
        <f>'SGB1'!AB25/pop!AB5*1000000000</f>
        <v>8375.5329493604604</v>
      </c>
    </row>
    <row r="23" spans="1:16" ht="21">
      <c r="A23" s="45"/>
      <c r="B23" s="45"/>
      <c r="C23" s="45" t="s">
        <v>670</v>
      </c>
      <c r="D23" s="656">
        <f>'SGB1'!P26/pop!P6*1000000000</f>
        <v>8387.6465382282204</v>
      </c>
      <c r="E23" s="656">
        <f>'SGB1'!Q26/pop!Q6*1000000000</f>
        <v>8401.2670222322686</v>
      </c>
      <c r="F23" s="656">
        <f>'SGB1'!R26/pop!R6*1000000000</f>
        <v>8480.9614178587726</v>
      </c>
      <c r="G23" s="656">
        <f>'SGB1'!S26/pop!S6*1000000000</f>
        <v>8416.0420906389154</v>
      </c>
      <c r="H23" s="656">
        <f>'SGB1'!T26/pop!T6*1000000000</f>
        <v>8481.1520908028597</v>
      </c>
      <c r="I23" s="656">
        <f>'SGB1'!U26/pop!U6*1000000000</f>
        <v>8485.9323591603879</v>
      </c>
      <c r="J23" s="656">
        <f>'SGB1'!V26/pop!V6*1000000000</f>
        <v>8337.1332852135638</v>
      </c>
      <c r="K23" s="656">
        <f>'SGB1'!W26/pop!W6*1000000000</f>
        <v>8199.4930371535756</v>
      </c>
      <c r="L23" s="656">
        <f>'SGB1'!X26/pop!X6*1000000000</f>
        <v>8004.3149475307218</v>
      </c>
      <c r="M23" s="656">
        <f>'SGB1'!Y26/pop!Y6*1000000000</f>
        <v>7953.3662366377466</v>
      </c>
      <c r="N23" s="656">
        <f>'SGB1'!Z26/pop!Z6*1000000000</f>
        <v>7871.5095567656563</v>
      </c>
      <c r="O23" s="656">
        <f>'SGB1'!AA26/pop!AA6*1000000000</f>
        <v>7848.9395156192686</v>
      </c>
      <c r="P23" s="656">
        <f>'SGB1'!AB26/pop!AB6*1000000000</f>
        <v>7975.3007564791869</v>
      </c>
    </row>
    <row r="24" spans="1:16" ht="18">
      <c r="A24" s="45"/>
      <c r="B24" s="45"/>
      <c r="C24" s="45"/>
      <c r="D24" s="539"/>
      <c r="E24" s="539"/>
      <c r="F24" s="539"/>
      <c r="G24" s="539"/>
      <c r="H24" s="539"/>
      <c r="I24" s="539"/>
      <c r="J24" s="539"/>
      <c r="K24" s="539"/>
      <c r="L24" s="539"/>
      <c r="M24" s="539"/>
      <c r="N24" s="539"/>
      <c r="O24" s="539"/>
    </row>
    <row r="25" spans="1:16" ht="18.75">
      <c r="A25" s="46" t="s">
        <v>454</v>
      </c>
      <c r="B25" s="45"/>
      <c r="C25" s="45"/>
      <c r="D25" s="654"/>
      <c r="E25" s="654"/>
      <c r="F25" s="654"/>
      <c r="G25" s="654"/>
      <c r="H25" s="654"/>
      <c r="I25" s="654"/>
      <c r="J25" s="654"/>
      <c r="K25" s="654"/>
      <c r="L25" s="654"/>
      <c r="M25" s="610"/>
      <c r="N25" s="610"/>
      <c r="P25" s="610" t="s">
        <v>146</v>
      </c>
    </row>
    <row r="26" spans="1:16" ht="18">
      <c r="A26" s="45"/>
      <c r="B26" s="49"/>
      <c r="C26" s="45" t="s">
        <v>123</v>
      </c>
      <c r="D26" s="658">
        <f>'SGB1'!P29/pop!P5*1000000</f>
        <v>0.69739439399921044</v>
      </c>
      <c r="E26" s="658">
        <f>'SGB1'!Q29/pop!Q5*1000000</f>
        <v>0.64969912202821345</v>
      </c>
      <c r="F26" s="658">
        <f>'SGB1'!R29/pop!R5*1000000</f>
        <v>0.60460633715555734</v>
      </c>
      <c r="G26" s="658">
        <f>'SGB1'!S29/pop!S5*1000000</f>
        <v>0.57766819302571326</v>
      </c>
      <c r="H26" s="658">
        <f>'SGB1'!T29/pop!T5*1000000</f>
        <v>0.57450663341840202</v>
      </c>
      <c r="I26" s="658">
        <f>'SGB1'!U29/pop!U5*1000000</f>
        <v>0.51566731141199229</v>
      </c>
      <c r="J26" s="658">
        <f>'SGB1'!V29/pop!V5*1000000</f>
        <v>0.54681043264333351</v>
      </c>
      <c r="K26" s="658">
        <f>'SGB1'!W29/pop!W5*1000000</f>
        <v>0.47841128461935439</v>
      </c>
      <c r="L26" s="658">
        <f>'SGB1'!X29/pop!X5*1000000</f>
        <v>0.41370529436357417</v>
      </c>
      <c r="M26" s="658">
        <f>'SGB1'!Y29/pop!Y5*1000000</f>
        <v>0.38962999301873619</v>
      </c>
      <c r="N26" s="658">
        <f>'SGB1'!Z29/pop!Z5*1000000</f>
        <v>0.40631586871424269</v>
      </c>
      <c r="O26" s="658">
        <f>'SGB1'!AA29/pop!AA5*1000000</f>
        <v>0.34611558458621922</v>
      </c>
      <c r="P26" s="658">
        <f>'SGB1'!AB29/pop!AB5*1000000</f>
        <v>0.35417757498690999</v>
      </c>
    </row>
    <row r="27" spans="1:16" ht="18">
      <c r="A27" s="45"/>
      <c r="B27" s="45"/>
      <c r="C27" s="45" t="s">
        <v>124</v>
      </c>
      <c r="D27" s="658">
        <f>'SGB1'!P30/pop!P6*1000000</f>
        <v>0.68334088718618868</v>
      </c>
      <c r="E27" s="658">
        <f>'SGB1'!Q30/pop!Q6*1000000</f>
        <v>0.64239398445114848</v>
      </c>
      <c r="F27" s="658">
        <f>'SGB1'!R30/pop!R6*1000000</f>
        <v>0.58985524532266997</v>
      </c>
      <c r="G27" s="658">
        <f>'SGB1'!S30/pop!S6*1000000</f>
        <v>0.54792029444117096</v>
      </c>
      <c r="H27" s="658">
        <f>'SGB1'!T30/pop!T6*1000000</f>
        <v>0.53897882325207958</v>
      </c>
      <c r="I27" s="658">
        <f>'SGB1'!U30/pop!U6*1000000</f>
        <v>0.51546917971156292</v>
      </c>
      <c r="J27" s="658">
        <f>'SGB1'!V30/pop!V6*1000000</f>
        <v>0.47584612909532942</v>
      </c>
      <c r="K27" s="658">
        <f>'SGB1'!W30/pop!W6*1000000</f>
        <v>0.44506808514698881</v>
      </c>
      <c r="L27" s="658">
        <f>'SGB1'!X30/pop!X6*1000000</f>
        <v>0.40221723625458233</v>
      </c>
      <c r="M27" s="658">
        <f>'SGB1'!Y30/pop!Y6*1000000</f>
        <v>0.40707114612269651</v>
      </c>
      <c r="N27" s="658">
        <f>'SGB1'!Z30/pop!Z6*1000000</f>
        <v>0.40065353406054377</v>
      </c>
      <c r="O27" s="658">
        <f>'SGB1'!AA30/pop!AA6*1000000</f>
        <v>0.37526537741412097</v>
      </c>
      <c r="P27" s="658">
        <f>'SGB1'!AB30/pop!AB6*1000000</f>
        <v>0.39170598041113164</v>
      </c>
    </row>
    <row r="28" spans="1:16" ht="18">
      <c r="A28" s="45"/>
      <c r="B28" s="45"/>
      <c r="C28" s="45"/>
      <c r="D28" s="539"/>
      <c r="E28" s="539"/>
      <c r="F28" s="539"/>
      <c r="G28" s="539"/>
      <c r="H28" s="539"/>
      <c r="I28" s="539"/>
      <c r="J28" s="539"/>
      <c r="K28" s="539"/>
      <c r="L28" s="539"/>
      <c r="M28" s="539"/>
      <c r="N28" s="539"/>
      <c r="O28" s="539"/>
    </row>
    <row r="29" spans="1:16" ht="21.75">
      <c r="A29" s="46" t="s">
        <v>662</v>
      </c>
      <c r="B29" s="47"/>
      <c r="C29" s="47"/>
      <c r="D29" s="654"/>
      <c r="E29" s="654"/>
      <c r="F29" s="654"/>
      <c r="G29" s="654"/>
      <c r="H29" s="654"/>
      <c r="I29" s="654"/>
      <c r="J29" s="654"/>
      <c r="K29" s="654"/>
      <c r="L29" s="654"/>
      <c r="M29" s="610"/>
      <c r="N29" s="610"/>
      <c r="P29" s="610" t="s">
        <v>147</v>
      </c>
    </row>
    <row r="30" spans="1:16" ht="18">
      <c r="A30" s="45"/>
      <c r="B30" s="49"/>
      <c r="C30" s="45" t="s">
        <v>123</v>
      </c>
      <c r="D30" s="653">
        <f>'SGB1'!P33/pop!P5*1000000</f>
        <v>92.921437031188304</v>
      </c>
      <c r="E30" s="659">
        <f>'SGB1'!Q33/pop!Q5*1000000</f>
        <v>94.225510506066882</v>
      </c>
      <c r="F30" s="653">
        <f>'SGB1'!R33/pop!R5*1000000</f>
        <v>90.474598273115276</v>
      </c>
      <c r="G30" s="653">
        <f>'SGB1'!S33/pop!S5*1000000</f>
        <v>91.190168682243353</v>
      </c>
      <c r="H30" s="653">
        <f>'SGB1'!T33/pop!T5*1000000</f>
        <v>92.731487794899778</v>
      </c>
      <c r="I30" s="653">
        <f>'SGB1'!U33/pop!U5*1000000</f>
        <v>94.390715667311412</v>
      </c>
      <c r="J30" s="653">
        <f>'SGB1'!V33/pop!V5*1000000</f>
        <v>93.025043725614552</v>
      </c>
      <c r="K30" s="653">
        <f>'SGB1'!W33/pop!W5*1000000</f>
        <v>87.731034614575961</v>
      </c>
      <c r="L30" s="653">
        <f>'SGB1'!X33/pop!X5*1000000</f>
        <v>82.094941279312835</v>
      </c>
      <c r="M30" s="653">
        <f>'SGB1'!Y33/pop!Y5*1000000</f>
        <v>82.478010216949187</v>
      </c>
      <c r="N30" s="653">
        <f>'SGB1'!Z33/pop!Z5*1000000</f>
        <v>79.517330866775438</v>
      </c>
      <c r="O30" s="653">
        <f>'SGB1'!AA33/pop!AA5*1000000</f>
        <v>79.621065572103532</v>
      </c>
      <c r="P30" s="653">
        <f>'SGB1'!AB33/pop!AB5*1000000</f>
        <v>77.404918581797432</v>
      </c>
    </row>
    <row r="31" spans="1:16" ht="18">
      <c r="A31" s="45"/>
      <c r="B31" s="49"/>
      <c r="C31" s="45" t="s">
        <v>124</v>
      </c>
      <c r="D31" s="653">
        <f>'SGB1'!P34/pop!P6*1000000</f>
        <v>78.899714180149687</v>
      </c>
      <c r="E31" s="659">
        <f>'SGB1'!Q34/pop!Q6*1000000</f>
        <v>80.801994927202088</v>
      </c>
      <c r="F31" s="653">
        <f>'SGB1'!R34/pop!R6*1000000</f>
        <v>79.520818639611207</v>
      </c>
      <c r="G31" s="653">
        <f>'SGB1'!S34/pop!S6*1000000</f>
        <v>80.445707045771044</v>
      </c>
      <c r="H31" s="653">
        <f>'SGB1'!T34/pop!T6*1000000</f>
        <v>83.152864143114044</v>
      </c>
      <c r="I31" s="653">
        <f>'SGB1'!U34/pop!U6*1000000</f>
        <v>86.672700510458881</v>
      </c>
      <c r="J31" s="653">
        <f>'SGB1'!V34/pop!V6*1000000</f>
        <v>87.751408868937801</v>
      </c>
      <c r="K31" s="653">
        <f>'SGB1'!W34/pop!W6*1000000</f>
        <v>86.16248229844723</v>
      </c>
      <c r="L31" s="653">
        <f>'SGB1'!X34/pop!X6*1000000</f>
        <v>85.112494256588221</v>
      </c>
      <c r="M31" s="653">
        <f>'SGB1'!Y34/pop!Y6*1000000</f>
        <v>84.836991049429031</v>
      </c>
      <c r="N31" s="653">
        <f>'SGB1'!Z34/pop!Z6*1000000</f>
        <v>82.75508199588775</v>
      </c>
      <c r="O31" s="653">
        <f>'SGB1'!AA34/pop!AA6*1000000</f>
        <v>83.595701960544019</v>
      </c>
      <c r="P31" s="653">
        <f>'SGB1'!AB34/pop!AB6*1000000</f>
        <v>82.2706849264776</v>
      </c>
    </row>
    <row r="32" spans="1:16" ht="18">
      <c r="A32" s="45"/>
      <c r="B32" s="49"/>
      <c r="C32" s="45"/>
      <c r="D32" s="539"/>
      <c r="E32" s="539"/>
      <c r="F32" s="539"/>
      <c r="G32" s="539"/>
      <c r="H32" s="539"/>
      <c r="I32" s="539"/>
      <c r="J32" s="539"/>
      <c r="K32" s="539"/>
      <c r="L32" s="539"/>
      <c r="M32" s="539"/>
      <c r="N32" s="539"/>
      <c r="O32" s="539"/>
    </row>
    <row r="33" spans="1:16" ht="21.75">
      <c r="A33" s="46" t="s">
        <v>663</v>
      </c>
      <c r="B33" s="45"/>
      <c r="C33" s="49"/>
      <c r="D33" s="654"/>
      <c r="E33" s="654"/>
      <c r="F33" s="654"/>
      <c r="G33" s="654"/>
      <c r="H33" s="654"/>
      <c r="I33" s="654"/>
      <c r="J33" s="654"/>
      <c r="K33" s="654"/>
      <c r="L33" s="654"/>
      <c r="M33" s="610"/>
      <c r="N33" s="610"/>
      <c r="P33" s="610" t="s">
        <v>147</v>
      </c>
    </row>
    <row r="34" spans="1:16" ht="18">
      <c r="A34" s="45"/>
      <c r="B34" s="49"/>
      <c r="C34" s="58" t="s">
        <v>123</v>
      </c>
      <c r="D34" s="655">
        <f>'SGB1'!P37/pop!P5*1000000</f>
        <v>10.338774180813264</v>
      </c>
      <c r="E34" s="655">
        <f>'SGB1'!Q37/pop!Q5*1000000</f>
        <v>11.027510900660944</v>
      </c>
      <c r="F34" s="655">
        <f>'SGB1'!R37/pop!R5*1000000</f>
        <v>12.048154318195229</v>
      </c>
      <c r="G34" s="655">
        <f>'SGB1'!S37/pop!S5*1000000</f>
        <v>13.059351688779302</v>
      </c>
      <c r="H34" s="655">
        <f>'SGB1'!T37/pop!T5*1000000</f>
        <v>13.595157701973465</v>
      </c>
      <c r="I34" s="655">
        <f>'SGB1'!U37/pop!U5*1000000</f>
        <v>14.070462282398454</v>
      </c>
      <c r="J34" s="655">
        <f>'SGB1'!V37/pop!V5*1000000</f>
        <v>14.656456534561508</v>
      </c>
      <c r="K34" s="655">
        <f>'SGB1'!W37/pop!W5*1000000</f>
        <v>14.616848625726853</v>
      </c>
      <c r="L34" s="655">
        <f>'SGB1'!X37/pop!X5*1000000</f>
        <v>15.097542162409184</v>
      </c>
      <c r="M34" s="655">
        <f>'SGB1'!Y37/pop!Y5*1000000</f>
        <v>15.719315458782244</v>
      </c>
      <c r="N34" s="655">
        <f>'SGB1'!Z37/pop!Z5*1000000</f>
        <v>16.138231707317075</v>
      </c>
      <c r="O34" s="655">
        <f>'SGB1'!AA37/pop!AA5*1000000</f>
        <v>16.273438819753366</v>
      </c>
      <c r="P34" s="660" t="s">
        <v>7</v>
      </c>
    </row>
    <row r="35" spans="1:16" ht="18">
      <c r="A35" s="45"/>
      <c r="B35" s="45"/>
      <c r="C35" s="45" t="s">
        <v>124</v>
      </c>
      <c r="D35" s="655">
        <f>'SGB1'!P38/pop!P6*1000000</f>
        <v>13.444427229085562</v>
      </c>
      <c r="E35" s="655">
        <f>'SGB1'!Q38/pop!Q6*1000000</f>
        <v>13.660818910697964</v>
      </c>
      <c r="F35" s="655">
        <f>'SGB1'!R38/pop!R6*1000000</f>
        <v>13.882816191585729</v>
      </c>
      <c r="G35" s="655">
        <f>'SGB1'!S38/pop!S6*1000000</f>
        <v>14.098783971377756</v>
      </c>
      <c r="H35" s="655">
        <f>'SGB1'!T38/pop!T6*1000000</f>
        <v>16.654868291313068</v>
      </c>
      <c r="I35" s="655">
        <f>'SGB1'!U38/pop!U6*1000000</f>
        <v>17.093651733440577</v>
      </c>
      <c r="J35" s="655">
        <f>'SGB1'!V38/pop!V6*1000000</f>
        <v>17.889407910317363</v>
      </c>
      <c r="K35" s="655">
        <f>'SGB1'!W38/pop!W6*1000000</f>
        <v>17.619347813514558</v>
      </c>
      <c r="L35" s="655">
        <f>'SGB1'!X38/pop!X6*1000000</f>
        <v>19.037586369781994</v>
      </c>
      <c r="M35" s="655">
        <f>'SGB1'!Y38/pop!Y6*1000000</f>
        <v>20.003997994040329</v>
      </c>
      <c r="N35" s="655">
        <f>'SGB1'!Z38/pop!Z6*1000000</f>
        <v>20.507354488253622</v>
      </c>
      <c r="O35" s="655">
        <f>'SGB1'!AA38/pop!AA6*1000000</f>
        <v>21.404738900000993</v>
      </c>
      <c r="P35" s="660" t="s">
        <v>7</v>
      </c>
    </row>
    <row r="36" spans="1:16" ht="18">
      <c r="A36" s="45"/>
      <c r="B36" s="45"/>
      <c r="C36" s="45"/>
      <c r="D36" s="539"/>
      <c r="E36" s="539"/>
      <c r="F36" s="539"/>
      <c r="G36" s="539"/>
      <c r="H36" s="539"/>
      <c r="I36" s="539"/>
      <c r="J36" s="539"/>
      <c r="K36" s="539"/>
      <c r="L36" s="539"/>
      <c r="M36" s="539"/>
      <c r="N36" s="539"/>
      <c r="O36" s="539"/>
    </row>
    <row r="37" spans="1:16" ht="18.75">
      <c r="A37" s="46" t="s">
        <v>130</v>
      </c>
      <c r="B37" s="45"/>
      <c r="C37" s="49"/>
      <c r="D37" s="654"/>
      <c r="E37" s="654"/>
      <c r="F37" s="654"/>
      <c r="G37" s="654"/>
      <c r="H37" s="654"/>
      <c r="I37" s="654"/>
      <c r="J37" s="654"/>
      <c r="K37" s="654"/>
      <c r="L37" s="654"/>
      <c r="M37" s="610"/>
      <c r="N37" s="610"/>
      <c r="P37" s="610" t="s">
        <v>147</v>
      </c>
    </row>
    <row r="38" spans="1:16" ht="18">
      <c r="A38" s="45"/>
      <c r="B38" s="49"/>
      <c r="C38" s="45" t="s">
        <v>123</v>
      </c>
      <c r="D38" s="655">
        <f>'SGB1'!P41/pop!P5*1000000</f>
        <v>3.90505329648638</v>
      </c>
      <c r="E38" s="655">
        <f>'SGB1'!Q41/pop!Q5*1000000</f>
        <v>4.1598105948505477</v>
      </c>
      <c r="F38" s="655">
        <f>'SGB1'!R41/pop!R5*1000000</f>
        <v>4.4362055740219892</v>
      </c>
      <c r="G38" s="655">
        <f>'SGB1'!S41/pop!S5*1000000</f>
        <v>4.6563735274548943</v>
      </c>
      <c r="H38" s="655">
        <f>'SGB1'!T41/pop!T5*1000000</f>
        <v>4.760670939588163</v>
      </c>
      <c r="I38" s="655">
        <f>'SGB1'!U41/pop!U5*1000000</f>
        <v>4.8611218568665384</v>
      </c>
      <c r="J38" s="655">
        <f>'SGB1'!V41/pop!V5*1000000</f>
        <v>4.6796978608083952</v>
      </c>
      <c r="K38" s="655">
        <f>'SGB1'!W41/pop!W5*1000000</f>
        <v>4.2997763718725501</v>
      </c>
      <c r="L38" s="655">
        <f>'SGB1'!X41/pop!X5*1000000</f>
        <v>3.9730530956634107</v>
      </c>
      <c r="M38" s="655">
        <f>'SGB1'!Y41/pop!Y5*1000000</f>
        <v>4.1632860997377312</v>
      </c>
      <c r="N38" s="655">
        <f>'SGB1'!Z41/pop!Z5*1000000</f>
        <v>4.1792758205359828</v>
      </c>
      <c r="O38" s="655">
        <f>'SGB1'!AA41/pop!AA5*1000000</f>
        <v>4.3639844585843797</v>
      </c>
      <c r="P38" s="655">
        <f>'SGB1'!AB41/pop!AB5*1000000</f>
        <v>4.5022065973520835</v>
      </c>
    </row>
    <row r="39" spans="1:16" ht="18">
      <c r="A39" s="45"/>
      <c r="B39" s="45"/>
      <c r="C39" s="45" t="s">
        <v>131</v>
      </c>
      <c r="D39" s="655">
        <f>'SGB1'!P42/pop!P8*1000000</f>
        <v>3.1802888392900837</v>
      </c>
      <c r="E39" s="655">
        <f>'SGB1'!Q42/pop!Q8*1000000</f>
        <v>3.3536417581520577</v>
      </c>
      <c r="F39" s="655">
        <f>'SGB1'!R42/pop!R8*1000000</f>
        <v>3.5979764860143297</v>
      </c>
      <c r="G39" s="655">
        <f>'SGB1'!S42/pop!S8*1000000</f>
        <v>3.7775968315308712</v>
      </c>
      <c r="H39" s="655">
        <f>'SGB1'!T42/pop!T8*1000000</f>
        <v>3.8666832316606685</v>
      </c>
      <c r="I39" s="655">
        <f>'SGB1'!U42/pop!U8*1000000</f>
        <v>3.9257278424372846</v>
      </c>
      <c r="J39" s="655">
        <f>'SGB1'!V42/pop!V8*1000000</f>
        <v>3.8075968577265069</v>
      </c>
      <c r="K39" s="655">
        <f>'SGB1'!W42/pop!W8*1000000</f>
        <v>3.5030243740789304</v>
      </c>
      <c r="L39" s="655">
        <f>'SGB1'!X42/pop!X8*1000000</f>
        <v>3.3565459840824623</v>
      </c>
      <c r="M39" s="655">
        <f>'SGB1'!Y42/pop!Y8*1000000</f>
        <v>3.4650943756232206</v>
      </c>
      <c r="N39" s="655">
        <f>'SGB1'!Z42/pop!Z8*1000000</f>
        <v>3.4635098672742166</v>
      </c>
      <c r="O39" s="655">
        <f>'SGB1'!AA42/pop!AA8*1000000</f>
        <v>3.5625874747335082</v>
      </c>
      <c r="P39" s="655">
        <f>'SGB1'!AB42/pop!AB8*1000000</f>
        <v>3.6899997696478608</v>
      </c>
    </row>
    <row r="40" spans="1:16" ht="18">
      <c r="A40" s="45"/>
      <c r="B40" s="49"/>
      <c r="C40" s="45"/>
      <c r="D40" s="539"/>
      <c r="E40" s="539"/>
      <c r="F40" s="539"/>
      <c r="G40" s="539"/>
      <c r="H40" s="539"/>
      <c r="I40" s="539"/>
      <c r="J40" s="539"/>
      <c r="K40" s="539"/>
      <c r="L40" s="539"/>
      <c r="M40" s="539"/>
      <c r="N40" s="539"/>
      <c r="O40" s="539"/>
    </row>
    <row r="41" spans="1:16" ht="18.75">
      <c r="A41" s="46" t="s">
        <v>132</v>
      </c>
      <c r="B41" s="45"/>
      <c r="C41" s="49"/>
      <c r="D41" s="654"/>
      <c r="E41" s="654"/>
      <c r="F41" s="654"/>
      <c r="G41" s="654"/>
      <c r="H41" s="654"/>
      <c r="I41" s="654"/>
      <c r="J41" s="654"/>
      <c r="K41" s="654"/>
      <c r="L41" s="654"/>
      <c r="M41" s="610"/>
      <c r="N41" s="610"/>
      <c r="P41" s="610" t="s">
        <v>148</v>
      </c>
    </row>
    <row r="42" spans="1:16" ht="18">
      <c r="A42" s="46"/>
      <c r="B42" s="49" t="s">
        <v>110</v>
      </c>
      <c r="C42" s="49"/>
      <c r="D42" s="539"/>
      <c r="E42" s="539"/>
      <c r="F42" s="539"/>
      <c r="G42" s="539"/>
      <c r="H42" s="539"/>
      <c r="I42" s="539"/>
      <c r="J42" s="539"/>
      <c r="K42" s="539"/>
      <c r="L42" s="539"/>
      <c r="M42" s="539"/>
      <c r="N42" s="539"/>
      <c r="O42" s="539"/>
    </row>
    <row r="43" spans="1:16" ht="18">
      <c r="A43" s="45"/>
      <c r="B43" s="45"/>
      <c r="C43" s="45" t="s">
        <v>123</v>
      </c>
      <c r="D43" s="655">
        <f>'SGB1'!P46/pop!P5*1000000</f>
        <v>30.477694433478092</v>
      </c>
      <c r="E43" s="655">
        <f>'SGB1'!Q46/pop!Q5*1000000</f>
        <v>30.265364506264181</v>
      </c>
      <c r="F43" s="655">
        <f>'SGB1'!R46/pop!R5*1000000</f>
        <v>34.045984697991855</v>
      </c>
      <c r="G43" s="655">
        <f>'SGB1'!S46/pop!S5*1000000</f>
        <v>32.405776681930256</v>
      </c>
      <c r="H43" s="655">
        <f>'SGB1'!T46/pop!T5*1000000</f>
        <v>33.125257880035463</v>
      </c>
      <c r="I43" s="655">
        <f>'SGB1'!U46/pop!U5*1000000</f>
        <v>34.202803016743751</v>
      </c>
      <c r="J43" s="655">
        <f>'SGB1'!V46/pop!V5*1000000</f>
        <v>30.181530089689609</v>
      </c>
      <c r="K43" s="655">
        <f>'SGB1'!W46/pop!W5*1000000</f>
        <v>25.215210501613441</v>
      </c>
      <c r="L43" s="655">
        <f>'SGB1'!X46/pop!X5*1000000</f>
        <v>25.072016337070515</v>
      </c>
      <c r="M43" s="655">
        <f>'SGB1'!Y46/pop!Y5*1000000</f>
        <v>27.208060529443948</v>
      </c>
      <c r="N43" s="655">
        <f>'SGB1'!Z46/pop!Z5*1000000</f>
        <v>28.342366757000903</v>
      </c>
      <c r="O43" s="655">
        <f>'SGB1'!AA46/pop!AA5*1000000</f>
        <v>25.489423203258443</v>
      </c>
      <c r="P43" s="655">
        <f>'SGB1'!AB46/pop!AB5*1000000</f>
        <v>25.731169122597052</v>
      </c>
    </row>
    <row r="44" spans="1:16" ht="18">
      <c r="A44" s="45"/>
      <c r="B44" s="49"/>
      <c r="C44" s="45" t="s">
        <v>149</v>
      </c>
      <c r="D44" s="655">
        <f>'SGB1'!P47/pop!P8*1000000</f>
        <v>27.40640858858562</v>
      </c>
      <c r="E44" s="655">
        <f>'SGB1'!Q47/pop!Q8*1000000</f>
        <v>27.550167043219155</v>
      </c>
      <c r="F44" s="655">
        <f>'SGB1'!R47/pop!R8*1000000</f>
        <v>29.090732459939694</v>
      </c>
      <c r="G44" s="655">
        <f>'SGB1'!S47/pop!S8*1000000</f>
        <v>28.900932305011899</v>
      </c>
      <c r="H44" s="655">
        <f>'SGB1'!T47/pop!T8*1000000</f>
        <v>29.197528133322621</v>
      </c>
      <c r="I44" s="655">
        <f>'SGB1'!U47/pop!U8*1000000</f>
        <v>29.713429304013474</v>
      </c>
      <c r="J44" s="655">
        <f>'SGB1'!V47/pop!V8*1000000</f>
        <v>26.979913163499635</v>
      </c>
      <c r="K44" s="655">
        <f>'SGB1'!W47/pop!W8*1000000</f>
        <v>21.779463783819484</v>
      </c>
      <c r="L44" s="655">
        <f>'SGB1'!X47/pop!X8*1000000</f>
        <v>23.725508391914676</v>
      </c>
      <c r="M44" s="655">
        <f>'SGB1'!Y47/pop!Y8*1000000</f>
        <v>24.634533111996504</v>
      </c>
      <c r="N44" s="655">
        <f>'SGB1'!Z47/pop!Z8*1000000</f>
        <v>24.91169064671973</v>
      </c>
      <c r="O44" s="655">
        <f>'SGB1'!AA47/pop!AA8*1000000</f>
        <v>23.008890916236499</v>
      </c>
      <c r="P44" s="655">
        <f>'SGB1'!AB47/pop!AB8*1000000</f>
        <v>23.066175215744593</v>
      </c>
    </row>
    <row r="45" spans="1:16" ht="21">
      <c r="A45" s="45"/>
      <c r="B45" s="49" t="s">
        <v>671</v>
      </c>
      <c r="C45" s="45"/>
      <c r="D45" s="539"/>
      <c r="E45" s="539"/>
      <c r="F45" s="539"/>
      <c r="G45" s="539"/>
      <c r="H45" s="539"/>
      <c r="I45" s="539"/>
      <c r="J45" s="539"/>
      <c r="K45" s="539"/>
      <c r="L45" s="539"/>
      <c r="M45" s="539"/>
      <c r="N45" s="539"/>
      <c r="O45" s="539"/>
    </row>
    <row r="46" spans="1:16" ht="18">
      <c r="A46" s="45"/>
      <c r="B46" s="45"/>
      <c r="C46" s="45" t="s">
        <v>123</v>
      </c>
      <c r="D46" s="655">
        <f>'SGB1'!P49/pop!P5*1000000</f>
        <v>1.8002360836952231</v>
      </c>
      <c r="E46" s="655">
        <f>'SGB1'!Q49/pop!Q5*1000000</f>
        <v>1.6412216632139685</v>
      </c>
      <c r="F46" s="655">
        <f>'SGB1'!R49/pop!R5*1000000</f>
        <v>2.2126939795055365</v>
      </c>
      <c r="G46" s="655">
        <f>'SGB1'!S49/pop!S5*1000000</f>
        <v>2.802238659935032</v>
      </c>
      <c r="H46" s="655">
        <f>'SGB1'!T49/pop!T5*1000000</f>
        <v>2.5247900878611365</v>
      </c>
      <c r="I46" s="655">
        <f>'SGB1'!U49/pop!U5*1000000</f>
        <v>2.1953578336557058</v>
      </c>
      <c r="J46" s="655">
        <f>'SGB1'!V49/pop!V5*1000000</f>
        <v>1.991197216936708</v>
      </c>
      <c r="K46" s="655">
        <f>'SGB1'!W49/pop!W5*1000000</f>
        <v>1.8520996196410482</v>
      </c>
      <c r="L46" s="655">
        <f>'SGB1'!X49/pop!X5*1000000</f>
        <v>1.5829881038348981</v>
      </c>
      <c r="M46" s="655">
        <f>'SGB1'!Y49/pop!Y5*1000000</f>
        <v>1.8622992886658236</v>
      </c>
      <c r="N46" s="655">
        <f>'SGB1'!Z49/pop!Z5*1000000</f>
        <v>1.5864950316169828</v>
      </c>
      <c r="O46" s="660" t="s">
        <v>7</v>
      </c>
      <c r="P46" s="660" t="s">
        <v>7</v>
      </c>
    </row>
    <row r="47" spans="1:16" ht="18">
      <c r="A47" s="45"/>
      <c r="B47" s="49"/>
      <c r="C47" s="45" t="s">
        <v>124</v>
      </c>
      <c r="D47" s="655">
        <f>'SGB1'!P50/pop!P6*1000000</f>
        <v>1.5086318975105544</v>
      </c>
      <c r="E47" s="655">
        <f>'SGB1'!Q50/pop!Q6*1000000</f>
        <v>1.5345646975065723</v>
      </c>
      <c r="F47" s="655">
        <f>'SGB1'!R50/pop!R6*1000000</f>
        <v>1.7188585501673679</v>
      </c>
      <c r="G47" s="655">
        <f>'SGB1'!S50/pop!S6*1000000</f>
        <v>1.7943090345095722</v>
      </c>
      <c r="H47" s="655">
        <f>'SGB1'!T50/pop!T6*1000000</f>
        <v>1.8346774828238477</v>
      </c>
      <c r="I47" s="655">
        <f>'SGB1'!U50/pop!U6*1000000</f>
        <v>1.7193499675069721</v>
      </c>
      <c r="J47" s="655">
        <f>'SGB1'!V50/pop!V6*1000000</f>
        <v>1.7103947031390991</v>
      </c>
      <c r="K47" s="655">
        <f>'SGB1'!W50/pop!W6*1000000</f>
        <v>1.4421052699471397</v>
      </c>
      <c r="L47" s="655">
        <f>'SGB1'!X50/pop!X6*1000000</f>
        <v>1.4748676240684813</v>
      </c>
      <c r="M47" s="655">
        <f>'SGB1'!Y50/pop!Y6*1000000</f>
        <v>1.654443334559335</v>
      </c>
      <c r="N47" s="655">
        <f>'SGB1'!Z50/pop!Z6*1000000</f>
        <v>1.8276898601317912</v>
      </c>
      <c r="O47" s="655">
        <f>'SGB1'!AA50/pop!AA6*1000000</f>
        <v>1.8715425142308466</v>
      </c>
      <c r="P47" s="655">
        <f>'SGB1'!AB50/pop!AB6*1000000</f>
        <v>1.7556037663275053</v>
      </c>
    </row>
    <row r="48" spans="1:16" ht="18">
      <c r="A48" s="45"/>
      <c r="B48" s="49" t="s">
        <v>14</v>
      </c>
      <c r="C48" s="45"/>
      <c r="D48" s="539"/>
      <c r="E48" s="539"/>
      <c r="F48" s="539"/>
      <c r="G48" s="539"/>
      <c r="H48" s="539"/>
      <c r="I48" s="539"/>
      <c r="J48" s="539"/>
      <c r="K48" s="539"/>
      <c r="L48" s="539"/>
      <c r="M48" s="539"/>
      <c r="N48" s="539"/>
      <c r="O48" s="539"/>
    </row>
    <row r="49" spans="1:16" ht="18">
      <c r="A49" s="45"/>
      <c r="B49" s="45"/>
      <c r="C49" s="45" t="s">
        <v>123</v>
      </c>
      <c r="D49" s="655">
        <f>'SGB1'!P52/pop!P5*1000000</f>
        <v>3.7899723647848398</v>
      </c>
      <c r="E49" s="655">
        <f>'SGB1'!Q52/pop!Q5*1000000</f>
        <v>3.8492650685607184</v>
      </c>
      <c r="F49" s="655">
        <f>'SGB1'!R52/pop!R5*1000000</f>
        <v>4.0300533013394171</v>
      </c>
      <c r="G49" s="655">
        <f>'SGB1'!S52/pop!S5*1000000</f>
        <v>4.995890571797581</v>
      </c>
      <c r="H49" s="655">
        <f>'SGB1'!T52/pop!T5*1000000</f>
        <v>4.0092731487794904</v>
      </c>
      <c r="I49" s="655">
        <f>'SGB1'!U52/pop!U5*1000000</f>
        <v>4.4081237911025148</v>
      </c>
      <c r="J49" s="655">
        <f>'SGB1'!V52/pop!V5*1000000</f>
        <v>4.474427723000634</v>
      </c>
      <c r="K49" s="655">
        <f>'SGB1'!W52/pop!W5*1000000</f>
        <v>3.7921214090483382</v>
      </c>
      <c r="L49" s="655">
        <f>'SGB1'!X52/pop!X5*1000000</f>
        <v>3.411120823989966</v>
      </c>
      <c r="M49" s="655">
        <f>'SGB1'!Y52/pop!Y5*1000000</f>
        <v>3.0811902111360587</v>
      </c>
      <c r="N49" s="655">
        <f>'SGB1'!Z52/pop!Z5*1000000</f>
        <v>2.3599819331526648</v>
      </c>
      <c r="O49" s="655">
        <f>'SGB1'!AA52/pop!AA5*1000000</f>
        <v>2.1378831390656381</v>
      </c>
      <c r="P49" s="655">
        <f>'SGB1'!AB52/pop!AB5*1000000</f>
        <v>2.2084673498391805</v>
      </c>
    </row>
    <row r="50" spans="1:16" ht="18">
      <c r="A50" s="45"/>
      <c r="B50" s="49"/>
      <c r="C50" s="45" t="s">
        <v>149</v>
      </c>
      <c r="D50" s="655">
        <f>'SGB1'!P53/pop!P6*1000000</f>
        <v>1.0043374511819112</v>
      </c>
      <c r="E50" s="655">
        <f>'SGB1'!Q53/pop!Q6*1000000</f>
        <v>0.97453473759696962</v>
      </c>
      <c r="F50" s="655">
        <f>'SGB1'!R53/pop!R6*1000000</f>
        <v>1.0266884475002742</v>
      </c>
      <c r="G50" s="655">
        <f>'SGB1'!S53/pop!S6*1000000</f>
        <v>1.1089676247890303</v>
      </c>
      <c r="H50" s="655">
        <f>'SGB1'!T53/pop!T6*1000000</f>
        <v>0.95924268665141499</v>
      </c>
      <c r="I50" s="655">
        <f>'SGB1'!U53/pop!U6*1000000</f>
        <v>0.96654745764283578</v>
      </c>
      <c r="J50" s="655">
        <f>'SGB1'!V53/pop!V6*1000000</f>
        <v>0.96832470284117433</v>
      </c>
      <c r="K50" s="655">
        <f>'SGB1'!W53/pop!W6*1000000</f>
        <v>0.90269953006637915</v>
      </c>
      <c r="L50" s="655">
        <f>'SGB1'!X53/pop!X6*1000000</f>
        <v>0.8284851503388021</v>
      </c>
      <c r="M50" s="655">
        <f>'SGB1'!Y53/pop!Y6*1000000</f>
        <v>0.80204938733498088</v>
      </c>
      <c r="N50" s="655">
        <f>'SGB1'!Z53/pop!Z6*1000000</f>
        <v>0.6922953063308398</v>
      </c>
      <c r="O50" s="655">
        <f>'SGB1'!AA53/pop!AA6*1000000</f>
        <v>0.60885002022901136</v>
      </c>
      <c r="P50" s="655">
        <f>'SGB1'!AB53/pop!AB6*1000000</f>
        <v>0.62941934042143444</v>
      </c>
    </row>
    <row r="51" spans="1:16" ht="21">
      <c r="A51" s="45"/>
      <c r="B51" s="49" t="s">
        <v>639</v>
      </c>
      <c r="C51" s="45"/>
      <c r="D51" s="539"/>
      <c r="E51" s="539"/>
      <c r="F51" s="539"/>
      <c r="G51" s="539"/>
      <c r="H51" s="539"/>
      <c r="I51" s="539"/>
      <c r="J51" s="539"/>
      <c r="K51" s="539"/>
      <c r="L51" s="539"/>
      <c r="M51" s="539"/>
      <c r="N51" s="539"/>
      <c r="O51" s="539"/>
    </row>
    <row r="52" spans="1:16" ht="18">
      <c r="A52" s="45"/>
      <c r="B52" s="45"/>
      <c r="C52" s="58" t="s">
        <v>123</v>
      </c>
      <c r="D52" s="655">
        <f>'SGB1'!P55/pop!P5*1000000</f>
        <v>5.5353335965258585</v>
      </c>
      <c r="E52" s="655">
        <f>'SGB1'!Q55/pop!Q5*1000000</f>
        <v>5.4653250468580445</v>
      </c>
      <c r="F52" s="655">
        <f>'SGB1'!R55/pop!R5*1000000</f>
        <v>5.4381210786145582</v>
      </c>
      <c r="G52" s="655">
        <f>'SGB1'!S55/pop!S5*1000000</f>
        <v>5.4009627803217093</v>
      </c>
      <c r="H52" s="655">
        <f>'SGB1'!T55/pop!T5*1000000</f>
        <v>5.4158305897021295</v>
      </c>
      <c r="I52" s="655">
        <f>'SGB1'!U55/pop!U5*1000000</f>
        <v>5.3191489361702127</v>
      </c>
      <c r="J52" s="655">
        <f>'SGB1'!V55/pop!V5*1000000</f>
        <v>5.3047338984028141</v>
      </c>
      <c r="K52" s="655">
        <f>'SGB1'!W55/pop!W5*1000000</f>
        <v>5.2753301859745028</v>
      </c>
      <c r="L52" s="655">
        <f>'SGB1'!X55/pop!X5*1000000</f>
        <v>5.2449545817338761</v>
      </c>
      <c r="M52" s="655">
        <f>'SGB1'!Y55/pop!Y5*1000000</f>
        <v>5.2453819883394024</v>
      </c>
      <c r="N52" s="655">
        <f>'SGB1'!Z55/pop!Z5*1000000</f>
        <v>5.3071364046973803</v>
      </c>
      <c r="O52" s="661" t="s">
        <v>7</v>
      </c>
      <c r="P52" s="661" t="s">
        <v>7</v>
      </c>
    </row>
    <row r="53" spans="1:16" ht="18">
      <c r="A53" s="45"/>
      <c r="B53" s="45"/>
      <c r="C53" s="58" t="s">
        <v>127</v>
      </c>
      <c r="D53" s="655">
        <f>'SGB1'!P56/pop!P6*1000000</f>
        <v>1.0128122211252755</v>
      </c>
      <c r="E53" s="655">
        <f>'SGB1'!Q56/pop!Q6*1000000</f>
        <v>0.94763253952436233</v>
      </c>
      <c r="F53" s="655">
        <f>'SGB1'!R56/pop!R6*1000000</f>
        <v>0.96310512192030251</v>
      </c>
      <c r="G53" s="655">
        <f>'SGB1'!S56/pop!S6*1000000</f>
        <v>0.94401443980845501</v>
      </c>
      <c r="H53" s="655">
        <f>'SGB1'!T56/pop!T6*1000000</f>
        <v>0.92241626212084582</v>
      </c>
      <c r="I53" s="655">
        <f>'SGB1'!U56/pop!U6*1000000</f>
        <v>0.89157698510371308</v>
      </c>
      <c r="J53" s="655">
        <f>'SGB1'!V56/pop!V6*1000000</f>
        <v>0.88767320036332975</v>
      </c>
      <c r="K53" s="655">
        <f>'SGB1'!W56/pop!W6*1000000</f>
        <v>0.88643167969227854</v>
      </c>
      <c r="L53" s="655">
        <f>'SGB1'!X56/pop!X6*1000000</f>
        <v>0.87770208996288934</v>
      </c>
      <c r="M53" s="655">
        <f>'SGB1'!Y56/pop!Y6*1000000</f>
        <v>0.87358512355787898</v>
      </c>
      <c r="N53" s="655">
        <f>'SGB1'!Z56/pop!Z6*1000000</f>
        <v>0.87748505221181494</v>
      </c>
      <c r="O53" s="661" t="s">
        <v>7</v>
      </c>
      <c r="P53" s="661" t="s">
        <v>7</v>
      </c>
    </row>
    <row r="54" spans="1:16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348"/>
    </row>
    <row r="55" spans="1:16" s="8" customFormat="1">
      <c r="A55" s="90">
        <v>1</v>
      </c>
      <c r="B55" s="2" t="s">
        <v>459</v>
      </c>
      <c r="C55" s="18"/>
    </row>
    <row r="56" spans="1:16" s="8" customFormat="1" ht="13.5" customHeight="1">
      <c r="A56" s="90">
        <v>2</v>
      </c>
      <c r="B56" s="648" t="s">
        <v>460</v>
      </c>
      <c r="C56" s="18"/>
    </row>
    <row r="57" spans="1:16">
      <c r="A57" s="90">
        <v>3</v>
      </c>
      <c r="B57" s="18" t="s">
        <v>135</v>
      </c>
    </row>
    <row r="58" spans="1:16">
      <c r="A58" s="90">
        <v>4</v>
      </c>
      <c r="B58" s="648" t="s">
        <v>39</v>
      </c>
    </row>
    <row r="59" spans="1:16">
      <c r="A59" s="90">
        <v>5</v>
      </c>
      <c r="B59" s="648" t="s">
        <v>136</v>
      </c>
      <c r="D59" s="299"/>
      <c r="E59" s="299"/>
      <c r="F59" s="299"/>
      <c r="G59" s="299"/>
    </row>
    <row r="60" spans="1:16">
      <c r="A60" s="90">
        <v>6</v>
      </c>
      <c r="B60" s="648" t="s">
        <v>137</v>
      </c>
    </row>
    <row r="61" spans="1:16">
      <c r="A61" s="90">
        <v>7</v>
      </c>
      <c r="B61" s="299" t="s">
        <v>398</v>
      </c>
    </row>
    <row r="62" spans="1:16">
      <c r="A62" s="90">
        <v>8</v>
      </c>
      <c r="B62" s="648" t="s">
        <v>133</v>
      </c>
    </row>
    <row r="63" spans="1:16">
      <c r="B63" s="5" t="s">
        <v>134</v>
      </c>
    </row>
    <row r="64" spans="1:16">
      <c r="A64" s="90">
        <v>9</v>
      </c>
      <c r="B64" s="18" t="s">
        <v>466</v>
      </c>
    </row>
    <row r="65" spans="1:2">
      <c r="A65" s="90">
        <v>10</v>
      </c>
      <c r="B65" s="18" t="s">
        <v>467</v>
      </c>
    </row>
  </sheetData>
  <phoneticPr fontId="3" type="noConversion"/>
  <pageMargins left="0.74803149606299213" right="0.74803149606299213" top="0.70866141732283472" bottom="0.55118110236220474" header="0.51181102362204722" footer="0.51181102362204722"/>
  <pageSetup paperSize="9" scale="5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H86"/>
  <sheetViews>
    <sheetView zoomScale="75" zoomScaleNormal="75" workbookViewId="0">
      <pane xSplit="3" ySplit="9" topLeftCell="D22" activePane="bottomRight" state="frozen"/>
      <selection pane="topRight"/>
      <selection pane="bottomLeft"/>
      <selection pane="bottomRight" activeCell="P52" sqref="P52"/>
    </sheetView>
  </sheetViews>
  <sheetFormatPr defaultColWidth="11.42578125" defaultRowHeight="12.75"/>
  <cols>
    <col min="1" max="2" width="7.42578125" style="8" customWidth="1"/>
    <col min="3" max="3" width="3.28515625" style="8" customWidth="1"/>
    <col min="4" max="7" width="10.7109375" style="8" customWidth="1"/>
    <col min="8" max="8" width="14.42578125" style="8" customWidth="1"/>
    <col min="9" max="9" width="12.140625" style="8" customWidth="1"/>
    <col min="10" max="10" width="3.7109375" style="8" customWidth="1"/>
    <col min="11" max="12" width="8.7109375" style="8" customWidth="1"/>
    <col min="13" max="13" width="13.28515625" style="8" customWidth="1"/>
    <col min="14" max="15" width="8.7109375" style="8" customWidth="1"/>
    <col min="16" max="16" width="43.7109375" style="8" customWidth="1"/>
    <col min="17" max="16384" width="11.42578125" style="8"/>
  </cols>
  <sheetData>
    <row r="1" spans="1:15" s="18" customFormat="1" ht="20.25">
      <c r="A1" s="81" t="s">
        <v>263</v>
      </c>
      <c r="B1" s="81"/>
      <c r="N1" s="649" t="s">
        <v>627</v>
      </c>
    </row>
    <row r="2" spans="1: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8.75">
      <c r="A3" s="82" t="s">
        <v>264</v>
      </c>
      <c r="B3" s="82"/>
      <c r="C3" s="83"/>
      <c r="D3" s="84" t="s">
        <v>150</v>
      </c>
      <c r="E3" s="84" t="s">
        <v>57</v>
      </c>
      <c r="F3" s="84" t="s">
        <v>102</v>
      </c>
      <c r="G3" s="83" t="s">
        <v>103</v>
      </c>
      <c r="H3" s="324" t="s">
        <v>104</v>
      </c>
      <c r="I3" s="328" t="s">
        <v>104</v>
      </c>
      <c r="J3" s="83"/>
      <c r="K3" s="85" t="s">
        <v>150</v>
      </c>
      <c r="L3" s="85" t="s">
        <v>57</v>
      </c>
      <c r="M3" s="85" t="s">
        <v>102</v>
      </c>
      <c r="N3" s="85" t="s">
        <v>103</v>
      </c>
      <c r="O3" s="85" t="s">
        <v>104</v>
      </c>
    </row>
    <row r="4" spans="1:15">
      <c r="A4" s="6"/>
      <c r="B4" s="6"/>
      <c r="C4" s="6"/>
      <c r="D4" s="6" t="s">
        <v>151</v>
      </c>
      <c r="E4" s="6" t="s">
        <v>152</v>
      </c>
      <c r="F4" s="6" t="s">
        <v>152</v>
      </c>
      <c r="G4" s="6" t="s">
        <v>153</v>
      </c>
      <c r="H4" s="325" t="s">
        <v>154</v>
      </c>
      <c r="I4" s="329" t="s">
        <v>154</v>
      </c>
      <c r="J4" s="6"/>
      <c r="K4" s="6"/>
      <c r="L4" s="6"/>
      <c r="M4" s="6"/>
      <c r="N4" s="6"/>
      <c r="O4" s="6" t="s">
        <v>420</v>
      </c>
    </row>
    <row r="5" spans="1:15" ht="14.25">
      <c r="A5" s="6"/>
      <c r="B5" s="6"/>
      <c r="C5" s="6"/>
      <c r="D5" s="6" t="s">
        <v>18</v>
      </c>
      <c r="E5" s="6" t="s">
        <v>155</v>
      </c>
      <c r="F5" s="6" t="s">
        <v>155</v>
      </c>
      <c r="G5" s="6" t="s">
        <v>154</v>
      </c>
      <c r="H5" s="308" t="s">
        <v>417</v>
      </c>
      <c r="I5" s="329" t="s">
        <v>156</v>
      </c>
      <c r="J5" s="6"/>
      <c r="K5" s="6"/>
      <c r="L5" s="6"/>
      <c r="M5" s="6"/>
      <c r="N5" s="6"/>
      <c r="O5" s="6" t="s">
        <v>421</v>
      </c>
    </row>
    <row r="6" spans="1:15">
      <c r="A6" s="6"/>
      <c r="B6" s="6"/>
      <c r="C6" s="6"/>
      <c r="D6" s="6" t="s">
        <v>157</v>
      </c>
      <c r="E6" s="6" t="s">
        <v>158</v>
      </c>
      <c r="F6" s="6" t="s">
        <v>159</v>
      </c>
      <c r="G6" s="6" t="s">
        <v>160</v>
      </c>
      <c r="H6" s="308" t="s">
        <v>418</v>
      </c>
      <c r="I6" s="329" t="s">
        <v>161</v>
      </c>
      <c r="J6" s="6"/>
      <c r="K6" s="6"/>
      <c r="L6" s="6"/>
      <c r="M6" s="6"/>
      <c r="N6" s="6"/>
      <c r="O6" s="6"/>
    </row>
    <row r="7" spans="1:15" ht="14.25" customHeight="1">
      <c r="A7" s="6"/>
      <c r="B7" s="6"/>
      <c r="C7" s="6"/>
      <c r="D7" s="6" t="s">
        <v>162</v>
      </c>
      <c r="E7" s="6" t="s">
        <v>163</v>
      </c>
      <c r="F7" s="6" t="s">
        <v>164</v>
      </c>
      <c r="G7" s="6" t="s">
        <v>165</v>
      </c>
      <c r="H7" s="308" t="s">
        <v>419</v>
      </c>
      <c r="I7" s="329" t="s">
        <v>166</v>
      </c>
      <c r="J7" s="6"/>
      <c r="K7" s="6"/>
      <c r="L7" s="6"/>
      <c r="M7" s="6"/>
      <c r="N7" s="86"/>
      <c r="O7" s="6"/>
    </row>
    <row r="8" spans="1:15" ht="16.5" customHeight="1">
      <c r="A8" s="28"/>
      <c r="B8" s="28"/>
      <c r="C8" s="28"/>
      <c r="D8" s="28" t="s">
        <v>167</v>
      </c>
      <c r="E8" s="28" t="s">
        <v>168</v>
      </c>
      <c r="F8" s="28" t="s">
        <v>125</v>
      </c>
      <c r="G8" s="28"/>
      <c r="H8" s="326" t="s">
        <v>424</v>
      </c>
      <c r="I8" s="330"/>
      <c r="J8" s="28"/>
      <c r="K8" s="28"/>
      <c r="L8" s="28"/>
      <c r="M8" s="28"/>
      <c r="N8" s="28"/>
      <c r="O8" s="28"/>
    </row>
    <row r="9" spans="1:15">
      <c r="A9" s="6"/>
      <c r="B9" s="6"/>
      <c r="C9" s="6"/>
      <c r="D9" s="6"/>
      <c r="E9" s="6"/>
      <c r="F9" s="6"/>
      <c r="G9" s="6"/>
      <c r="H9" s="308"/>
      <c r="I9" s="329"/>
      <c r="J9" s="6"/>
      <c r="K9" s="6"/>
      <c r="L9" s="6"/>
      <c r="M9" s="6"/>
      <c r="N9" s="6"/>
      <c r="O9" s="6"/>
    </row>
    <row r="10" spans="1:15">
      <c r="D10" s="7"/>
      <c r="E10" s="30"/>
      <c r="F10" s="30"/>
      <c r="G10" s="30"/>
      <c r="H10" s="327"/>
      <c r="I10" s="331" t="s">
        <v>129</v>
      </c>
      <c r="J10" s="30"/>
      <c r="K10" s="30"/>
      <c r="L10" s="30"/>
      <c r="M10" s="30"/>
      <c r="N10" s="30"/>
      <c r="O10" s="15" t="s">
        <v>169</v>
      </c>
    </row>
    <row r="11" spans="1:15" ht="15">
      <c r="A11" s="71">
        <v>1960</v>
      </c>
      <c r="B11" s="71"/>
      <c r="D11" s="63" t="s">
        <v>7</v>
      </c>
      <c r="E11" s="17">
        <v>1664.2</v>
      </c>
      <c r="F11" s="65">
        <v>64.900000000000006</v>
      </c>
      <c r="G11" s="25">
        <v>1.1983999999999999</v>
      </c>
      <c r="H11" s="314"/>
      <c r="I11" s="332" t="s">
        <v>7</v>
      </c>
      <c r="J11" s="63"/>
      <c r="K11" s="88" t="s">
        <v>7</v>
      </c>
      <c r="L11" s="89">
        <f t="shared" ref="L11:L42" si="0">E11/E$36*100</f>
        <v>242.32522718900117</v>
      </c>
      <c r="M11" s="89">
        <f t="shared" ref="M11:M42" si="1">F11/F$36*100</f>
        <v>113.66024518388794</v>
      </c>
      <c r="N11" s="89">
        <f t="shared" ref="N11:N42" si="2">G11/G$36*100</f>
        <v>17.261544666263358</v>
      </c>
      <c r="O11" s="88" t="s">
        <v>7</v>
      </c>
    </row>
    <row r="12" spans="1:15" ht="15">
      <c r="A12" s="71">
        <v>1961</v>
      </c>
      <c r="B12" s="71"/>
      <c r="D12" s="63" t="s">
        <v>7</v>
      </c>
      <c r="E12" s="17">
        <v>1633.4</v>
      </c>
      <c r="F12" s="65">
        <v>63.4</v>
      </c>
      <c r="G12" s="25">
        <v>1.413</v>
      </c>
      <c r="H12" s="314"/>
      <c r="I12" s="332" t="s">
        <v>7</v>
      </c>
      <c r="J12" s="63"/>
      <c r="K12" s="88" t="s">
        <v>7</v>
      </c>
      <c r="L12" s="89">
        <f t="shared" si="0"/>
        <v>237.84041947513188</v>
      </c>
      <c r="M12" s="89">
        <f t="shared" si="1"/>
        <v>111.03327495621716</v>
      </c>
      <c r="N12" s="89">
        <f t="shared" si="2"/>
        <v>20.352605652061186</v>
      </c>
      <c r="O12" s="88" t="s">
        <v>7</v>
      </c>
    </row>
    <row r="13" spans="1:15" ht="15">
      <c r="A13" s="71">
        <v>1962</v>
      </c>
      <c r="B13" s="71"/>
      <c r="D13" s="63" t="s">
        <v>7</v>
      </c>
      <c r="E13" s="17">
        <v>1578.8</v>
      </c>
      <c r="F13" s="65">
        <v>72.3</v>
      </c>
      <c r="G13" s="25">
        <v>1.5929</v>
      </c>
      <c r="H13" s="314"/>
      <c r="I13" s="332" t="s">
        <v>7</v>
      </c>
      <c r="J13" s="63"/>
      <c r="K13" s="88" t="s">
        <v>7</v>
      </c>
      <c r="L13" s="89">
        <f t="shared" si="0"/>
        <v>229.89007852781816</v>
      </c>
      <c r="M13" s="89">
        <f t="shared" si="1"/>
        <v>126.61996497373029</v>
      </c>
      <c r="N13" s="89">
        <f t="shared" si="2"/>
        <v>22.943853887592542</v>
      </c>
      <c r="O13" s="88" t="s">
        <v>7</v>
      </c>
    </row>
    <row r="14" spans="1:15" ht="15">
      <c r="A14" s="71">
        <v>1963</v>
      </c>
      <c r="B14" s="71"/>
      <c r="D14" s="63" t="s">
        <v>7</v>
      </c>
      <c r="E14" s="17">
        <v>1561.4</v>
      </c>
      <c r="F14" s="65">
        <v>71.7</v>
      </c>
      <c r="G14" s="25">
        <v>1.8242</v>
      </c>
      <c r="H14" s="314"/>
      <c r="I14" s="332" t="s">
        <v>7</v>
      </c>
      <c r="J14" s="90"/>
      <c r="K14" s="88" t="s">
        <v>7</v>
      </c>
      <c r="L14" s="89">
        <f t="shared" si="0"/>
        <v>227.35645339076217</v>
      </c>
      <c r="M14" s="89">
        <f t="shared" si="1"/>
        <v>125.56917688266201</v>
      </c>
      <c r="N14" s="89">
        <f t="shared" si="2"/>
        <v>26.275458761847144</v>
      </c>
      <c r="O14" s="88" t="s">
        <v>7</v>
      </c>
    </row>
    <row r="15" spans="1:15" ht="15">
      <c r="A15" s="71">
        <v>1964</v>
      </c>
      <c r="B15" s="71"/>
      <c r="D15" s="63" t="s">
        <v>7</v>
      </c>
      <c r="E15" s="17">
        <v>1505.9</v>
      </c>
      <c r="F15" s="65">
        <v>73</v>
      </c>
      <c r="G15" s="25">
        <v>2.0726</v>
      </c>
      <c r="H15" s="314"/>
      <c r="I15" s="332" t="s">
        <v>7</v>
      </c>
      <c r="J15" s="90"/>
      <c r="K15" s="88" t="s">
        <v>7</v>
      </c>
      <c r="L15" s="89">
        <f t="shared" si="0"/>
        <v>219.27506286739384</v>
      </c>
      <c r="M15" s="89">
        <f t="shared" si="1"/>
        <v>127.84588441330997</v>
      </c>
      <c r="N15" s="89">
        <f t="shared" si="2"/>
        <v>29.853369054820959</v>
      </c>
      <c r="O15" s="88" t="s">
        <v>7</v>
      </c>
    </row>
    <row r="16" spans="1:15" ht="15">
      <c r="A16" s="71">
        <v>1965</v>
      </c>
      <c r="B16" s="71"/>
      <c r="D16" s="63" t="s">
        <v>7</v>
      </c>
      <c r="E16" s="17">
        <v>1416.9</v>
      </c>
      <c r="F16" s="65">
        <v>71</v>
      </c>
      <c r="G16" s="25">
        <v>2.2913000000000001</v>
      </c>
      <c r="H16" s="314"/>
      <c r="I16" s="332" t="s">
        <v>7</v>
      </c>
      <c r="J16" s="90"/>
      <c r="K16" s="88" t="s">
        <v>7</v>
      </c>
      <c r="L16" s="89">
        <f t="shared" si="0"/>
        <v>206.31571590199238</v>
      </c>
      <c r="M16" s="89">
        <f t="shared" si="1"/>
        <v>124.34325744308229</v>
      </c>
      <c r="N16" s="89">
        <f t="shared" si="2"/>
        <v>33.003485725808773</v>
      </c>
      <c r="O16" s="88" t="s">
        <v>7</v>
      </c>
    </row>
    <row r="17" spans="1:15" ht="15">
      <c r="A17" s="71">
        <v>1966</v>
      </c>
      <c r="B17" s="71"/>
      <c r="D17" s="63" t="s">
        <v>7</v>
      </c>
      <c r="E17" s="17">
        <v>1344.4</v>
      </c>
      <c r="F17" s="65">
        <v>65.8</v>
      </c>
      <c r="G17" s="25">
        <v>2.5583</v>
      </c>
      <c r="H17" s="314"/>
      <c r="I17" s="332" t="s">
        <v>7</v>
      </c>
      <c r="J17" s="90"/>
      <c r="K17" s="88" t="s">
        <v>7</v>
      </c>
      <c r="L17" s="89">
        <f t="shared" si="0"/>
        <v>195.75894449759232</v>
      </c>
      <c r="M17" s="89">
        <f t="shared" si="1"/>
        <v>115.23642732049035</v>
      </c>
      <c r="N17" s="89">
        <f t="shared" si="2"/>
        <v>36.849307175985942</v>
      </c>
      <c r="O17" s="88" t="s">
        <v>7</v>
      </c>
    </row>
    <row r="18" spans="1:15" ht="15">
      <c r="A18" s="71">
        <v>1967</v>
      </c>
      <c r="B18" s="71"/>
      <c r="D18" s="63" t="s">
        <v>7</v>
      </c>
      <c r="E18" s="17">
        <v>1296.5999999999999</v>
      </c>
      <c r="F18" s="65">
        <v>65.900000000000006</v>
      </c>
      <c r="G18" s="25">
        <v>2.7629000000000001</v>
      </c>
      <c r="H18" s="314"/>
      <c r="I18" s="332" t="s">
        <v>7</v>
      </c>
      <c r="J18" s="90"/>
      <c r="K18" s="88" t="s">
        <v>7</v>
      </c>
      <c r="L18" s="89">
        <f t="shared" si="0"/>
        <v>188.79875590269131</v>
      </c>
      <c r="M18" s="89">
        <f t="shared" si="1"/>
        <v>115.41155866900176</v>
      </c>
      <c r="N18" s="89">
        <f t="shared" si="2"/>
        <v>39.796329905222827</v>
      </c>
      <c r="O18" s="88" t="s">
        <v>7</v>
      </c>
    </row>
    <row r="19" spans="1:15" ht="15">
      <c r="A19" s="71">
        <v>1968</v>
      </c>
      <c r="B19" s="71"/>
      <c r="D19" s="63" t="s">
        <v>7</v>
      </c>
      <c r="E19" s="17">
        <v>1220.0999999999999</v>
      </c>
      <c r="F19" s="65">
        <v>67</v>
      </c>
      <c r="G19" s="25">
        <v>2.6890999999999998</v>
      </c>
      <c r="H19" s="314"/>
      <c r="I19" s="332" t="s">
        <v>7</v>
      </c>
      <c r="J19" s="90"/>
      <c r="K19" s="88" t="s">
        <v>7</v>
      </c>
      <c r="L19" s="89">
        <f t="shared" si="0"/>
        <v>177.65954193804848</v>
      </c>
      <c r="M19" s="89">
        <f t="shared" si="1"/>
        <v>117.33800350262698</v>
      </c>
      <c r="N19" s="89">
        <f t="shared" si="2"/>
        <v>38.733327571803066</v>
      </c>
      <c r="O19" s="88" t="s">
        <v>7</v>
      </c>
    </row>
    <row r="20" spans="1:15" ht="15">
      <c r="A20" s="71">
        <v>1969</v>
      </c>
      <c r="B20" s="71"/>
      <c r="D20" s="63" t="s">
        <v>7</v>
      </c>
      <c r="E20" s="17">
        <v>1168.9000000000001</v>
      </c>
      <c r="F20" s="65">
        <v>68.400000000000006</v>
      </c>
      <c r="G20" s="25">
        <v>2.9056000000000002</v>
      </c>
      <c r="H20" s="314"/>
      <c r="I20" s="332" t="s">
        <v>7</v>
      </c>
      <c r="J20" s="90"/>
      <c r="K20" s="88" t="s">
        <v>7</v>
      </c>
      <c r="L20" s="89">
        <f t="shared" si="0"/>
        <v>170.20427716694115</v>
      </c>
      <c r="M20" s="89">
        <f t="shared" si="1"/>
        <v>119.78984238178634</v>
      </c>
      <c r="N20" s="89">
        <f t="shared" si="2"/>
        <v>41.851755826347478</v>
      </c>
      <c r="O20" s="88" t="s">
        <v>7</v>
      </c>
    </row>
    <row r="21" spans="1:15" ht="15">
      <c r="A21" s="71">
        <v>1970</v>
      </c>
      <c r="B21" s="71"/>
      <c r="D21" s="63" t="s">
        <v>7</v>
      </c>
      <c r="E21" s="17">
        <v>1056.5</v>
      </c>
      <c r="F21" s="65">
        <v>70.7</v>
      </c>
      <c r="G21" s="25">
        <v>3.1027</v>
      </c>
      <c r="H21" s="314"/>
      <c r="I21" s="332" t="s">
        <v>7</v>
      </c>
      <c r="J21" s="90"/>
      <c r="K21" s="88" t="s">
        <v>7</v>
      </c>
      <c r="L21" s="89">
        <f t="shared" si="0"/>
        <v>153.83764122411952</v>
      </c>
      <c r="M21" s="89">
        <f t="shared" si="1"/>
        <v>123.81786339754817</v>
      </c>
      <c r="N21" s="89">
        <f t="shared" si="2"/>
        <v>44.690749863163653</v>
      </c>
      <c r="O21" s="88" t="s">
        <v>7</v>
      </c>
    </row>
    <row r="22" spans="1:15" ht="15">
      <c r="A22" s="71">
        <v>1971</v>
      </c>
      <c r="B22" s="71"/>
      <c r="D22" s="63" t="s">
        <v>7</v>
      </c>
      <c r="E22" s="17">
        <v>1018.5</v>
      </c>
      <c r="F22" s="65">
        <v>66.5</v>
      </c>
      <c r="G22" s="25">
        <v>3.1987000000000001</v>
      </c>
      <c r="H22" s="314"/>
      <c r="I22" s="332" t="s">
        <v>7</v>
      </c>
      <c r="J22" s="90"/>
      <c r="K22" s="88" t="s">
        <v>7</v>
      </c>
      <c r="L22" s="89">
        <f t="shared" si="0"/>
        <v>148.30443690181326</v>
      </c>
      <c r="M22" s="89">
        <f t="shared" si="1"/>
        <v>116.46234676007006</v>
      </c>
      <c r="N22" s="89">
        <f t="shared" si="2"/>
        <v>46.073517126148708</v>
      </c>
      <c r="O22" s="88" t="s">
        <v>7</v>
      </c>
    </row>
    <row r="23" spans="1:15" ht="15">
      <c r="A23" s="71">
        <v>1972</v>
      </c>
      <c r="B23" s="71"/>
      <c r="D23" s="63" t="s">
        <v>7</v>
      </c>
      <c r="E23" s="17">
        <v>998.2</v>
      </c>
      <c r="F23" s="65">
        <v>61.2</v>
      </c>
      <c r="G23" s="25">
        <v>3.6429999999999998</v>
      </c>
      <c r="H23" s="314"/>
      <c r="I23" s="332" t="s">
        <v>7</v>
      </c>
      <c r="J23" s="90"/>
      <c r="K23" s="88" t="s">
        <v>7</v>
      </c>
      <c r="L23" s="89">
        <f t="shared" si="0"/>
        <v>145.34854090858127</v>
      </c>
      <c r="M23" s="89">
        <f t="shared" si="1"/>
        <v>107.18038528896672</v>
      </c>
      <c r="N23" s="89">
        <f t="shared" si="2"/>
        <v>52.473136865151382</v>
      </c>
      <c r="O23" s="88" t="s">
        <v>7</v>
      </c>
    </row>
    <row r="24" spans="1:15" ht="15">
      <c r="A24" s="71">
        <v>1973</v>
      </c>
      <c r="B24" s="71"/>
      <c r="D24" s="63" t="s">
        <v>7</v>
      </c>
      <c r="E24" s="17">
        <v>975.1</v>
      </c>
      <c r="F24" s="65">
        <v>60.5</v>
      </c>
      <c r="G24" s="25">
        <v>4.0724</v>
      </c>
      <c r="H24" s="314"/>
      <c r="I24" s="332">
        <v>4.8230000000000004</v>
      </c>
      <c r="J24" s="90"/>
      <c r="K24" s="88" t="s">
        <v>7</v>
      </c>
      <c r="L24" s="89">
        <f t="shared" si="0"/>
        <v>141.9849351231793</v>
      </c>
      <c r="M24" s="89">
        <f t="shared" si="1"/>
        <v>105.95446584938703</v>
      </c>
      <c r="N24" s="89">
        <f t="shared" si="2"/>
        <v>58.658139601878254</v>
      </c>
      <c r="O24" s="89">
        <f t="shared" ref="O24:O61" si="3">I24/I$36*100</f>
        <v>103.32047986289632</v>
      </c>
    </row>
    <row r="25" spans="1:15" ht="15">
      <c r="A25" s="71">
        <v>1974</v>
      </c>
      <c r="B25" s="71"/>
      <c r="D25" s="63" t="s">
        <v>7</v>
      </c>
      <c r="E25" s="91">
        <v>896.3</v>
      </c>
      <c r="F25" s="65">
        <v>69.099999999999994</v>
      </c>
      <c r="G25" s="25">
        <v>4.0010000000000003</v>
      </c>
      <c r="H25" s="314"/>
      <c r="I25" s="332">
        <v>4.9610000000000003</v>
      </c>
      <c r="J25" s="90"/>
      <c r="K25" s="88" t="s">
        <v>7</v>
      </c>
      <c r="L25" s="92">
        <f t="shared" si="0"/>
        <v>130.51081668639691</v>
      </c>
      <c r="M25" s="89">
        <f t="shared" si="1"/>
        <v>121.01576182136601</v>
      </c>
      <c r="N25" s="89">
        <f t="shared" si="2"/>
        <v>57.629706450033126</v>
      </c>
      <c r="O25" s="89">
        <f t="shared" si="3"/>
        <v>106.27677806341045</v>
      </c>
    </row>
    <row r="26" spans="1:15" ht="15">
      <c r="A26" s="71">
        <v>1975</v>
      </c>
      <c r="B26" s="71"/>
      <c r="D26" s="93">
        <v>9318.066556570282</v>
      </c>
      <c r="E26" s="94">
        <v>891.4</v>
      </c>
      <c r="F26" s="65">
        <v>66.2</v>
      </c>
      <c r="G26" s="25">
        <v>4.1837</v>
      </c>
      <c r="H26" s="314"/>
      <c r="I26" s="332">
        <v>5.2789999999999999</v>
      </c>
      <c r="J26" s="90"/>
      <c r="K26" s="89">
        <f t="shared" ref="K26:K61" si="4">D26/D$36*100</f>
        <v>68.484981306557998</v>
      </c>
      <c r="L26" s="89">
        <f t="shared" si="0"/>
        <v>129.79732455009952</v>
      </c>
      <c r="M26" s="89">
        <f t="shared" si="1"/>
        <v>115.93695271453591</v>
      </c>
      <c r="N26" s="89">
        <f t="shared" si="2"/>
        <v>60.261285397401544</v>
      </c>
      <c r="O26" s="89">
        <f t="shared" si="3"/>
        <v>113.08911739502999</v>
      </c>
    </row>
    <row r="27" spans="1:15" ht="15">
      <c r="A27" s="71">
        <v>1976</v>
      </c>
      <c r="B27" s="71"/>
      <c r="D27" s="93">
        <v>9438.0702892543177</v>
      </c>
      <c r="E27" s="94">
        <v>881.1</v>
      </c>
      <c r="F27" s="65">
        <v>60.1</v>
      </c>
      <c r="G27" s="25">
        <v>4.7751999999999999</v>
      </c>
      <c r="H27" s="314"/>
      <c r="I27" s="332">
        <v>5.1710000000000003</v>
      </c>
      <c r="J27" s="90"/>
      <c r="K27" s="89">
        <f t="shared" si="4"/>
        <v>69.366972580143454</v>
      </c>
      <c r="L27" s="89">
        <f t="shared" si="0"/>
        <v>128.2975349574744</v>
      </c>
      <c r="M27" s="89">
        <f t="shared" si="1"/>
        <v>105.25394045534151</v>
      </c>
      <c r="N27" s="89">
        <f t="shared" si="2"/>
        <v>68.781148272981298</v>
      </c>
      <c r="O27" s="89">
        <f t="shared" si="3"/>
        <v>110.77549271636676</v>
      </c>
    </row>
    <row r="28" spans="1:15" ht="15">
      <c r="A28" s="71">
        <v>1977</v>
      </c>
      <c r="B28" s="71"/>
      <c r="D28" s="93">
        <v>9621.7449073796161</v>
      </c>
      <c r="E28" s="94">
        <v>823.5</v>
      </c>
      <c r="F28" s="65">
        <v>56.8</v>
      </c>
      <c r="G28" s="25">
        <v>4.8456999999999999</v>
      </c>
      <c r="H28" s="314"/>
      <c r="I28" s="332">
        <v>4.8170000000000002</v>
      </c>
      <c r="J28" s="90"/>
      <c r="K28" s="89">
        <f t="shared" si="4"/>
        <v>70.716925675287484</v>
      </c>
      <c r="L28" s="89">
        <f t="shared" si="0"/>
        <v>119.91036208997863</v>
      </c>
      <c r="M28" s="89">
        <f t="shared" si="1"/>
        <v>99.474605954465844</v>
      </c>
      <c r="N28" s="89">
        <f t="shared" si="2"/>
        <v>69.796617981735949</v>
      </c>
      <c r="O28" s="89">
        <f t="shared" si="3"/>
        <v>103.19194515852614</v>
      </c>
    </row>
    <row r="29" spans="1:15" ht="15">
      <c r="A29" s="71">
        <v>1978</v>
      </c>
      <c r="B29" s="71"/>
      <c r="D29" s="93">
        <v>9748.6280435445515</v>
      </c>
      <c r="E29" s="94">
        <v>794</v>
      </c>
      <c r="F29" s="65">
        <v>59.7</v>
      </c>
      <c r="G29" s="25">
        <v>5.8955000000000002</v>
      </c>
      <c r="H29" s="314"/>
      <c r="I29" s="332">
        <v>4.6390000000000002</v>
      </c>
      <c r="J29" s="90"/>
      <c r="K29" s="89">
        <f t="shared" si="4"/>
        <v>71.649478491434309</v>
      </c>
      <c r="L29" s="89">
        <f t="shared" si="0"/>
        <v>115.61484820818826</v>
      </c>
      <c r="M29" s="89">
        <f t="shared" si="1"/>
        <v>104.55341506129598</v>
      </c>
      <c r="N29" s="89">
        <f t="shared" si="2"/>
        <v>84.917754155503701</v>
      </c>
      <c r="O29" s="89">
        <f t="shared" si="3"/>
        <v>99.378748928877471</v>
      </c>
    </row>
    <row r="30" spans="1:15" ht="15">
      <c r="A30" s="71">
        <v>1979</v>
      </c>
      <c r="B30" s="71"/>
      <c r="D30" s="93">
        <v>9642.6904774246123</v>
      </c>
      <c r="E30" s="94">
        <v>786</v>
      </c>
      <c r="F30" s="65">
        <v>57.6</v>
      </c>
      <c r="G30" s="25">
        <v>6.3316999999999997</v>
      </c>
      <c r="H30" s="314"/>
      <c r="I30" s="332">
        <v>4.5590000000000002</v>
      </c>
      <c r="J30" s="90"/>
      <c r="K30" s="89">
        <f t="shared" si="4"/>
        <v>70.870869303429458</v>
      </c>
      <c r="L30" s="89">
        <f t="shared" si="0"/>
        <v>114.44996308770274</v>
      </c>
      <c r="M30" s="89">
        <f t="shared" si="1"/>
        <v>100.87565674255691</v>
      </c>
      <c r="N30" s="89">
        <f t="shared" si="2"/>
        <v>91.200702906692015</v>
      </c>
      <c r="O30" s="89">
        <f t="shared" si="3"/>
        <v>97.664952870608403</v>
      </c>
    </row>
    <row r="31" spans="1:15" ht="15">
      <c r="A31" s="71">
        <v>1980</v>
      </c>
      <c r="B31" s="71"/>
      <c r="D31" s="93">
        <v>10261.850579172542</v>
      </c>
      <c r="E31" s="94">
        <v>762.9</v>
      </c>
      <c r="F31" s="65">
        <v>61.5</v>
      </c>
      <c r="G31" s="25">
        <v>6.3686999999999996</v>
      </c>
      <c r="H31" s="314"/>
      <c r="I31" s="332">
        <v>4.4779999999999998</v>
      </c>
      <c r="J31" s="90"/>
      <c r="K31" s="89">
        <f t="shared" si="4"/>
        <v>75.421509475029708</v>
      </c>
      <c r="L31" s="89">
        <f t="shared" si="0"/>
        <v>111.08635730230078</v>
      </c>
      <c r="M31" s="89">
        <f t="shared" si="1"/>
        <v>107.70577933450087</v>
      </c>
      <c r="N31" s="89">
        <f t="shared" si="2"/>
        <v>91.733644455967493</v>
      </c>
      <c r="O31" s="89">
        <f t="shared" si="3"/>
        <v>95.929734361610969</v>
      </c>
    </row>
    <row r="32" spans="1:15" ht="15">
      <c r="A32" s="71">
        <v>1981</v>
      </c>
      <c r="B32" s="71"/>
      <c r="D32" s="93">
        <v>10417.985744720616</v>
      </c>
      <c r="E32" s="94">
        <v>715.9</v>
      </c>
      <c r="F32" s="65">
        <v>57.8</v>
      </c>
      <c r="G32" s="25">
        <v>6.4984999999999999</v>
      </c>
      <c r="H32" s="314"/>
      <c r="I32" s="332">
        <v>4.2699999999999996</v>
      </c>
      <c r="J32" s="90"/>
      <c r="K32" s="89">
        <f t="shared" si="4"/>
        <v>76.569055892404933</v>
      </c>
      <c r="L32" s="89">
        <f t="shared" si="0"/>
        <v>104.24265721944832</v>
      </c>
      <c r="M32" s="89">
        <f t="shared" si="1"/>
        <v>101.22591943957968</v>
      </c>
      <c r="N32" s="89">
        <f t="shared" si="2"/>
        <v>93.603261026128536</v>
      </c>
      <c r="O32" s="89">
        <f t="shared" si="3"/>
        <v>91.473864610111391</v>
      </c>
    </row>
    <row r="33" spans="1:34" ht="15">
      <c r="A33" s="71">
        <v>1982</v>
      </c>
      <c r="B33" s="71"/>
      <c r="D33" s="95">
        <v>10733.46368301049</v>
      </c>
      <c r="E33" s="94">
        <v>693.5</v>
      </c>
      <c r="F33" s="65">
        <v>49.5</v>
      </c>
      <c r="G33" s="25">
        <v>6.3698999999999995</v>
      </c>
      <c r="H33" s="314"/>
      <c r="I33" s="332">
        <v>4.1929999999999996</v>
      </c>
      <c r="J33" s="90"/>
      <c r="K33" s="92">
        <f t="shared" si="4"/>
        <v>78.887723673456492</v>
      </c>
      <c r="L33" s="89">
        <f t="shared" si="0"/>
        <v>100.98097888208886</v>
      </c>
      <c r="M33" s="89">
        <f t="shared" si="1"/>
        <v>86.690017513134848</v>
      </c>
      <c r="N33" s="89">
        <f t="shared" si="2"/>
        <v>91.750929046754806</v>
      </c>
      <c r="O33" s="89">
        <f t="shared" si="3"/>
        <v>89.824335904027407</v>
      </c>
    </row>
    <row r="34" spans="1:34" ht="15">
      <c r="A34" s="71">
        <v>1983</v>
      </c>
      <c r="B34" s="71"/>
      <c r="D34" s="94">
        <v>11043</v>
      </c>
      <c r="E34" s="94">
        <v>680.4</v>
      </c>
      <c r="F34" s="65">
        <v>55.7</v>
      </c>
      <c r="G34" s="25">
        <v>6.4828000000000001</v>
      </c>
      <c r="H34" s="314"/>
      <c r="I34" s="332">
        <v>4.5110000000000001</v>
      </c>
      <c r="J34" s="90"/>
      <c r="K34" s="89">
        <f t="shared" si="4"/>
        <v>81.162722328384547</v>
      </c>
      <c r="L34" s="89">
        <f t="shared" si="0"/>
        <v>99.073479497293818</v>
      </c>
      <c r="M34" s="89">
        <f t="shared" si="1"/>
        <v>97.548161120840632</v>
      </c>
      <c r="N34" s="89">
        <f t="shared" si="2"/>
        <v>93.377120963327854</v>
      </c>
      <c r="O34" s="89">
        <f t="shared" si="3"/>
        <v>96.636675235646962</v>
      </c>
    </row>
    <row r="35" spans="1:34" ht="15">
      <c r="A35" s="71">
        <v>1984</v>
      </c>
      <c r="B35" s="71"/>
      <c r="D35" s="94">
        <v>12794</v>
      </c>
      <c r="E35" s="96">
        <v>669.3</v>
      </c>
      <c r="F35" s="65">
        <v>51.3</v>
      </c>
      <c r="G35" s="25">
        <v>6.9851000000000001</v>
      </c>
      <c r="H35" s="314"/>
      <c r="I35" s="332">
        <v>4.665</v>
      </c>
      <c r="J35" s="90"/>
      <c r="K35" s="89">
        <f t="shared" si="4"/>
        <v>94.032044686167865</v>
      </c>
      <c r="L35" s="89">
        <f t="shared" si="0"/>
        <v>97.457201392620149</v>
      </c>
      <c r="M35" s="89">
        <f t="shared" si="1"/>
        <v>89.842381786339743</v>
      </c>
      <c r="N35" s="89">
        <f t="shared" si="2"/>
        <v>100.61216259038399</v>
      </c>
      <c r="O35" s="89">
        <f t="shared" si="3"/>
        <v>99.935732647814916</v>
      </c>
    </row>
    <row r="36" spans="1:34" ht="15">
      <c r="A36" s="71">
        <v>1985</v>
      </c>
      <c r="B36" s="71"/>
      <c r="D36" s="94">
        <v>13606</v>
      </c>
      <c r="E36" s="94">
        <v>686.76300000000003</v>
      </c>
      <c r="F36" s="65">
        <v>57.1</v>
      </c>
      <c r="G36" s="25">
        <v>6.9426000000000005</v>
      </c>
      <c r="H36" s="314"/>
      <c r="I36" s="332">
        <v>4.6680000000000001</v>
      </c>
      <c r="J36" s="90"/>
      <c r="K36" s="89">
        <f t="shared" si="4"/>
        <v>100</v>
      </c>
      <c r="L36" s="89">
        <f t="shared" si="0"/>
        <v>100</v>
      </c>
      <c r="M36" s="89">
        <f t="shared" si="1"/>
        <v>100</v>
      </c>
      <c r="N36" s="89">
        <f t="shared" si="2"/>
        <v>100</v>
      </c>
      <c r="O36" s="89">
        <f t="shared" si="3"/>
        <v>100</v>
      </c>
    </row>
    <row r="37" spans="1:34" ht="15">
      <c r="A37" s="71">
        <v>1986</v>
      </c>
      <c r="B37" s="71"/>
      <c r="D37" s="94">
        <v>14012</v>
      </c>
      <c r="E37" s="94">
        <v>659.81399999999996</v>
      </c>
      <c r="F37" s="65">
        <v>53.1</v>
      </c>
      <c r="G37" s="25">
        <v>7.2412999999999998</v>
      </c>
      <c r="H37" s="314"/>
      <c r="I37" s="332">
        <v>4.851</v>
      </c>
      <c r="J37" s="90"/>
      <c r="K37" s="89">
        <f t="shared" si="4"/>
        <v>102.98397765691607</v>
      </c>
      <c r="L37" s="89">
        <f t="shared" si="0"/>
        <v>96.075938861004445</v>
      </c>
      <c r="M37" s="89">
        <f t="shared" si="1"/>
        <v>92.994746059544667</v>
      </c>
      <c r="N37" s="89">
        <f t="shared" si="2"/>
        <v>104.30242272347535</v>
      </c>
      <c r="O37" s="89">
        <f t="shared" si="3"/>
        <v>103.92030848329048</v>
      </c>
    </row>
    <row r="38" spans="1:34" ht="15">
      <c r="A38" s="71">
        <v>1987</v>
      </c>
      <c r="B38" s="71"/>
      <c r="D38" s="94">
        <v>14881</v>
      </c>
      <c r="E38" s="94">
        <v>662.10599999999999</v>
      </c>
      <c r="F38" s="65">
        <v>54.1</v>
      </c>
      <c r="G38" s="25">
        <v>7.8103999999999996</v>
      </c>
      <c r="H38" s="314"/>
      <c r="I38" s="332">
        <v>5.3460000000000001</v>
      </c>
      <c r="J38" s="90"/>
      <c r="K38" s="89">
        <f t="shared" si="4"/>
        <v>109.37086579450241</v>
      </c>
      <c r="L38" s="89">
        <f t="shared" si="0"/>
        <v>96.409678448023556</v>
      </c>
      <c r="M38" s="89">
        <f t="shared" si="1"/>
        <v>94.746059544658493</v>
      </c>
      <c r="N38" s="89">
        <f t="shared" si="2"/>
        <v>112.49963990435859</v>
      </c>
      <c r="O38" s="89">
        <f t="shared" si="3"/>
        <v>114.52442159383034</v>
      </c>
    </row>
    <row r="39" spans="1:34" ht="15">
      <c r="A39" s="71">
        <v>1988</v>
      </c>
      <c r="B39" s="71"/>
      <c r="D39" s="94">
        <v>15946</v>
      </c>
      <c r="E39" s="94">
        <v>662.23099999999999</v>
      </c>
      <c r="F39" s="65">
        <v>54</v>
      </c>
      <c r="G39" s="25">
        <v>8.507200000000001</v>
      </c>
      <c r="H39" s="314"/>
      <c r="I39" s="332">
        <v>5.6550000000000002</v>
      </c>
      <c r="J39" s="90"/>
      <c r="K39" s="89">
        <f t="shared" si="4"/>
        <v>117.19829486991034</v>
      </c>
      <c r="L39" s="89">
        <f t="shared" si="0"/>
        <v>96.427879778031127</v>
      </c>
      <c r="M39" s="89">
        <f t="shared" si="1"/>
        <v>94.570928196147108</v>
      </c>
      <c r="N39" s="89">
        <f t="shared" si="2"/>
        <v>122.53622562152509</v>
      </c>
      <c r="O39" s="89">
        <f t="shared" si="3"/>
        <v>121.1439588688946</v>
      </c>
    </row>
    <row r="40" spans="1:34" ht="15">
      <c r="A40" s="71">
        <v>1989</v>
      </c>
      <c r="B40" s="71"/>
      <c r="D40" s="94">
        <v>17027</v>
      </c>
      <c r="E40" s="94">
        <v>628.10299999999995</v>
      </c>
      <c r="F40" s="97">
        <v>51.8</v>
      </c>
      <c r="G40" s="25">
        <v>9.2286000000000001</v>
      </c>
      <c r="H40" s="314"/>
      <c r="I40" s="332">
        <v>6.1760000000000002</v>
      </c>
      <c r="J40" s="90"/>
      <c r="K40" s="89">
        <f t="shared" si="4"/>
        <v>125.14331912391592</v>
      </c>
      <c r="L40" s="89">
        <f t="shared" si="0"/>
        <v>91.458479854039894</v>
      </c>
      <c r="M40" s="92">
        <f t="shared" si="1"/>
        <v>90.718038528896656</v>
      </c>
      <c r="N40" s="89">
        <f t="shared" si="2"/>
        <v>132.92714544983147</v>
      </c>
      <c r="O40" s="89">
        <f t="shared" si="3"/>
        <v>132.30505569837189</v>
      </c>
    </row>
    <row r="41" spans="1:34" ht="15">
      <c r="A41" s="71">
        <v>1990</v>
      </c>
      <c r="B41" s="71"/>
      <c r="D41" s="94">
        <v>17476</v>
      </c>
      <c r="E41" s="94">
        <v>599.50699999999995</v>
      </c>
      <c r="F41" s="98">
        <v>52.76</v>
      </c>
      <c r="G41" s="25">
        <v>9.8613999999999997</v>
      </c>
      <c r="H41" s="314"/>
      <c r="I41" s="332">
        <v>6.5430000000000001</v>
      </c>
      <c r="J41" s="90"/>
      <c r="K41" s="89">
        <f t="shared" si="4"/>
        <v>128.44333382331325</v>
      </c>
      <c r="L41" s="89">
        <f t="shared" si="0"/>
        <v>87.294597990864375</v>
      </c>
      <c r="M41" s="99">
        <f t="shared" si="1"/>
        <v>92.39929947460594</v>
      </c>
      <c r="N41" s="89">
        <f t="shared" si="2"/>
        <v>142.04188632500791</v>
      </c>
      <c r="O41" s="89">
        <f t="shared" si="3"/>
        <v>140.16709511568124</v>
      </c>
    </row>
    <row r="42" spans="1:34" ht="15">
      <c r="A42" s="71">
        <v>1991</v>
      </c>
      <c r="B42" s="71"/>
      <c r="D42" s="94">
        <v>17553</v>
      </c>
      <c r="E42" s="94">
        <v>584.846</v>
      </c>
      <c r="F42" s="65">
        <v>54.53</v>
      </c>
      <c r="G42" s="25">
        <v>9.5704999999999991</v>
      </c>
      <c r="H42" s="314"/>
      <c r="I42" s="332">
        <v>6.8</v>
      </c>
      <c r="J42" s="90"/>
      <c r="K42" s="89">
        <f t="shared" si="4"/>
        <v>129.00926062031456</v>
      </c>
      <c r="L42" s="89">
        <f t="shared" si="0"/>
        <v>85.1598003969346</v>
      </c>
      <c r="M42" s="89">
        <f t="shared" si="1"/>
        <v>95.499124343257449</v>
      </c>
      <c r="N42" s="89">
        <f t="shared" si="2"/>
        <v>137.85181344165008</v>
      </c>
      <c r="O42" s="89">
        <f t="shared" si="3"/>
        <v>145.67266495287058</v>
      </c>
    </row>
    <row r="43" spans="1:34" ht="15">
      <c r="A43" s="71">
        <v>1992</v>
      </c>
      <c r="B43" s="71"/>
      <c r="D43" s="96">
        <v>18068</v>
      </c>
      <c r="E43" s="94">
        <v>544.58500000000004</v>
      </c>
      <c r="F43" s="98">
        <v>59.31</v>
      </c>
      <c r="G43" s="25">
        <v>10.3828</v>
      </c>
      <c r="H43" s="314">
        <v>9.1589740000000006</v>
      </c>
      <c r="I43" s="332">
        <v>6.6269999999999998</v>
      </c>
      <c r="J43" s="90"/>
      <c r="K43" s="92">
        <f t="shared" si="4"/>
        <v>132.79435543142731</v>
      </c>
      <c r="L43" s="89">
        <f t="shared" ref="L43:L64" si="5">E43/E$36*100</f>
        <v>79.297370417451134</v>
      </c>
      <c r="M43" s="99">
        <f t="shared" ref="M43:M64" si="6">F43/F$36*100</f>
        <v>103.87040280210158</v>
      </c>
      <c r="N43" s="89">
        <f t="shared" ref="N43:N60" si="7">G43/G$36*100</f>
        <v>149.55204102209544</v>
      </c>
      <c r="O43" s="89">
        <f t="shared" si="3"/>
        <v>141.96658097686375</v>
      </c>
      <c r="P43" s="309"/>
    </row>
    <row r="44" spans="1:34" ht="15">
      <c r="A44" s="71">
        <v>1993</v>
      </c>
      <c r="B44" s="71"/>
      <c r="D44" s="94">
        <v>18211</v>
      </c>
      <c r="E44" s="94">
        <v>537.95899999999995</v>
      </c>
      <c r="F44" s="65">
        <v>59.13</v>
      </c>
      <c r="G44" s="25">
        <v>11.120799999999999</v>
      </c>
      <c r="H44" s="314">
        <v>9.5338220000000007</v>
      </c>
      <c r="I44" s="332">
        <v>6.6319999999999997</v>
      </c>
      <c r="J44" s="90"/>
      <c r="K44" s="89">
        <f t="shared" si="4"/>
        <v>133.84536234014405</v>
      </c>
      <c r="L44" s="89">
        <f t="shared" si="5"/>
        <v>78.332554316409002</v>
      </c>
      <c r="M44" s="89">
        <f t="shared" si="6"/>
        <v>103.55516637478108</v>
      </c>
      <c r="N44" s="89">
        <f t="shared" si="7"/>
        <v>160.18206435629301</v>
      </c>
      <c r="O44" s="89">
        <f t="shared" si="3"/>
        <v>142.07369323050557</v>
      </c>
      <c r="P44" s="309"/>
      <c r="S44" s="307"/>
      <c r="T44" s="307"/>
      <c r="U44" s="307"/>
      <c r="V44" s="307"/>
      <c r="W44" s="30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</row>
    <row r="45" spans="1:34" ht="15">
      <c r="A45" s="71">
        <v>1994</v>
      </c>
      <c r="B45" s="71"/>
      <c r="D45" s="94">
        <v>18683</v>
      </c>
      <c r="E45" s="94">
        <v>525.75800000000004</v>
      </c>
      <c r="F45" s="97">
        <v>54.38</v>
      </c>
      <c r="G45" s="25">
        <v>11.787000000000001</v>
      </c>
      <c r="H45" s="314">
        <v>9.6359860000000008</v>
      </c>
      <c r="I45" s="333">
        <v>6.649</v>
      </c>
      <c r="J45" s="90"/>
      <c r="K45" s="89">
        <f t="shared" si="4"/>
        <v>137.31442010877555</v>
      </c>
      <c r="L45" s="89">
        <f t="shared" si="5"/>
        <v>76.555958897028532</v>
      </c>
      <c r="M45" s="92">
        <f t="shared" si="6"/>
        <v>95.236427320490364</v>
      </c>
      <c r="N45" s="89">
        <f t="shared" si="7"/>
        <v>169.77789300838302</v>
      </c>
      <c r="O45" s="92">
        <f t="shared" si="3"/>
        <v>142.43787489288775</v>
      </c>
      <c r="P45" s="309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6"/>
    </row>
    <row r="46" spans="1:34" ht="15">
      <c r="A46" s="71">
        <v>1995</v>
      </c>
      <c r="B46" s="71"/>
      <c r="D46" s="100">
        <v>19226</v>
      </c>
      <c r="E46" s="94">
        <v>506</v>
      </c>
      <c r="F46" s="65">
        <v>48.944000000000003</v>
      </c>
      <c r="G46" s="25">
        <v>12.313000000000001</v>
      </c>
      <c r="H46" s="314">
        <v>10.4930865</v>
      </c>
      <c r="I46" s="334">
        <v>6.8553000000000006</v>
      </c>
      <c r="J46" s="90"/>
      <c r="K46" s="99">
        <f t="shared" si="4"/>
        <v>141.30530648243422</v>
      </c>
      <c r="L46" s="89">
        <f t="shared" si="5"/>
        <v>73.678983870709388</v>
      </c>
      <c r="M46" s="89">
        <f t="shared" si="6"/>
        <v>85.716287215411555</v>
      </c>
      <c r="N46" s="89">
        <f t="shared" si="7"/>
        <v>177.35430530348859</v>
      </c>
      <c r="O46" s="101">
        <f t="shared" si="3"/>
        <v>146.8573264781491</v>
      </c>
      <c r="P46" s="309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6"/>
    </row>
    <row r="47" spans="1:34" s="6" customFormat="1" ht="15">
      <c r="A47" s="72">
        <v>1996</v>
      </c>
      <c r="B47" s="72"/>
      <c r="C47" s="102"/>
      <c r="D47" s="100">
        <v>19888</v>
      </c>
      <c r="E47" s="100">
        <v>478</v>
      </c>
      <c r="F47" s="65">
        <v>49.752000000000002</v>
      </c>
      <c r="G47" s="26">
        <v>13.214</v>
      </c>
      <c r="H47" s="314">
        <v>9.3271844999999995</v>
      </c>
      <c r="I47" s="332">
        <v>5.5889000000000006</v>
      </c>
      <c r="J47" s="103"/>
      <c r="K47" s="89">
        <f t="shared" si="4"/>
        <v>146.17080699691311</v>
      </c>
      <c r="L47" s="89">
        <f t="shared" si="5"/>
        <v>69.601885949010068</v>
      </c>
      <c r="M47" s="89">
        <f t="shared" si="6"/>
        <v>87.13134851138355</v>
      </c>
      <c r="N47" s="89">
        <f t="shared" si="7"/>
        <v>190.33215221962951</v>
      </c>
      <c r="O47" s="89">
        <f t="shared" si="3"/>
        <v>119.7279348757498</v>
      </c>
      <c r="P47" s="309"/>
      <c r="Q47" s="8"/>
      <c r="R47" s="8"/>
      <c r="S47" s="308"/>
      <c r="T47" s="308"/>
      <c r="U47" s="308"/>
      <c r="V47" s="308"/>
      <c r="W47" s="308"/>
      <c r="X47" s="308"/>
      <c r="Y47" s="308"/>
      <c r="Z47" s="308"/>
      <c r="AA47" s="308"/>
      <c r="AB47" s="308"/>
      <c r="AC47" s="308"/>
      <c r="AD47" s="308"/>
      <c r="AE47" s="308"/>
      <c r="AF47" s="308"/>
      <c r="AG47" s="308"/>
    </row>
    <row r="48" spans="1:34" s="6" customFormat="1" ht="15">
      <c r="A48" s="72">
        <v>1997</v>
      </c>
      <c r="B48" s="72"/>
      <c r="C48" s="104"/>
      <c r="D48" s="100">
        <v>20266</v>
      </c>
      <c r="E48" s="100">
        <v>448</v>
      </c>
      <c r="F48" s="65">
        <v>53.057000000000002</v>
      </c>
      <c r="G48" s="26">
        <v>14.391</v>
      </c>
      <c r="H48" s="314">
        <v>9.9245145000000008</v>
      </c>
      <c r="I48" s="332">
        <v>5.6341000000000001</v>
      </c>
      <c r="J48" s="103"/>
      <c r="K48" s="89">
        <f t="shared" si="4"/>
        <v>148.94899309128326</v>
      </c>
      <c r="L48" s="89">
        <f t="shared" si="5"/>
        <v>65.233566747189343</v>
      </c>
      <c r="M48" s="89">
        <f t="shared" si="6"/>
        <v>92.919439579684777</v>
      </c>
      <c r="N48" s="89">
        <f t="shared" si="7"/>
        <v>207.28545501685244</v>
      </c>
      <c r="O48" s="89">
        <f t="shared" si="3"/>
        <v>120.69622964867182</v>
      </c>
      <c r="P48" s="309"/>
      <c r="Q48" s="8"/>
      <c r="R48" s="8"/>
      <c r="S48" s="308"/>
      <c r="T48" s="308"/>
      <c r="U48" s="308"/>
      <c r="V48" s="308"/>
      <c r="W48" s="308"/>
      <c r="X48" s="308"/>
      <c r="Y48" s="308"/>
      <c r="Z48" s="308"/>
      <c r="AA48" s="308"/>
      <c r="AB48" s="308"/>
      <c r="AC48" s="308"/>
      <c r="AD48" s="308"/>
      <c r="AE48" s="308"/>
      <c r="AF48" s="308"/>
      <c r="AG48" s="308"/>
    </row>
    <row r="49" spans="1:33" s="6" customFormat="1" ht="15">
      <c r="A49" s="72">
        <v>1998</v>
      </c>
      <c r="B49" s="72"/>
      <c r="C49" s="104"/>
      <c r="D49" s="100">
        <v>20456</v>
      </c>
      <c r="E49" s="96">
        <v>424</v>
      </c>
      <c r="F49" s="65">
        <v>55.054000000000002</v>
      </c>
      <c r="G49" s="26">
        <v>15.193</v>
      </c>
      <c r="H49" s="314">
        <v>9.6408050000000003</v>
      </c>
      <c r="I49" s="332">
        <v>5.3306000000000004</v>
      </c>
      <c r="J49" s="103"/>
      <c r="K49" s="99">
        <f t="shared" si="4"/>
        <v>150.34543583713068</v>
      </c>
      <c r="L49" s="92">
        <f t="shared" si="5"/>
        <v>61.738911385732777</v>
      </c>
      <c r="M49" s="89">
        <f t="shared" si="6"/>
        <v>96.416812609457097</v>
      </c>
      <c r="N49" s="99">
        <f t="shared" si="7"/>
        <v>218.83732319304005</v>
      </c>
      <c r="O49" s="99">
        <f t="shared" si="3"/>
        <v>114.19451585261355</v>
      </c>
      <c r="P49" s="309"/>
      <c r="Q49" s="8"/>
      <c r="R49" s="8"/>
      <c r="S49" s="308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</row>
    <row r="50" spans="1:33" s="6" customFormat="1" ht="15">
      <c r="A50" s="72">
        <v>1999</v>
      </c>
      <c r="B50" s="72"/>
      <c r="D50" s="100">
        <v>20700</v>
      </c>
      <c r="E50" s="100">
        <v>455</v>
      </c>
      <c r="F50" s="65">
        <v>57.613999999999997</v>
      </c>
      <c r="G50" s="105">
        <v>15.941000000000001</v>
      </c>
      <c r="H50" s="314">
        <v>9.9601620000000004</v>
      </c>
      <c r="I50" s="335">
        <v>5.327</v>
      </c>
      <c r="K50" s="99">
        <f t="shared" si="4"/>
        <v>152.13876231074525</v>
      </c>
      <c r="L50" s="89">
        <f t="shared" si="5"/>
        <v>66.252841227614184</v>
      </c>
      <c r="M50" s="89">
        <f t="shared" si="6"/>
        <v>100.9001751313485</v>
      </c>
      <c r="N50" s="99">
        <f t="shared" si="7"/>
        <v>229.61138478379857</v>
      </c>
      <c r="O50" s="99">
        <f t="shared" si="3"/>
        <v>114.11739502999143</v>
      </c>
      <c r="P50" s="310"/>
      <c r="Q50" s="8"/>
      <c r="R50" s="8"/>
      <c r="S50" s="308"/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</row>
    <row r="51" spans="1:33" s="6" customFormat="1" ht="15">
      <c r="A51" s="72">
        <v>2000</v>
      </c>
      <c r="B51" s="72"/>
      <c r="D51" s="100">
        <v>20566.003000000001</v>
      </c>
      <c r="E51" s="100">
        <v>458</v>
      </c>
      <c r="F51" s="289">
        <v>57.268999999999998</v>
      </c>
      <c r="G51" s="105">
        <v>16.786999999999999</v>
      </c>
      <c r="H51" s="314">
        <v>9.798566000000001</v>
      </c>
      <c r="I51" s="335">
        <v>5.2936999999999994</v>
      </c>
      <c r="K51" s="99">
        <f t="shared" si="4"/>
        <v>151.15392473908571</v>
      </c>
      <c r="L51" s="89">
        <f t="shared" si="5"/>
        <v>66.689673147796256</v>
      </c>
      <c r="M51" s="89">
        <f t="shared" si="6"/>
        <v>100.29597197898423</v>
      </c>
      <c r="N51" s="99">
        <f t="shared" si="7"/>
        <v>241.79702128885427</v>
      </c>
      <c r="O51" s="99">
        <f t="shared" si="3"/>
        <v>113.40402742073692</v>
      </c>
      <c r="P51" s="310"/>
      <c r="Q51" s="8"/>
      <c r="R51" s="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</row>
    <row r="52" spans="1:33" s="6" customFormat="1" ht="15">
      <c r="A52" s="72">
        <v>2001</v>
      </c>
      <c r="B52" s="72"/>
      <c r="D52" s="100">
        <v>20977</v>
      </c>
      <c r="E52" s="100">
        <v>466</v>
      </c>
      <c r="F52" s="97">
        <v>53.018267000000009</v>
      </c>
      <c r="G52" s="107">
        <v>18.081</v>
      </c>
      <c r="H52" s="314">
        <v>9.7894550000000002</v>
      </c>
      <c r="I52" s="336">
        <v>5.3037999999999998</v>
      </c>
      <c r="J52" s="100"/>
      <c r="K52" s="99">
        <f t="shared" si="4"/>
        <v>154.17462884021757</v>
      </c>
      <c r="L52" s="89">
        <f t="shared" si="5"/>
        <v>67.854558268281778</v>
      </c>
      <c r="M52" s="99">
        <f t="shared" si="6"/>
        <v>92.851605954465867</v>
      </c>
      <c r="N52" s="99">
        <f t="shared" si="7"/>
        <v>260.43557168784031</v>
      </c>
      <c r="O52" s="99">
        <f t="shared" si="3"/>
        <v>113.6203941730934</v>
      </c>
      <c r="P52" s="309"/>
      <c r="Q52" s="8"/>
      <c r="R52" s="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08"/>
    </row>
    <row r="53" spans="1:33" s="6" customFormat="1" ht="15">
      <c r="A53" s="72">
        <v>2002</v>
      </c>
      <c r="B53" s="72"/>
      <c r="D53" s="100">
        <v>21760.136999999999</v>
      </c>
      <c r="E53" s="100">
        <v>471</v>
      </c>
      <c r="F53" s="97">
        <v>52.37623</v>
      </c>
      <c r="G53" s="107">
        <v>19.783000000000001</v>
      </c>
      <c r="H53" s="314">
        <v>9.9714330000000011</v>
      </c>
      <c r="I53" s="336">
        <v>5.3302269999999998</v>
      </c>
      <c r="J53" s="100"/>
      <c r="K53" s="99">
        <f t="shared" si="4"/>
        <v>159.93044980155813</v>
      </c>
      <c r="L53" s="99">
        <f t="shared" si="5"/>
        <v>68.582611468585227</v>
      </c>
      <c r="M53" s="99">
        <f t="shared" si="6"/>
        <v>91.727197898423825</v>
      </c>
      <c r="N53" s="99">
        <f t="shared" si="7"/>
        <v>284.95088295451268</v>
      </c>
      <c r="O53" s="99">
        <f t="shared" si="3"/>
        <v>114.18652527849184</v>
      </c>
      <c r="P53" s="309"/>
      <c r="Q53" s="8"/>
      <c r="R53" s="8"/>
      <c r="S53" s="308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</row>
    <row r="54" spans="1:33" s="6" customFormat="1" ht="15">
      <c r="A54" s="72">
        <v>2003</v>
      </c>
      <c r="B54" s="72"/>
      <c r="D54" s="100">
        <v>21921.514999999999</v>
      </c>
      <c r="E54" s="96">
        <v>478</v>
      </c>
      <c r="F54" s="65">
        <v>55.892938999999998</v>
      </c>
      <c r="G54" s="107">
        <v>21.084</v>
      </c>
      <c r="H54" s="314">
        <v>10.671361999999998</v>
      </c>
      <c r="I54" s="336">
        <v>5.7135680000000004</v>
      </c>
      <c r="J54" s="100"/>
      <c r="K54" s="99">
        <f t="shared" si="4"/>
        <v>161.11652947229163</v>
      </c>
      <c r="L54" s="92">
        <f t="shared" si="5"/>
        <v>69.601885949010068</v>
      </c>
      <c r="M54" s="99">
        <f t="shared" si="6"/>
        <v>97.886057793345003</v>
      </c>
      <c r="N54" s="99">
        <f t="shared" si="7"/>
        <v>303.69026013309133</v>
      </c>
      <c r="O54" s="99">
        <f t="shared" si="3"/>
        <v>122.39862896315339</v>
      </c>
      <c r="P54" s="309"/>
      <c r="Q54" s="8"/>
      <c r="R54" s="8"/>
      <c r="S54" s="308"/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</row>
    <row r="55" spans="1:33" s="6" customFormat="1" ht="15">
      <c r="A55" s="72">
        <v>2004</v>
      </c>
      <c r="B55" s="72"/>
      <c r="D55" s="100">
        <v>22307.81</v>
      </c>
      <c r="E55" s="100">
        <v>460</v>
      </c>
      <c r="F55" s="65">
        <v>61.256430999999999</v>
      </c>
      <c r="G55" s="107">
        <v>22.554746000000002</v>
      </c>
      <c r="H55" s="314">
        <v>10.837052000000003</v>
      </c>
      <c r="I55" s="336">
        <v>5.9214670000000007</v>
      </c>
      <c r="J55" s="100"/>
      <c r="K55" s="99">
        <f t="shared" si="4"/>
        <v>163.95568131706602</v>
      </c>
      <c r="L55" s="99">
        <f t="shared" si="5"/>
        <v>66.980894427917633</v>
      </c>
      <c r="M55" s="99">
        <f t="shared" si="6"/>
        <v>107.27921366024518</v>
      </c>
      <c r="N55" s="99">
        <f t="shared" si="7"/>
        <v>324.87462910148935</v>
      </c>
      <c r="O55" s="99">
        <f t="shared" si="3"/>
        <v>126.8523350471294</v>
      </c>
      <c r="P55" s="309"/>
      <c r="Q55" s="8"/>
      <c r="R55" s="8"/>
      <c r="S55" s="308"/>
      <c r="T55" s="308"/>
      <c r="U55" s="308"/>
      <c r="V55" s="308"/>
      <c r="W55" s="308"/>
      <c r="X55" s="308"/>
      <c r="Y55" s="308"/>
      <c r="Z55" s="308"/>
      <c r="AA55" s="308"/>
      <c r="AB55" s="308"/>
      <c r="AC55" s="308"/>
      <c r="AD55" s="308"/>
      <c r="AE55" s="308"/>
      <c r="AF55" s="308"/>
      <c r="AG55" s="308"/>
    </row>
    <row r="56" spans="1:33" s="6" customFormat="1" ht="15">
      <c r="A56" s="72">
        <v>2005</v>
      </c>
      <c r="B56" s="72"/>
      <c r="D56" s="100">
        <v>22060</v>
      </c>
      <c r="E56" s="100">
        <v>466</v>
      </c>
      <c r="F56" s="65">
        <v>66.735898999999989</v>
      </c>
      <c r="G56" s="108">
        <v>23.795000000000002</v>
      </c>
      <c r="H56" s="314">
        <v>10.572758999999998</v>
      </c>
      <c r="I56" s="336">
        <v>5.9711470000000002</v>
      </c>
      <c r="J56" s="100"/>
      <c r="K56" s="99">
        <f>D56/D$36*100</f>
        <v>162.13435249154784</v>
      </c>
      <c r="L56" s="99">
        <f>E56/E$36*100</f>
        <v>67.854558268281778</v>
      </c>
      <c r="M56" s="99">
        <f t="shared" si="6"/>
        <v>116.87547985989491</v>
      </c>
      <c r="N56" s="99">
        <f t="shared" si="7"/>
        <v>342.73903148676288</v>
      </c>
      <c r="O56" s="99">
        <f t="shared" si="3"/>
        <v>127.91660239931448</v>
      </c>
      <c r="P56" s="309"/>
      <c r="Q56" s="8"/>
      <c r="R56" s="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308"/>
      <c r="AD56" s="308"/>
      <c r="AE56" s="308"/>
      <c r="AF56" s="308"/>
      <c r="AG56" s="308"/>
    </row>
    <row r="57" spans="1:33" s="6" customFormat="1" ht="15">
      <c r="A57" s="72">
        <v>2006</v>
      </c>
      <c r="B57" s="72"/>
      <c r="D57" s="100">
        <v>22610</v>
      </c>
      <c r="E57" s="100">
        <v>476</v>
      </c>
      <c r="F57" s="65">
        <v>69.785303999999996</v>
      </c>
      <c r="G57" s="108">
        <v>24.44</v>
      </c>
      <c r="H57" s="314">
        <v>10.588667000000001</v>
      </c>
      <c r="I57" s="336">
        <v>5.396636</v>
      </c>
      <c r="J57" s="100"/>
      <c r="K57" s="99">
        <f t="shared" si="4"/>
        <v>166.17668675584301</v>
      </c>
      <c r="L57" s="99">
        <f t="shared" si="5"/>
        <v>69.310664668888677</v>
      </c>
      <c r="M57" s="99">
        <f t="shared" si="6"/>
        <v>122.21594395796846</v>
      </c>
      <c r="N57" s="99">
        <f t="shared" si="7"/>
        <v>352.02949903494368</v>
      </c>
      <c r="O57" s="99">
        <f t="shared" si="3"/>
        <v>115.60916880891175</v>
      </c>
      <c r="P57" s="309"/>
      <c r="Q57" s="8"/>
      <c r="R57" s="8"/>
      <c r="S57" s="308"/>
      <c r="T57" s="308"/>
      <c r="U57" s="308"/>
      <c r="V57" s="308"/>
      <c r="W57" s="308"/>
      <c r="X57" s="308"/>
      <c r="Y57" s="308"/>
      <c r="Z57" s="308"/>
      <c r="AA57" s="308"/>
      <c r="AB57" s="308"/>
      <c r="AC57" s="308"/>
      <c r="AD57" s="308"/>
      <c r="AE57" s="308"/>
      <c r="AF57" s="308"/>
      <c r="AG57" s="308"/>
    </row>
    <row r="58" spans="1:33" s="6" customFormat="1" ht="15">
      <c r="A58" s="72">
        <v>2007</v>
      </c>
      <c r="B58" s="72"/>
      <c r="D58" s="100">
        <v>22392</v>
      </c>
      <c r="E58" s="100">
        <v>488</v>
      </c>
      <c r="F58" s="97">
        <v>72.744290000000007</v>
      </c>
      <c r="G58" s="108">
        <v>25.13</v>
      </c>
      <c r="H58" s="314">
        <v>10.720838000000001</v>
      </c>
      <c r="I58" s="336">
        <v>5.4045519999999998</v>
      </c>
      <c r="J58" s="100"/>
      <c r="K58" s="99">
        <f t="shared" si="4"/>
        <v>164.57445244744966</v>
      </c>
      <c r="L58" s="99">
        <f t="shared" si="5"/>
        <v>71.057992349616967</v>
      </c>
      <c r="M58" s="92">
        <f t="shared" si="6"/>
        <v>127.39805604203154</v>
      </c>
      <c r="N58" s="99">
        <f t="shared" si="7"/>
        <v>361.9681387376487</v>
      </c>
      <c r="O58" s="99">
        <f t="shared" si="3"/>
        <v>115.77874892887745</v>
      </c>
      <c r="P58" s="309"/>
      <c r="Q58" s="8"/>
      <c r="R58" s="8"/>
      <c r="S58" s="308"/>
      <c r="T58" s="308"/>
      <c r="U58" s="308"/>
      <c r="V58" s="308"/>
      <c r="W58" s="308"/>
      <c r="X58" s="308"/>
      <c r="Y58" s="308"/>
      <c r="Z58" s="308"/>
      <c r="AA58" s="308"/>
      <c r="AB58" s="308"/>
      <c r="AC58" s="308"/>
      <c r="AD58" s="308"/>
      <c r="AE58" s="308"/>
      <c r="AF58" s="308"/>
      <c r="AG58" s="308"/>
    </row>
    <row r="59" spans="1:33" s="6" customFormat="1" ht="15">
      <c r="A59" s="72">
        <v>2008</v>
      </c>
      <c r="B59" s="72"/>
      <c r="D59" s="100">
        <v>22221</v>
      </c>
      <c r="E59" s="100">
        <v>484</v>
      </c>
      <c r="F59" s="65">
        <v>76.256077703670073</v>
      </c>
      <c r="G59" s="108">
        <v>24.347999999999999</v>
      </c>
      <c r="H59" s="314">
        <v>10.013630000000001</v>
      </c>
      <c r="I59" s="336">
        <v>5.148219000000001</v>
      </c>
      <c r="J59" s="100"/>
      <c r="K59" s="99">
        <f t="shared" si="4"/>
        <v>163.31765397618699</v>
      </c>
      <c r="L59" s="99">
        <f t="shared" si="5"/>
        <v>70.475549789374199</v>
      </c>
      <c r="M59" s="99">
        <f t="shared" si="6"/>
        <v>133.54829720432585</v>
      </c>
      <c r="N59" s="99">
        <f t="shared" si="7"/>
        <v>350.70434707458298</v>
      </c>
      <c r="O59" s="99">
        <f t="shared" si="3"/>
        <v>110.28746786632394</v>
      </c>
      <c r="P59" s="456"/>
      <c r="Q59" s="8"/>
      <c r="R59" s="8"/>
      <c r="S59" s="308"/>
      <c r="T59" s="308"/>
      <c r="U59" s="308"/>
      <c r="V59" s="308"/>
      <c r="W59" s="308"/>
      <c r="X59" s="308"/>
      <c r="Y59" s="308"/>
      <c r="Z59" s="308"/>
      <c r="AA59" s="308"/>
      <c r="AB59" s="308"/>
      <c r="AC59" s="308"/>
      <c r="AD59" s="308"/>
      <c r="AE59" s="308"/>
      <c r="AF59" s="308"/>
      <c r="AG59" s="308"/>
    </row>
    <row r="60" spans="1:33" s="6" customFormat="1" ht="15">
      <c r="A60" s="72">
        <v>2009</v>
      </c>
      <c r="B60" s="72"/>
      <c r="D60" s="100">
        <v>22496</v>
      </c>
      <c r="E60" s="100">
        <v>459</v>
      </c>
      <c r="F60" s="65">
        <v>76.473890324940314</v>
      </c>
      <c r="G60" s="108">
        <v>22.495999999999999</v>
      </c>
      <c r="H60" s="314">
        <v>10.218646</v>
      </c>
      <c r="I60" s="336">
        <v>5.4013329999999993</v>
      </c>
      <c r="J60" s="100"/>
      <c r="K60" s="99">
        <f t="shared" si="4"/>
        <v>165.33882110833454</v>
      </c>
      <c r="L60" s="99">
        <f t="shared" si="5"/>
        <v>66.835283787856952</v>
      </c>
      <c r="M60" s="99">
        <f t="shared" si="6"/>
        <v>133.92975538518442</v>
      </c>
      <c r="N60" s="99">
        <f t="shared" si="7"/>
        <v>324.02846195949644</v>
      </c>
      <c r="O60" s="99">
        <f t="shared" si="3"/>
        <v>115.70979005998285</v>
      </c>
      <c r="P60" s="309"/>
      <c r="Q60" s="8"/>
      <c r="R60" s="8"/>
      <c r="S60" s="308"/>
      <c r="T60" s="308"/>
      <c r="U60" s="308"/>
      <c r="V60" s="308"/>
      <c r="W60" s="308"/>
      <c r="X60" s="308"/>
      <c r="Y60" s="308"/>
      <c r="Z60" s="308"/>
      <c r="AA60" s="308"/>
      <c r="AB60" s="308"/>
      <c r="AC60" s="308"/>
      <c r="AD60" s="308"/>
      <c r="AE60" s="308"/>
      <c r="AF60" s="308"/>
      <c r="AG60" s="308"/>
    </row>
    <row r="61" spans="1:33" s="6" customFormat="1" ht="15">
      <c r="A61" s="72">
        <v>2010</v>
      </c>
      <c r="B61" s="72"/>
      <c r="D61" s="100">
        <v>21998</v>
      </c>
      <c r="E61" s="100">
        <v>432</v>
      </c>
      <c r="F61" s="65">
        <v>79.4462863670296</v>
      </c>
      <c r="G61" s="108">
        <v>20.907</v>
      </c>
      <c r="H61" s="314">
        <v>9.9904419999999998</v>
      </c>
      <c r="I61" s="336">
        <v>5.3725519999999998</v>
      </c>
      <c r="J61" s="100"/>
      <c r="K61" s="99">
        <f t="shared" si="4"/>
        <v>161.67867117448185</v>
      </c>
      <c r="L61" s="99">
        <f t="shared" si="5"/>
        <v>62.903796506218299</v>
      </c>
      <c r="M61" s="99">
        <f t="shared" si="6"/>
        <v>139.1353526567944</v>
      </c>
      <c r="N61" s="99">
        <f>G61/G$36*100</f>
        <v>301.14078299196262</v>
      </c>
      <c r="O61" s="99">
        <f t="shared" si="3"/>
        <v>115.09323050556984</v>
      </c>
      <c r="P61" s="309"/>
      <c r="Q61" s="8"/>
      <c r="R61" s="8"/>
      <c r="S61" s="308"/>
      <c r="T61" s="308"/>
      <c r="U61" s="308"/>
      <c r="V61" s="308"/>
      <c r="W61" s="308"/>
      <c r="X61" s="308"/>
      <c r="Y61" s="308"/>
      <c r="Z61" s="308"/>
      <c r="AA61" s="308"/>
      <c r="AB61" s="308"/>
      <c r="AC61" s="308"/>
      <c r="AD61" s="308"/>
      <c r="AE61" s="308"/>
      <c r="AF61" s="308"/>
      <c r="AG61" s="308"/>
    </row>
    <row r="62" spans="1:33" s="6" customFormat="1" ht="15">
      <c r="A62" s="72">
        <v>2011</v>
      </c>
      <c r="B62" s="72"/>
      <c r="D62" s="100">
        <v>21986</v>
      </c>
      <c r="E62" s="100">
        <v>437.125206348809</v>
      </c>
      <c r="F62" s="65">
        <v>83.310800000000015</v>
      </c>
      <c r="G62" s="108">
        <v>22.065000000000001</v>
      </c>
      <c r="H62" s="314">
        <v>9.6309830000000005</v>
      </c>
      <c r="I62" s="336">
        <v>5.2171419999999999</v>
      </c>
      <c r="J62" s="100"/>
      <c r="K62" s="99">
        <f>D62/D$36*100</f>
        <v>161.59047479053359</v>
      </c>
      <c r="L62" s="99">
        <f t="shared" si="5"/>
        <v>63.650081083111488</v>
      </c>
      <c r="M62" s="99">
        <f t="shared" si="6"/>
        <v>145.90332749562174</v>
      </c>
      <c r="N62" s="99">
        <f>G62/G$36*100</f>
        <v>317.82041310171979</v>
      </c>
      <c r="O62" s="99">
        <f>I62/I$36*100</f>
        <v>111.7639674378749</v>
      </c>
      <c r="P62" s="309"/>
      <c r="Q62" s="8"/>
      <c r="R62" s="8"/>
      <c r="S62" s="347"/>
      <c r="T62" s="347"/>
      <c r="U62" s="347"/>
      <c r="V62" s="308"/>
      <c r="W62" s="308"/>
      <c r="X62" s="308"/>
      <c r="Y62" s="308"/>
      <c r="Z62" s="308"/>
      <c r="AA62" s="308"/>
      <c r="AB62" s="308"/>
      <c r="AC62" s="308"/>
      <c r="AD62" s="308"/>
      <c r="AE62" s="308"/>
      <c r="AF62" s="308"/>
      <c r="AG62" s="308"/>
    </row>
    <row r="63" spans="1:33" s="6" customFormat="1" ht="15">
      <c r="A63" s="72">
        <v>2012</v>
      </c>
      <c r="B63" s="72"/>
      <c r="D63" s="100">
        <v>22170</v>
      </c>
      <c r="E63" s="100">
        <v>422.52328929369799</v>
      </c>
      <c r="F63" s="65">
        <v>85.752108000000007</v>
      </c>
      <c r="G63" s="108">
        <v>22.207000000000001</v>
      </c>
      <c r="H63" s="693">
        <v>9.6975620000000013</v>
      </c>
      <c r="I63" s="336">
        <v>5.1467330000000002</v>
      </c>
      <c r="J63" s="100"/>
      <c r="K63" s="99">
        <f>D63/D$36*100</f>
        <v>162.9428193444069</v>
      </c>
      <c r="L63" s="99">
        <f t="shared" si="5"/>
        <v>61.52388659460366</v>
      </c>
      <c r="M63" s="99">
        <f t="shared" si="6"/>
        <v>150.178823117338</v>
      </c>
      <c r="N63" s="99">
        <f>G63/G$36*100</f>
        <v>319.8657563448852</v>
      </c>
      <c r="O63" s="99">
        <f>I63/I$36*100</f>
        <v>110.25563410454156</v>
      </c>
      <c r="P63" s="309"/>
      <c r="Q63" s="8"/>
      <c r="R63" s="8"/>
      <c r="S63" s="308"/>
      <c r="T63" s="308"/>
      <c r="U63" s="308"/>
      <c r="V63" s="308"/>
      <c r="W63" s="308"/>
      <c r="X63" s="308"/>
      <c r="Y63" s="308"/>
      <c r="Z63" s="308"/>
      <c r="AA63" s="308"/>
      <c r="AB63" s="308"/>
      <c r="AC63" s="308"/>
      <c r="AD63" s="308"/>
      <c r="AE63" s="308"/>
      <c r="AF63" s="308"/>
      <c r="AG63" s="308"/>
    </row>
    <row r="64" spans="1:33" s="6" customFormat="1" ht="15">
      <c r="A64" s="72">
        <v>2013</v>
      </c>
      <c r="B64" s="72"/>
      <c r="D64" s="100">
        <v>22217</v>
      </c>
      <c r="E64" s="100">
        <v>424.19715104849598</v>
      </c>
      <c r="F64" s="106">
        <v>86.7</v>
      </c>
      <c r="G64" s="108">
        <v>23.25</v>
      </c>
      <c r="H64" s="314">
        <v>10.2216</v>
      </c>
      <c r="I64" s="349"/>
      <c r="J64" s="100"/>
      <c r="K64" s="99">
        <f>D64/D$36*100</f>
        <v>163.28825518153755</v>
      </c>
      <c r="L64" s="99">
        <f t="shared" si="5"/>
        <v>61.767618676092916</v>
      </c>
      <c r="M64" s="99">
        <f t="shared" si="6"/>
        <v>151.83887915936953</v>
      </c>
      <c r="N64" s="99">
        <f>G64/G$36*100</f>
        <v>334.88894650419149</v>
      </c>
      <c r="O64" s="99"/>
      <c r="P64" s="309"/>
      <c r="Q64" s="8"/>
      <c r="R64" s="8"/>
      <c r="S64" s="308"/>
      <c r="T64" s="308"/>
      <c r="U64" s="308"/>
      <c r="V64" s="308"/>
      <c r="W64" s="308"/>
      <c r="X64" s="308"/>
      <c r="Y64" s="308"/>
      <c r="Z64" s="308"/>
      <c r="AA64" s="308"/>
      <c r="AB64" s="308"/>
      <c r="AC64" s="308"/>
      <c r="AD64" s="308"/>
      <c r="AE64" s="308"/>
      <c r="AF64" s="308"/>
      <c r="AG64" s="308"/>
    </row>
    <row r="65" spans="1:33" s="6" customFormat="1" ht="14.25" customHeight="1" thickBot="1">
      <c r="A65" s="277">
        <v>2014</v>
      </c>
      <c r="B65" s="277"/>
      <c r="C65" s="109"/>
      <c r="D65" s="284">
        <v>22411</v>
      </c>
      <c r="E65" s="100">
        <v>413.93054260802</v>
      </c>
      <c r="F65" s="100" t="s">
        <v>7</v>
      </c>
      <c r="G65" s="108">
        <v>24.076000000000001</v>
      </c>
      <c r="H65" s="314">
        <v>10.244899999999999</v>
      </c>
      <c r="I65" s="349"/>
      <c r="J65" s="100"/>
      <c r="K65" s="99">
        <f>D65/D$36*100</f>
        <v>164.71409672203438</v>
      </c>
      <c r="L65" s="99">
        <f t="shared" ref="L65" si="8">E65/E$36*100</f>
        <v>60.272691249822721</v>
      </c>
      <c r="M65" s="99" t="s">
        <v>7</v>
      </c>
      <c r="N65" s="99">
        <f>G65/G$36*100</f>
        <v>346.78650649612536</v>
      </c>
      <c r="O65" s="99"/>
      <c r="P65" s="309"/>
      <c r="Q65" s="8"/>
      <c r="R65" s="8"/>
      <c r="S65" s="308"/>
      <c r="T65" s="308"/>
      <c r="U65" s="308"/>
      <c r="V65" s="308"/>
      <c r="W65" s="308"/>
      <c r="X65" s="308"/>
      <c r="Y65" s="308"/>
      <c r="Z65" s="308"/>
      <c r="AA65" s="308"/>
      <c r="AB65" s="308"/>
      <c r="AC65" s="308"/>
      <c r="AD65" s="308"/>
      <c r="AE65" s="308"/>
      <c r="AF65" s="308"/>
      <c r="AG65" s="308"/>
    </row>
    <row r="66" spans="1:33">
      <c r="A66" s="110"/>
      <c r="B66" s="6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Q66" s="307"/>
      <c r="R66" s="307"/>
      <c r="S66" s="307"/>
      <c r="T66" s="307"/>
      <c r="U66" s="307"/>
      <c r="V66" s="307"/>
      <c r="W66" s="307"/>
      <c r="X66" s="307"/>
      <c r="Y66" s="307"/>
      <c r="Z66" s="307"/>
      <c r="AA66" s="307"/>
      <c r="AB66" s="307"/>
      <c r="AC66" s="307"/>
      <c r="AD66" s="307"/>
      <c r="AE66" s="307"/>
      <c r="AF66" s="307"/>
      <c r="AG66" s="307"/>
    </row>
    <row r="67" spans="1:33">
      <c r="A67" s="8">
        <v>1</v>
      </c>
      <c r="C67" s="16" t="s">
        <v>170</v>
      </c>
      <c r="Q67" s="307"/>
      <c r="R67" s="307"/>
      <c r="S67" s="307"/>
      <c r="T67" s="307"/>
      <c r="U67" s="307"/>
      <c r="V67" s="307"/>
      <c r="W67" s="307"/>
      <c r="X67" s="307"/>
      <c r="Y67" s="307"/>
      <c r="Z67" s="307"/>
      <c r="AA67" s="307"/>
      <c r="AB67" s="307"/>
      <c r="AC67" s="307"/>
      <c r="AD67" s="307"/>
      <c r="AE67" s="307"/>
      <c r="AF67" s="307"/>
      <c r="AG67" s="307"/>
    </row>
    <row r="68" spans="1:33">
      <c r="C68" s="16" t="s">
        <v>171</v>
      </c>
    </row>
    <row r="69" spans="1:33">
      <c r="A69" s="8">
        <v>2</v>
      </c>
      <c r="C69" s="16" t="s">
        <v>172</v>
      </c>
    </row>
    <row r="70" spans="1:33">
      <c r="C70" s="16" t="s">
        <v>173</v>
      </c>
    </row>
    <row r="71" spans="1:33">
      <c r="C71" s="16" t="s">
        <v>174</v>
      </c>
    </row>
    <row r="72" spans="1:33">
      <c r="C72" s="16" t="s">
        <v>175</v>
      </c>
    </row>
    <row r="73" spans="1:33" ht="15">
      <c r="A73" s="8">
        <v>3</v>
      </c>
      <c r="C73" s="8" t="s">
        <v>403</v>
      </c>
      <c r="M73" s="24"/>
    </row>
    <row r="74" spans="1:33" ht="15">
      <c r="C74" s="8" t="s">
        <v>404</v>
      </c>
      <c r="M74" s="24"/>
    </row>
    <row r="75" spans="1:33" ht="15">
      <c r="C75" s="8" t="s">
        <v>407</v>
      </c>
      <c r="M75" s="24"/>
    </row>
    <row r="76" spans="1:33">
      <c r="A76" s="307">
        <v>4</v>
      </c>
      <c r="B76" s="307"/>
      <c r="C76" s="318" t="s">
        <v>422</v>
      </c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</row>
    <row r="77" spans="1:33">
      <c r="A77" s="307"/>
      <c r="B77" s="307"/>
      <c r="C77" s="318" t="s">
        <v>423</v>
      </c>
      <c r="D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</row>
    <row r="78" spans="1:33">
      <c r="A78" s="307"/>
      <c r="B78" s="307"/>
      <c r="C78" s="318" t="s">
        <v>176</v>
      </c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</row>
    <row r="79" spans="1:33" ht="15">
      <c r="A79" s="8">
        <v>5</v>
      </c>
      <c r="C79" s="8" t="s">
        <v>429</v>
      </c>
      <c r="G79" s="76"/>
    </row>
    <row r="80" spans="1:33" ht="15">
      <c r="C80" s="8" t="s">
        <v>430</v>
      </c>
      <c r="G80" s="76"/>
    </row>
    <row r="81" spans="7:7" ht="15">
      <c r="G81" s="76"/>
    </row>
    <row r="82" spans="7:7" ht="15">
      <c r="G82" s="111"/>
    </row>
    <row r="83" spans="7:7" ht="15">
      <c r="G83" s="111"/>
    </row>
    <row r="84" spans="7:7" ht="15">
      <c r="G84" s="111"/>
    </row>
    <row r="85" spans="7:7" ht="15">
      <c r="G85" s="111"/>
    </row>
    <row r="86" spans="7:7" ht="15">
      <c r="G86" s="111"/>
    </row>
  </sheetData>
  <phoneticPr fontId="3" type="noConversion"/>
  <pageMargins left="0.74803149606299213" right="0.74803149606299213" top="0.78740157480314965" bottom="0.74" header="0.51181102362204722" footer="0.51181102362204722"/>
  <pageSetup paperSize="9" scale="63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85"/>
  <sheetViews>
    <sheetView zoomScale="75" zoomScaleNormal="75" workbookViewId="0">
      <pane ySplit="10" topLeftCell="A29" activePane="bottomLeft" state="frozen"/>
      <selection pane="bottomLeft" activeCell="G65" sqref="G65"/>
    </sheetView>
  </sheetViews>
  <sheetFormatPr defaultColWidth="11.42578125" defaultRowHeight="15"/>
  <cols>
    <col min="1" max="1" width="8.85546875" style="9" customWidth="1"/>
    <col min="2" max="2" width="2.140625" style="9" customWidth="1"/>
    <col min="3" max="3" width="8.42578125" style="9" customWidth="1"/>
    <col min="4" max="8" width="8.7109375" style="9" customWidth="1"/>
    <col min="9" max="9" width="11" style="9" customWidth="1"/>
    <col min="10" max="10" width="9.85546875" style="9" customWidth="1"/>
    <col min="11" max="11" width="1.5703125" style="9" customWidth="1"/>
    <col min="12" max="12" width="6" style="9" customWidth="1"/>
    <col min="13" max="17" width="8.7109375" style="9" customWidth="1"/>
    <col min="18" max="18" width="11.140625" style="9" customWidth="1"/>
    <col min="19" max="19" width="31.5703125" style="9" customWidth="1"/>
    <col min="20" max="20" width="13.28515625" style="9" customWidth="1"/>
    <col min="21" max="16384" width="11.42578125" style="9"/>
  </cols>
  <sheetData>
    <row r="1" spans="1:18" s="2" customFormat="1" ht="20.25">
      <c r="A1" s="81" t="s">
        <v>265</v>
      </c>
      <c r="Q1" s="649" t="s">
        <v>628</v>
      </c>
    </row>
    <row r="2" spans="1:18" ht="18">
      <c r="A2" s="112"/>
    </row>
    <row r="3" spans="1:18" ht="18.75">
      <c r="A3" s="112"/>
      <c r="B3" s="42" t="s">
        <v>177</v>
      </c>
      <c r="C3" s="42"/>
      <c r="D3" s="113"/>
      <c r="E3" s="113"/>
      <c r="F3" s="113"/>
      <c r="G3" s="113"/>
      <c r="H3" s="113"/>
    </row>
    <row r="4" spans="1:18" ht="21.75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</row>
    <row r="5" spans="1:18" ht="15.75">
      <c r="A5" s="115" t="s">
        <v>266</v>
      </c>
      <c r="B5" s="116"/>
      <c r="C5" s="292" t="s">
        <v>103</v>
      </c>
      <c r="D5" s="117" t="s">
        <v>110</v>
      </c>
      <c r="E5" s="117" t="s">
        <v>102</v>
      </c>
      <c r="F5" s="117" t="s">
        <v>178</v>
      </c>
      <c r="G5" s="117" t="s">
        <v>179</v>
      </c>
      <c r="H5" s="117" t="s">
        <v>180</v>
      </c>
      <c r="I5" s="118" t="s">
        <v>267</v>
      </c>
      <c r="J5" s="346" t="s">
        <v>114</v>
      </c>
      <c r="K5" s="119"/>
      <c r="L5" s="292" t="s">
        <v>103</v>
      </c>
      <c r="M5" s="117" t="s">
        <v>110</v>
      </c>
      <c r="N5" s="117" t="s">
        <v>102</v>
      </c>
      <c r="O5" s="117" t="s">
        <v>178</v>
      </c>
      <c r="P5" s="117" t="s">
        <v>179</v>
      </c>
      <c r="Q5" s="117" t="s">
        <v>180</v>
      </c>
      <c r="R5" s="118" t="s">
        <v>267</v>
      </c>
    </row>
    <row r="6" spans="1:18">
      <c r="A6" s="120"/>
      <c r="B6" s="120"/>
      <c r="C6" s="120"/>
      <c r="D6" s="121"/>
      <c r="E6" s="121"/>
      <c r="F6" s="122" t="s">
        <v>181</v>
      </c>
      <c r="G6" s="122" t="s">
        <v>182</v>
      </c>
      <c r="H6" s="122" t="s">
        <v>183</v>
      </c>
      <c r="I6" s="121"/>
      <c r="J6" s="123"/>
      <c r="K6" s="124"/>
      <c r="L6" s="124"/>
      <c r="M6" s="121"/>
      <c r="N6" s="121"/>
      <c r="O6" s="122" t="s">
        <v>181</v>
      </c>
      <c r="P6" s="122" t="s">
        <v>182</v>
      </c>
      <c r="Q6" s="122" t="s">
        <v>183</v>
      </c>
      <c r="R6" s="121"/>
    </row>
    <row r="7" spans="1:18">
      <c r="A7" s="120"/>
      <c r="B7" s="120"/>
      <c r="C7" s="120"/>
      <c r="D7" s="121"/>
      <c r="E7" s="121"/>
      <c r="F7" s="122" t="s">
        <v>184</v>
      </c>
      <c r="G7" s="122" t="s">
        <v>181</v>
      </c>
      <c r="H7" s="122" t="s">
        <v>185</v>
      </c>
      <c r="I7" s="121"/>
      <c r="J7" s="123"/>
      <c r="K7" s="124"/>
      <c r="L7" s="124"/>
      <c r="M7" s="121"/>
      <c r="N7" s="121"/>
      <c r="O7" s="122" t="s">
        <v>184</v>
      </c>
      <c r="P7" s="122" t="s">
        <v>181</v>
      </c>
      <c r="Q7" s="122" t="s">
        <v>185</v>
      </c>
      <c r="R7" s="121"/>
    </row>
    <row r="8" spans="1:18">
      <c r="A8" s="120"/>
      <c r="B8" s="120"/>
      <c r="C8" s="120"/>
      <c r="D8" s="121"/>
      <c r="E8" s="121"/>
      <c r="F8" s="122"/>
      <c r="G8" s="122" t="s">
        <v>184</v>
      </c>
      <c r="H8" s="122"/>
      <c r="I8" s="121"/>
      <c r="J8" s="123"/>
      <c r="K8" s="124"/>
      <c r="L8" s="124"/>
      <c r="M8" s="121"/>
      <c r="N8" s="121"/>
      <c r="O8" s="122"/>
      <c r="P8" s="122"/>
      <c r="Q8" s="122"/>
      <c r="R8" s="121"/>
    </row>
    <row r="9" spans="1:18">
      <c r="A9" s="120"/>
      <c r="B9" s="120"/>
      <c r="C9" s="120"/>
      <c r="D9" s="125" t="s">
        <v>186</v>
      </c>
      <c r="E9" s="125" t="s">
        <v>186</v>
      </c>
      <c r="F9" s="125" t="s">
        <v>187</v>
      </c>
      <c r="G9" s="125" t="s">
        <v>186</v>
      </c>
      <c r="H9" s="125" t="s">
        <v>186</v>
      </c>
      <c r="I9" s="125" t="s">
        <v>187</v>
      </c>
      <c r="J9" s="126"/>
      <c r="K9" s="124"/>
      <c r="L9" s="124"/>
      <c r="M9" s="125" t="s">
        <v>186</v>
      </c>
      <c r="N9" s="125" t="s">
        <v>186</v>
      </c>
      <c r="O9" s="125" t="s">
        <v>187</v>
      </c>
      <c r="P9" s="125" t="s">
        <v>186</v>
      </c>
      <c r="Q9" s="125" t="s">
        <v>186</v>
      </c>
      <c r="R9" s="125" t="s">
        <v>187</v>
      </c>
    </row>
    <row r="10" spans="1:18">
      <c r="A10" s="127"/>
      <c r="B10" s="127"/>
      <c r="C10" s="127"/>
      <c r="D10" s="128" t="s">
        <v>123</v>
      </c>
      <c r="E10" s="128" t="s">
        <v>123</v>
      </c>
      <c r="F10" s="128" t="s">
        <v>188</v>
      </c>
      <c r="G10" s="128" t="s">
        <v>123</v>
      </c>
      <c r="H10" s="128" t="s">
        <v>123</v>
      </c>
      <c r="I10" s="128" t="s">
        <v>188</v>
      </c>
      <c r="J10" s="129"/>
      <c r="K10" s="130"/>
      <c r="L10" s="130"/>
      <c r="M10" s="128" t="s">
        <v>123</v>
      </c>
      <c r="N10" s="128" t="s">
        <v>123</v>
      </c>
      <c r="O10" s="128" t="s">
        <v>188</v>
      </c>
      <c r="P10" s="128" t="s">
        <v>123</v>
      </c>
      <c r="Q10" s="128" t="s">
        <v>123</v>
      </c>
      <c r="R10" s="128" t="s">
        <v>188</v>
      </c>
    </row>
    <row r="11" spans="1:18">
      <c r="A11" s="120"/>
      <c r="B11" s="120"/>
      <c r="C11" s="120"/>
      <c r="D11" s="124"/>
      <c r="E11" s="124"/>
      <c r="F11" s="124"/>
      <c r="G11" s="124"/>
      <c r="H11" s="124"/>
      <c r="I11" s="124"/>
      <c r="J11" s="131"/>
      <c r="K11" s="124"/>
      <c r="L11" s="124"/>
      <c r="M11" s="124"/>
      <c r="N11" s="124"/>
      <c r="O11" s="124"/>
      <c r="P11" s="124"/>
      <c r="Q11" s="124"/>
      <c r="R11" s="124"/>
    </row>
    <row r="12" spans="1:18">
      <c r="D12" s="23"/>
      <c r="E12" s="23"/>
      <c r="F12" s="23"/>
      <c r="G12" s="23"/>
      <c r="H12" s="23"/>
      <c r="J12" s="132" t="s">
        <v>105</v>
      </c>
      <c r="K12" s="23"/>
      <c r="L12" s="23"/>
      <c r="M12" s="23"/>
      <c r="N12" s="23"/>
      <c r="O12" s="23"/>
      <c r="P12" s="23"/>
      <c r="Q12" s="133"/>
      <c r="R12" s="133" t="s">
        <v>189</v>
      </c>
    </row>
    <row r="13" spans="1:18">
      <c r="A13" s="90">
        <v>1960</v>
      </c>
      <c r="B13" s="134"/>
      <c r="C13" s="134"/>
      <c r="D13" s="23" t="s">
        <v>7</v>
      </c>
      <c r="E13" s="65">
        <v>29.8</v>
      </c>
      <c r="F13" s="135" t="s">
        <v>7</v>
      </c>
      <c r="G13" s="136" t="s">
        <v>7</v>
      </c>
      <c r="H13" s="135" t="s">
        <v>7</v>
      </c>
      <c r="I13" s="344" t="s">
        <v>7</v>
      </c>
      <c r="J13" s="137"/>
      <c r="K13" s="23"/>
      <c r="L13" s="23"/>
      <c r="M13" s="138" t="s">
        <v>7</v>
      </c>
      <c r="N13" s="89">
        <f t="shared" ref="N13:N27" si="0">(E13/E$38)*100</f>
        <v>248.33333333333334</v>
      </c>
      <c r="O13" s="138" t="s">
        <v>7</v>
      </c>
      <c r="P13" s="139" t="s">
        <v>7</v>
      </c>
      <c r="Q13" s="138" t="s">
        <v>7</v>
      </c>
      <c r="R13" s="138" t="s">
        <v>7</v>
      </c>
    </row>
    <row r="14" spans="1:18">
      <c r="A14" s="90">
        <v>1961</v>
      </c>
      <c r="B14" s="134"/>
      <c r="C14" s="134"/>
      <c r="D14" s="23" t="s">
        <v>7</v>
      </c>
      <c r="E14" s="65">
        <v>28.1</v>
      </c>
      <c r="F14" s="135" t="s">
        <v>7</v>
      </c>
      <c r="G14" s="136" t="s">
        <v>7</v>
      </c>
      <c r="H14" s="135" t="s">
        <v>7</v>
      </c>
      <c r="I14" s="344" t="s">
        <v>7</v>
      </c>
      <c r="J14" s="137"/>
      <c r="K14" s="23"/>
      <c r="L14" s="23"/>
      <c r="M14" s="138" t="s">
        <v>7</v>
      </c>
      <c r="N14" s="89">
        <f t="shared" si="0"/>
        <v>234.16666666666669</v>
      </c>
      <c r="O14" s="138" t="s">
        <v>7</v>
      </c>
      <c r="P14" s="139" t="s">
        <v>7</v>
      </c>
      <c r="Q14" s="138" t="s">
        <v>7</v>
      </c>
      <c r="R14" s="138" t="s">
        <v>7</v>
      </c>
    </row>
    <row r="15" spans="1:18">
      <c r="A15" s="90">
        <v>1962</v>
      </c>
      <c r="B15" s="134"/>
      <c r="C15" s="134"/>
      <c r="D15" s="23" t="s">
        <v>7</v>
      </c>
      <c r="E15" s="65">
        <v>24.7</v>
      </c>
      <c r="F15" s="135" t="s">
        <v>7</v>
      </c>
      <c r="G15" s="136" t="s">
        <v>7</v>
      </c>
      <c r="H15" s="135" t="s">
        <v>7</v>
      </c>
      <c r="I15" s="344" t="s">
        <v>7</v>
      </c>
      <c r="J15" s="137"/>
      <c r="K15" s="23"/>
      <c r="L15" s="23"/>
      <c r="M15" s="138" t="s">
        <v>7</v>
      </c>
      <c r="N15" s="89">
        <f t="shared" si="0"/>
        <v>205.83333333333331</v>
      </c>
      <c r="O15" s="138" t="s">
        <v>7</v>
      </c>
      <c r="P15" s="139" t="s">
        <v>7</v>
      </c>
      <c r="Q15" s="138" t="s">
        <v>7</v>
      </c>
      <c r="R15" s="138" t="s">
        <v>7</v>
      </c>
    </row>
    <row r="16" spans="1:18">
      <c r="A16" s="90">
        <v>1963</v>
      </c>
      <c r="B16" s="134"/>
      <c r="C16" s="134"/>
      <c r="D16" s="23" t="s">
        <v>7</v>
      </c>
      <c r="E16" s="65">
        <v>24.6</v>
      </c>
      <c r="F16" s="135" t="s">
        <v>7</v>
      </c>
      <c r="G16" s="136" t="s">
        <v>7</v>
      </c>
      <c r="H16" s="135" t="s">
        <v>7</v>
      </c>
      <c r="I16" s="344" t="s">
        <v>7</v>
      </c>
      <c r="J16" s="137"/>
      <c r="K16" s="23"/>
      <c r="L16" s="23"/>
      <c r="M16" s="138" t="s">
        <v>7</v>
      </c>
      <c r="N16" s="89">
        <f t="shared" si="0"/>
        <v>205.00000000000003</v>
      </c>
      <c r="O16" s="138" t="s">
        <v>7</v>
      </c>
      <c r="P16" s="139" t="s">
        <v>7</v>
      </c>
      <c r="Q16" s="138" t="s">
        <v>7</v>
      </c>
      <c r="R16" s="138" t="s">
        <v>7</v>
      </c>
    </row>
    <row r="17" spans="1:18">
      <c r="A17" s="90">
        <v>1964</v>
      </c>
      <c r="B17" s="134"/>
      <c r="C17" s="134"/>
      <c r="D17" s="23" t="s">
        <v>7</v>
      </c>
      <c r="E17" s="65">
        <v>25.4</v>
      </c>
      <c r="F17" s="135" t="s">
        <v>7</v>
      </c>
      <c r="G17" s="136" t="s">
        <v>7</v>
      </c>
      <c r="H17" s="135" t="s">
        <v>7</v>
      </c>
      <c r="I17" s="344" t="s">
        <v>7</v>
      </c>
      <c r="J17" s="137"/>
      <c r="K17" s="23"/>
      <c r="L17" s="23"/>
      <c r="M17" s="138" t="s">
        <v>7</v>
      </c>
      <c r="N17" s="89">
        <f t="shared" si="0"/>
        <v>211.66666666666666</v>
      </c>
      <c r="O17" s="138" t="s">
        <v>7</v>
      </c>
      <c r="P17" s="139" t="s">
        <v>7</v>
      </c>
      <c r="Q17" s="138" t="s">
        <v>7</v>
      </c>
      <c r="R17" s="138" t="s">
        <v>7</v>
      </c>
    </row>
    <row r="18" spans="1:18">
      <c r="A18" s="90">
        <v>1965</v>
      </c>
      <c r="B18" s="134"/>
      <c r="C18" s="134"/>
      <c r="D18" s="23" t="s">
        <v>7</v>
      </c>
      <c r="E18" s="65">
        <v>24.3</v>
      </c>
      <c r="F18" s="135" t="s">
        <v>7</v>
      </c>
      <c r="G18" s="136" t="s">
        <v>7</v>
      </c>
      <c r="H18" s="135" t="s">
        <v>7</v>
      </c>
      <c r="I18" s="344" t="s">
        <v>7</v>
      </c>
      <c r="J18" s="137"/>
      <c r="K18" s="23"/>
      <c r="L18" s="23"/>
      <c r="M18" s="138" t="s">
        <v>7</v>
      </c>
      <c r="N18" s="89">
        <f t="shared" si="0"/>
        <v>202.5</v>
      </c>
      <c r="O18" s="138" t="s">
        <v>7</v>
      </c>
      <c r="P18" s="139" t="s">
        <v>7</v>
      </c>
      <c r="Q18" s="138" t="s">
        <v>7</v>
      </c>
      <c r="R18" s="138" t="s">
        <v>7</v>
      </c>
    </row>
    <row r="19" spans="1:18">
      <c r="A19" s="90">
        <v>1966</v>
      </c>
      <c r="B19" s="134"/>
      <c r="C19" s="134"/>
      <c r="D19" s="23" t="s">
        <v>7</v>
      </c>
      <c r="E19" s="65">
        <v>21.4</v>
      </c>
      <c r="F19" s="135" t="s">
        <v>7</v>
      </c>
      <c r="G19" s="136" t="s">
        <v>7</v>
      </c>
      <c r="H19" s="135" t="s">
        <v>7</v>
      </c>
      <c r="I19" s="344" t="s">
        <v>7</v>
      </c>
      <c r="J19" s="137"/>
      <c r="K19" s="23"/>
      <c r="L19" s="23"/>
      <c r="M19" s="138" t="s">
        <v>7</v>
      </c>
      <c r="N19" s="89">
        <f t="shared" si="0"/>
        <v>178.33333333333331</v>
      </c>
      <c r="O19" s="138" t="s">
        <v>7</v>
      </c>
      <c r="P19" s="139" t="s">
        <v>7</v>
      </c>
      <c r="Q19" s="138" t="s">
        <v>7</v>
      </c>
      <c r="R19" s="138" t="s">
        <v>7</v>
      </c>
    </row>
    <row r="20" spans="1:18">
      <c r="A20" s="90">
        <v>1967</v>
      </c>
      <c r="B20" s="134"/>
      <c r="C20" s="134"/>
      <c r="D20" s="23" t="s">
        <v>7</v>
      </c>
      <c r="E20" s="65">
        <v>20</v>
      </c>
      <c r="F20" s="135" t="s">
        <v>7</v>
      </c>
      <c r="G20" s="136" t="s">
        <v>7</v>
      </c>
      <c r="H20" s="135" t="s">
        <v>7</v>
      </c>
      <c r="I20" s="344" t="s">
        <v>7</v>
      </c>
      <c r="J20" s="137"/>
      <c r="K20" s="23"/>
      <c r="L20" s="23"/>
      <c r="M20" s="138" t="s">
        <v>7</v>
      </c>
      <c r="N20" s="89">
        <f t="shared" si="0"/>
        <v>166.66666666666669</v>
      </c>
      <c r="O20" s="138" t="s">
        <v>7</v>
      </c>
      <c r="P20" s="139" t="s">
        <v>7</v>
      </c>
      <c r="Q20" s="138" t="s">
        <v>7</v>
      </c>
      <c r="R20" s="138" t="s">
        <v>7</v>
      </c>
    </row>
    <row r="21" spans="1:18">
      <c r="A21" s="140">
        <v>1968</v>
      </c>
      <c r="B21" s="134"/>
      <c r="C21" s="134"/>
      <c r="D21" s="23" t="s">
        <v>7</v>
      </c>
      <c r="E21" s="65">
        <v>20.9</v>
      </c>
      <c r="F21" s="135" t="s">
        <v>7</v>
      </c>
      <c r="G21" s="136" t="s">
        <v>7</v>
      </c>
      <c r="H21" s="135" t="s">
        <v>7</v>
      </c>
      <c r="I21" s="344" t="s">
        <v>7</v>
      </c>
      <c r="J21" s="137"/>
      <c r="K21" s="23"/>
      <c r="L21" s="23"/>
      <c r="M21" s="138" t="s">
        <v>7</v>
      </c>
      <c r="N21" s="89">
        <f t="shared" si="0"/>
        <v>174.16666666666666</v>
      </c>
      <c r="O21" s="138" t="s">
        <v>7</v>
      </c>
      <c r="P21" s="139" t="s">
        <v>7</v>
      </c>
      <c r="Q21" s="138" t="s">
        <v>7</v>
      </c>
      <c r="R21" s="138" t="s">
        <v>7</v>
      </c>
    </row>
    <row r="22" spans="1:18">
      <c r="A22" s="90">
        <v>1969</v>
      </c>
      <c r="B22" s="134"/>
      <c r="C22" s="134"/>
      <c r="D22" s="23" t="s">
        <v>7</v>
      </c>
      <c r="E22" s="65">
        <v>21.1</v>
      </c>
      <c r="F22" s="135" t="s">
        <v>7</v>
      </c>
      <c r="G22" s="136" t="s">
        <v>7</v>
      </c>
      <c r="H22" s="135" t="s">
        <v>7</v>
      </c>
      <c r="I22" s="344" t="s">
        <v>7</v>
      </c>
      <c r="J22" s="137"/>
      <c r="K22" s="23"/>
      <c r="L22" s="23"/>
      <c r="M22" s="138" t="s">
        <v>7</v>
      </c>
      <c r="N22" s="89">
        <f t="shared" si="0"/>
        <v>175.83333333333334</v>
      </c>
      <c r="O22" s="138" t="s">
        <v>7</v>
      </c>
      <c r="P22" s="139" t="s">
        <v>7</v>
      </c>
      <c r="Q22" s="138" t="s">
        <v>7</v>
      </c>
      <c r="R22" s="138" t="s">
        <v>7</v>
      </c>
    </row>
    <row r="23" spans="1:18">
      <c r="A23" s="90">
        <v>1970</v>
      </c>
      <c r="B23" s="134"/>
      <c r="C23" s="134"/>
      <c r="D23" s="23" t="s">
        <v>7</v>
      </c>
      <c r="E23" s="65">
        <v>20.8</v>
      </c>
      <c r="F23" s="135" t="s">
        <v>7</v>
      </c>
      <c r="G23" s="136" t="s">
        <v>7</v>
      </c>
      <c r="H23" s="135" t="s">
        <v>7</v>
      </c>
      <c r="I23" s="344" t="s">
        <v>7</v>
      </c>
      <c r="J23" s="137"/>
      <c r="K23" s="23"/>
      <c r="L23" s="23"/>
      <c r="M23" s="138" t="s">
        <v>7</v>
      </c>
      <c r="N23" s="89">
        <f t="shared" si="0"/>
        <v>173.33333333333334</v>
      </c>
      <c r="O23" s="138" t="s">
        <v>7</v>
      </c>
      <c r="P23" s="139" t="s">
        <v>7</v>
      </c>
      <c r="Q23" s="138" t="s">
        <v>7</v>
      </c>
      <c r="R23" s="138" t="s">
        <v>7</v>
      </c>
    </row>
    <row r="24" spans="1:18">
      <c r="A24" s="90">
        <v>1971</v>
      </c>
      <c r="B24" s="134"/>
      <c r="C24" s="134"/>
      <c r="D24" s="23" t="s">
        <v>7</v>
      </c>
      <c r="E24" s="65">
        <v>20</v>
      </c>
      <c r="F24" s="135" t="s">
        <v>7</v>
      </c>
      <c r="G24" s="136" t="s">
        <v>7</v>
      </c>
      <c r="H24" s="135" t="s">
        <v>7</v>
      </c>
      <c r="I24" s="344" t="s">
        <v>7</v>
      </c>
      <c r="J24" s="137"/>
      <c r="K24" s="23"/>
      <c r="L24" s="23"/>
      <c r="M24" s="138" t="s">
        <v>7</v>
      </c>
      <c r="N24" s="89">
        <f t="shared" si="0"/>
        <v>166.66666666666669</v>
      </c>
      <c r="O24" s="138" t="s">
        <v>7</v>
      </c>
      <c r="P24" s="139" t="s">
        <v>7</v>
      </c>
      <c r="Q24" s="138" t="s">
        <v>7</v>
      </c>
      <c r="R24" s="138" t="s">
        <v>7</v>
      </c>
    </row>
    <row r="25" spans="1:18">
      <c r="A25" s="90">
        <v>1972</v>
      </c>
      <c r="B25" s="134"/>
      <c r="C25" s="134"/>
      <c r="D25" s="23" t="s">
        <v>7</v>
      </c>
      <c r="E25" s="65">
        <v>18.100000000000001</v>
      </c>
      <c r="F25" s="135" t="s">
        <v>7</v>
      </c>
      <c r="G25" s="136" t="s">
        <v>7</v>
      </c>
      <c r="H25" s="135" t="s">
        <v>7</v>
      </c>
      <c r="I25" s="344" t="s">
        <v>7</v>
      </c>
      <c r="J25" s="137"/>
      <c r="K25" s="23"/>
      <c r="L25" s="23"/>
      <c r="M25" s="138" t="s">
        <v>7</v>
      </c>
      <c r="N25" s="89">
        <f t="shared" si="0"/>
        <v>150.83333333333334</v>
      </c>
      <c r="O25" s="138" t="s">
        <v>7</v>
      </c>
      <c r="P25" s="139" t="s">
        <v>7</v>
      </c>
      <c r="Q25" s="138" t="s">
        <v>7</v>
      </c>
      <c r="R25" s="138" t="s">
        <v>7</v>
      </c>
    </row>
    <row r="26" spans="1:18">
      <c r="A26" s="90">
        <v>1973</v>
      </c>
      <c r="B26" s="134"/>
      <c r="C26" s="134"/>
      <c r="D26" s="23" t="s">
        <v>7</v>
      </c>
      <c r="E26" s="65">
        <v>19.3</v>
      </c>
      <c r="F26" s="65">
        <v>5.7</v>
      </c>
      <c r="G26" s="136" t="s">
        <v>7</v>
      </c>
      <c r="H26" s="135" t="s">
        <v>7</v>
      </c>
      <c r="I26" s="98">
        <v>8</v>
      </c>
      <c r="J26" s="66"/>
      <c r="K26" s="23"/>
      <c r="L26" s="23"/>
      <c r="M26" s="138" t="s">
        <v>7</v>
      </c>
      <c r="N26" s="89">
        <f t="shared" si="0"/>
        <v>160.83333333333334</v>
      </c>
      <c r="O26" s="99">
        <f t="shared" ref="O26:O65" si="1">F26/F$38*100</f>
        <v>16.618075801749274</v>
      </c>
      <c r="P26" s="139" t="s">
        <v>7</v>
      </c>
      <c r="Q26" s="138" t="s">
        <v>7</v>
      </c>
      <c r="R26" s="99">
        <f t="shared" ref="R26:R63" si="2">I26/I$38*100</f>
        <v>26.845637583892618</v>
      </c>
    </row>
    <row r="27" spans="1:18">
      <c r="A27" s="90">
        <v>1974</v>
      </c>
      <c r="B27" s="134"/>
      <c r="C27" s="134"/>
      <c r="D27" s="65">
        <v>160.69999999999999</v>
      </c>
      <c r="E27" s="65">
        <v>17.899999999999999</v>
      </c>
      <c r="F27" s="65">
        <v>5.7</v>
      </c>
      <c r="G27" s="136" t="s">
        <v>7</v>
      </c>
      <c r="H27" s="135" t="s">
        <v>7</v>
      </c>
      <c r="I27" s="98">
        <v>7.5</v>
      </c>
      <c r="J27" s="66"/>
      <c r="K27" s="23"/>
      <c r="L27" s="23"/>
      <c r="M27" s="89">
        <f t="shared" ref="M27:M67" si="3">D27/D$38*100</f>
        <v>123.14176245210726</v>
      </c>
      <c r="N27" s="89">
        <f t="shared" si="0"/>
        <v>149.16666666666666</v>
      </c>
      <c r="O27" s="99">
        <f t="shared" si="1"/>
        <v>16.618075801749274</v>
      </c>
      <c r="P27" s="139" t="s">
        <v>7</v>
      </c>
      <c r="Q27" s="138" t="s">
        <v>7</v>
      </c>
      <c r="R27" s="99">
        <f t="shared" si="2"/>
        <v>25.167785234899327</v>
      </c>
    </row>
    <row r="28" spans="1:18">
      <c r="A28" s="90">
        <v>1975</v>
      </c>
      <c r="B28" s="134"/>
      <c r="C28" s="134"/>
      <c r="D28" s="65">
        <v>164.6</v>
      </c>
      <c r="E28" s="65">
        <v>16.100000000000001</v>
      </c>
      <c r="F28" s="65">
        <v>4.9000000000000004</v>
      </c>
      <c r="G28" s="136" t="s">
        <v>7</v>
      </c>
      <c r="H28" s="65" t="s">
        <v>7</v>
      </c>
      <c r="I28" s="98">
        <v>6.3</v>
      </c>
      <c r="J28" s="66"/>
      <c r="K28" s="63"/>
      <c r="L28" s="63"/>
      <c r="M28" s="89">
        <f t="shared" si="3"/>
        <v>126.13026819923373</v>
      </c>
      <c r="N28" s="99">
        <f t="shared" ref="N28:N47" si="4">E28/E$38*100</f>
        <v>134.16666666666669</v>
      </c>
      <c r="O28" s="99">
        <f t="shared" si="1"/>
        <v>14.285714285714288</v>
      </c>
      <c r="P28" s="139" t="s">
        <v>7</v>
      </c>
      <c r="Q28" s="89" t="s">
        <v>7</v>
      </c>
      <c r="R28" s="99">
        <f t="shared" si="2"/>
        <v>21.140939597315437</v>
      </c>
    </row>
    <row r="29" spans="1:18">
      <c r="A29" s="90">
        <v>1976</v>
      </c>
      <c r="B29" s="134"/>
      <c r="C29" s="136" t="s">
        <v>7</v>
      </c>
      <c r="D29" s="65">
        <v>172</v>
      </c>
      <c r="E29" s="65">
        <v>16.2</v>
      </c>
      <c r="F29" s="65">
        <v>7</v>
      </c>
      <c r="G29" s="136" t="s">
        <v>7</v>
      </c>
      <c r="H29" s="65" t="s">
        <v>7</v>
      </c>
      <c r="I29" s="98">
        <v>11.9</v>
      </c>
      <c r="J29" s="66"/>
      <c r="K29" s="63"/>
      <c r="L29" s="139" t="s">
        <v>7</v>
      </c>
      <c r="M29" s="89">
        <f t="shared" si="3"/>
        <v>131.80076628352489</v>
      </c>
      <c r="N29" s="99">
        <f t="shared" si="4"/>
        <v>135</v>
      </c>
      <c r="O29" s="99">
        <f t="shared" si="1"/>
        <v>20.408163265306122</v>
      </c>
      <c r="P29" s="139" t="s">
        <v>7</v>
      </c>
      <c r="Q29" s="89" t="s">
        <v>7</v>
      </c>
      <c r="R29" s="99">
        <f t="shared" si="2"/>
        <v>39.932885906040269</v>
      </c>
    </row>
    <row r="30" spans="1:18">
      <c r="A30" s="90">
        <v>1977</v>
      </c>
      <c r="B30" s="134"/>
      <c r="C30" s="136" t="s">
        <v>7</v>
      </c>
      <c r="D30" s="65">
        <v>144.69999999999999</v>
      </c>
      <c r="E30" s="65">
        <v>14</v>
      </c>
      <c r="F30" s="65">
        <v>13.6</v>
      </c>
      <c r="G30" s="136" t="s">
        <v>7</v>
      </c>
      <c r="H30" s="65" t="s">
        <v>7</v>
      </c>
      <c r="I30" s="98">
        <v>23.2</v>
      </c>
      <c r="J30" s="66"/>
      <c r="K30" s="63"/>
      <c r="L30" s="139" t="s">
        <v>7</v>
      </c>
      <c r="M30" s="89">
        <f t="shared" si="3"/>
        <v>110.88122605363984</v>
      </c>
      <c r="N30" s="99">
        <f t="shared" si="4"/>
        <v>116.66666666666667</v>
      </c>
      <c r="O30" s="99">
        <f t="shared" si="1"/>
        <v>39.650145772594755</v>
      </c>
      <c r="P30" s="139" t="s">
        <v>7</v>
      </c>
      <c r="Q30" s="89" t="s">
        <v>7</v>
      </c>
      <c r="R30" s="99">
        <f t="shared" si="2"/>
        <v>77.852348993288587</v>
      </c>
    </row>
    <row r="31" spans="1:18">
      <c r="A31" s="90">
        <v>1978</v>
      </c>
      <c r="B31" s="134"/>
      <c r="C31" s="136" t="s">
        <v>7</v>
      </c>
      <c r="D31" s="65">
        <v>149.5</v>
      </c>
      <c r="E31" s="65">
        <v>13.8</v>
      </c>
      <c r="F31" s="65">
        <v>18.600000000000001</v>
      </c>
      <c r="G31" s="136" t="s">
        <v>7</v>
      </c>
      <c r="H31" s="65" t="s">
        <v>7</v>
      </c>
      <c r="I31" s="98">
        <v>26.4</v>
      </c>
      <c r="J31" s="66"/>
      <c r="K31" s="63"/>
      <c r="L31" s="139" t="s">
        <v>7</v>
      </c>
      <c r="M31" s="89">
        <f t="shared" si="3"/>
        <v>114.55938697318007</v>
      </c>
      <c r="N31" s="99">
        <f t="shared" si="4"/>
        <v>115.00000000000001</v>
      </c>
      <c r="O31" s="99">
        <f t="shared" si="1"/>
        <v>54.227405247813422</v>
      </c>
      <c r="P31" s="139" t="s">
        <v>7</v>
      </c>
      <c r="Q31" s="89" t="s">
        <v>7</v>
      </c>
      <c r="R31" s="99">
        <f t="shared" si="2"/>
        <v>88.590604026845625</v>
      </c>
    </row>
    <row r="32" spans="1:18">
      <c r="A32" s="90">
        <v>1979</v>
      </c>
      <c r="B32" s="134"/>
      <c r="C32" s="136" t="s">
        <v>7</v>
      </c>
      <c r="D32" s="65">
        <v>156.9</v>
      </c>
      <c r="E32" s="65">
        <v>12</v>
      </c>
      <c r="F32" s="65">
        <v>23.8</v>
      </c>
      <c r="G32" s="136" t="s">
        <v>7</v>
      </c>
      <c r="H32" s="65" t="s">
        <v>7</v>
      </c>
      <c r="I32" s="98">
        <v>27.9</v>
      </c>
      <c r="J32" s="66"/>
      <c r="K32" s="63"/>
      <c r="L32" s="139" t="s">
        <v>7</v>
      </c>
      <c r="M32" s="89">
        <f t="shared" si="3"/>
        <v>120.22988505747128</v>
      </c>
      <c r="N32" s="99">
        <f t="shared" si="4"/>
        <v>100</v>
      </c>
      <c r="O32" s="99">
        <f t="shared" si="1"/>
        <v>69.387755102040828</v>
      </c>
      <c r="P32" s="139" t="s">
        <v>7</v>
      </c>
      <c r="Q32" s="89" t="s">
        <v>7</v>
      </c>
      <c r="R32" s="99">
        <f t="shared" si="2"/>
        <v>93.624161073825491</v>
      </c>
    </row>
    <row r="33" spans="1:20">
      <c r="A33" s="90">
        <v>1980</v>
      </c>
      <c r="B33" s="134"/>
      <c r="C33" s="136" t="s">
        <v>7</v>
      </c>
      <c r="D33" s="65">
        <v>134.69999999999999</v>
      </c>
      <c r="E33" s="65">
        <v>11.7</v>
      </c>
      <c r="F33" s="65">
        <v>33.5</v>
      </c>
      <c r="G33" s="136" t="s">
        <v>7</v>
      </c>
      <c r="H33" s="65">
        <v>8.1199999999999992</v>
      </c>
      <c r="I33" s="98">
        <v>26.7</v>
      </c>
      <c r="J33" s="66"/>
      <c r="K33" s="63"/>
      <c r="L33" s="139" t="s">
        <v>7</v>
      </c>
      <c r="M33" s="89">
        <f t="shared" si="3"/>
        <v>103.21839080459769</v>
      </c>
      <c r="N33" s="99">
        <f t="shared" si="4"/>
        <v>97.5</v>
      </c>
      <c r="O33" s="99">
        <f t="shared" si="1"/>
        <v>97.667638483965021</v>
      </c>
      <c r="P33" s="139" t="s">
        <v>7</v>
      </c>
      <c r="Q33" s="99">
        <f t="shared" ref="Q33:Q67" si="5">H33/H$38*100</f>
        <v>76.244131455399057</v>
      </c>
      <c r="R33" s="99">
        <f t="shared" si="2"/>
        <v>89.597315436241615</v>
      </c>
    </row>
    <row r="34" spans="1:20">
      <c r="A34" s="90">
        <v>1981</v>
      </c>
      <c r="B34" s="134"/>
      <c r="C34" s="136" t="s">
        <v>7</v>
      </c>
      <c r="D34" s="65">
        <v>144.1</v>
      </c>
      <c r="E34" s="65">
        <v>12.2</v>
      </c>
      <c r="F34" s="97">
        <v>33.200000000000003</v>
      </c>
      <c r="G34" s="136" t="s">
        <v>7</v>
      </c>
      <c r="H34" s="65">
        <v>7.31</v>
      </c>
      <c r="I34" s="98">
        <v>24.1</v>
      </c>
      <c r="J34" s="66"/>
      <c r="K34" s="63"/>
      <c r="L34" s="139" t="s">
        <v>7</v>
      </c>
      <c r="M34" s="89">
        <f t="shared" si="3"/>
        <v>110.42145593869732</v>
      </c>
      <c r="N34" s="99">
        <f t="shared" si="4"/>
        <v>101.66666666666666</v>
      </c>
      <c r="O34" s="92">
        <f t="shared" si="1"/>
        <v>96.793002915451908</v>
      </c>
      <c r="P34" s="139" t="s">
        <v>7</v>
      </c>
      <c r="Q34" s="99">
        <f t="shared" si="5"/>
        <v>68.63849765258216</v>
      </c>
      <c r="R34" s="99">
        <f t="shared" si="2"/>
        <v>80.872483221476514</v>
      </c>
    </row>
    <row r="35" spans="1:20">
      <c r="A35" s="90">
        <v>1982</v>
      </c>
      <c r="B35" s="134"/>
      <c r="C35" s="136" t="s">
        <v>7</v>
      </c>
      <c r="D35" s="65">
        <v>135.4</v>
      </c>
      <c r="E35" s="65">
        <v>10.4</v>
      </c>
      <c r="F35" s="65">
        <v>34.5</v>
      </c>
      <c r="G35" s="136" t="s">
        <v>7</v>
      </c>
      <c r="H35" s="65">
        <v>10.4</v>
      </c>
      <c r="I35" s="98">
        <v>22.4</v>
      </c>
      <c r="J35" s="66"/>
      <c r="K35" s="63"/>
      <c r="L35" s="139" t="s">
        <v>7</v>
      </c>
      <c r="M35" s="89">
        <f t="shared" si="3"/>
        <v>103.75478927203065</v>
      </c>
      <c r="N35" s="99">
        <f t="shared" si="4"/>
        <v>86.666666666666671</v>
      </c>
      <c r="O35" s="99">
        <f t="shared" si="1"/>
        <v>100.58309037900874</v>
      </c>
      <c r="P35" s="139" t="s">
        <v>7</v>
      </c>
      <c r="Q35" s="99">
        <f t="shared" si="5"/>
        <v>97.652582159624416</v>
      </c>
      <c r="R35" s="99">
        <f t="shared" si="2"/>
        <v>75.167785234899327</v>
      </c>
    </row>
    <row r="36" spans="1:20">
      <c r="A36" s="90">
        <v>1983</v>
      </c>
      <c r="B36" s="134"/>
      <c r="C36" s="136" t="s">
        <v>7</v>
      </c>
      <c r="D36" s="65">
        <v>129.1</v>
      </c>
      <c r="E36" s="65">
        <v>10.3</v>
      </c>
      <c r="F36" s="65">
        <v>37.299999999999997</v>
      </c>
      <c r="G36" s="136" t="s">
        <v>7</v>
      </c>
      <c r="H36" s="65">
        <v>12.1</v>
      </c>
      <c r="I36" s="98">
        <v>26.5</v>
      </c>
      <c r="J36" s="66"/>
      <c r="K36" s="63"/>
      <c r="L36" s="139" t="s">
        <v>7</v>
      </c>
      <c r="M36" s="89">
        <f t="shared" si="3"/>
        <v>98.927203065134094</v>
      </c>
      <c r="N36" s="99">
        <f t="shared" si="4"/>
        <v>85.833333333333343</v>
      </c>
      <c r="O36" s="99">
        <f t="shared" si="1"/>
        <v>108.74635568513121</v>
      </c>
      <c r="P36" s="139" t="s">
        <v>7</v>
      </c>
      <c r="Q36" s="99">
        <f t="shared" si="5"/>
        <v>113.6150234741784</v>
      </c>
      <c r="R36" s="99">
        <f t="shared" si="2"/>
        <v>88.926174496644293</v>
      </c>
    </row>
    <row r="37" spans="1:20">
      <c r="A37" s="90">
        <v>1984</v>
      </c>
      <c r="B37" s="134"/>
      <c r="C37" s="136" t="s">
        <v>7</v>
      </c>
      <c r="D37" s="65">
        <v>128.30000000000001</v>
      </c>
      <c r="E37" s="65">
        <v>6.4</v>
      </c>
      <c r="F37" s="65">
        <v>35.6</v>
      </c>
      <c r="G37" s="136" t="s">
        <v>7</v>
      </c>
      <c r="H37" s="65">
        <v>10.02</v>
      </c>
      <c r="I37" s="98">
        <v>26.9</v>
      </c>
      <c r="J37" s="66"/>
      <c r="K37" s="63"/>
      <c r="L37" s="139" t="s">
        <v>7</v>
      </c>
      <c r="M37" s="89">
        <f t="shared" si="3"/>
        <v>98.314176245210732</v>
      </c>
      <c r="N37" s="99">
        <f t="shared" si="4"/>
        <v>53.333333333333336</v>
      </c>
      <c r="O37" s="99">
        <f t="shared" si="1"/>
        <v>103.79008746355687</v>
      </c>
      <c r="P37" s="139" t="s">
        <v>7</v>
      </c>
      <c r="Q37" s="99">
        <f t="shared" si="5"/>
        <v>94.08450704225352</v>
      </c>
      <c r="R37" s="99">
        <f t="shared" si="2"/>
        <v>90.268456375838923</v>
      </c>
    </row>
    <row r="38" spans="1:20">
      <c r="A38" s="90">
        <v>1985</v>
      </c>
      <c r="B38" s="134"/>
      <c r="C38" s="136" t="s">
        <v>7</v>
      </c>
      <c r="D38" s="65">
        <v>130.5</v>
      </c>
      <c r="E38" s="65">
        <v>12</v>
      </c>
      <c r="F38" s="65">
        <v>34.299999999999997</v>
      </c>
      <c r="G38" s="136" t="s">
        <v>7</v>
      </c>
      <c r="H38" s="65">
        <v>10.65</v>
      </c>
      <c r="I38" s="98">
        <v>29.8</v>
      </c>
      <c r="J38" s="66"/>
      <c r="K38" s="63"/>
      <c r="L38" s="139" t="s">
        <v>7</v>
      </c>
      <c r="M38" s="89">
        <f t="shared" si="3"/>
        <v>100</v>
      </c>
      <c r="N38" s="99">
        <f t="shared" si="4"/>
        <v>100</v>
      </c>
      <c r="O38" s="99">
        <f t="shared" si="1"/>
        <v>100</v>
      </c>
      <c r="P38" s="139" t="s">
        <v>7</v>
      </c>
      <c r="Q38" s="99">
        <f t="shared" si="5"/>
        <v>100</v>
      </c>
      <c r="R38" s="99">
        <f t="shared" si="2"/>
        <v>100</v>
      </c>
    </row>
    <row r="39" spans="1:20">
      <c r="A39" s="90">
        <v>1986</v>
      </c>
      <c r="B39" s="134"/>
      <c r="C39" s="136" t="s">
        <v>7</v>
      </c>
      <c r="D39" s="65">
        <v>128</v>
      </c>
      <c r="E39" s="65">
        <v>9.6999999999999993</v>
      </c>
      <c r="F39" s="65">
        <v>32.299999999999997</v>
      </c>
      <c r="G39" s="136" t="s">
        <v>7</v>
      </c>
      <c r="H39" s="65">
        <v>11.02</v>
      </c>
      <c r="I39" s="98">
        <v>28.2</v>
      </c>
      <c r="J39" s="66"/>
      <c r="K39" s="63"/>
      <c r="L39" s="139" t="s">
        <v>7</v>
      </c>
      <c r="M39" s="89">
        <f t="shared" si="3"/>
        <v>98.084291187739453</v>
      </c>
      <c r="N39" s="99">
        <f t="shared" si="4"/>
        <v>80.833333333333329</v>
      </c>
      <c r="O39" s="99">
        <f t="shared" si="1"/>
        <v>94.169096209912539</v>
      </c>
      <c r="P39" s="139" t="s">
        <v>7</v>
      </c>
      <c r="Q39" s="99">
        <f t="shared" si="5"/>
        <v>103.47417840375586</v>
      </c>
      <c r="R39" s="99">
        <f t="shared" si="2"/>
        <v>94.630872483221466</v>
      </c>
    </row>
    <row r="40" spans="1:20">
      <c r="A40" s="90">
        <v>1987</v>
      </c>
      <c r="B40" s="134"/>
      <c r="C40" s="136" t="s">
        <v>7</v>
      </c>
      <c r="D40" s="65">
        <v>134.9</v>
      </c>
      <c r="E40" s="65">
        <v>10.5</v>
      </c>
      <c r="F40" s="65">
        <v>28.6</v>
      </c>
      <c r="G40" s="65">
        <v>24.1</v>
      </c>
      <c r="H40" s="65">
        <v>10.28</v>
      </c>
      <c r="I40" s="98">
        <v>28.5</v>
      </c>
      <c r="J40" s="66">
        <f>SUM(C40:I40)</f>
        <v>236.88</v>
      </c>
      <c r="K40" s="63"/>
      <c r="L40" s="139" t="s">
        <v>7</v>
      </c>
      <c r="M40" s="89">
        <f t="shared" si="3"/>
        <v>103.37164750957855</v>
      </c>
      <c r="N40" s="99">
        <f t="shared" si="4"/>
        <v>87.5</v>
      </c>
      <c r="O40" s="99">
        <f t="shared" si="1"/>
        <v>83.381924198250744</v>
      </c>
      <c r="P40" s="139" t="s">
        <v>7</v>
      </c>
      <c r="Q40" s="99">
        <f t="shared" si="5"/>
        <v>96.525821596244128</v>
      </c>
      <c r="R40" s="99">
        <f t="shared" si="2"/>
        <v>95.637583892617457</v>
      </c>
    </row>
    <row r="41" spans="1:20">
      <c r="A41" s="90">
        <v>1988</v>
      </c>
      <c r="B41" s="134"/>
      <c r="C41" s="136" t="s">
        <v>7</v>
      </c>
      <c r="D41" s="65">
        <v>155.69999999999999</v>
      </c>
      <c r="E41" s="65">
        <v>9.6999999999999993</v>
      </c>
      <c r="F41" s="65">
        <v>31.9</v>
      </c>
      <c r="G41" s="65">
        <v>28.3</v>
      </c>
      <c r="H41" s="65">
        <v>10.220000000000001</v>
      </c>
      <c r="I41" s="98">
        <v>25.2</v>
      </c>
      <c r="J41" s="66">
        <f t="shared" ref="J41:J65" si="6">SUM(C41:I41)</f>
        <v>261.02</v>
      </c>
      <c r="K41" s="63"/>
      <c r="L41" s="139" t="s">
        <v>7</v>
      </c>
      <c r="M41" s="89">
        <f t="shared" si="3"/>
        <v>119.31034482758621</v>
      </c>
      <c r="N41" s="99">
        <f t="shared" si="4"/>
        <v>80.833333333333329</v>
      </c>
      <c r="O41" s="99">
        <f t="shared" si="1"/>
        <v>93.002915451895049</v>
      </c>
      <c r="P41" s="139" t="s">
        <v>7</v>
      </c>
      <c r="Q41" s="99">
        <f t="shared" si="5"/>
        <v>95.962441314553999</v>
      </c>
      <c r="R41" s="99">
        <f t="shared" si="2"/>
        <v>84.56375838926175</v>
      </c>
      <c r="T41" s="19"/>
    </row>
    <row r="42" spans="1:20">
      <c r="A42" s="90">
        <v>1989</v>
      </c>
      <c r="B42" s="134"/>
      <c r="C42" s="136" t="s">
        <v>7</v>
      </c>
      <c r="D42" s="65">
        <v>154.80000000000001</v>
      </c>
      <c r="E42" s="65">
        <v>9.4</v>
      </c>
      <c r="F42" s="65">
        <v>32.5</v>
      </c>
      <c r="G42" s="65">
        <v>28.3</v>
      </c>
      <c r="H42" s="65">
        <v>10.37</v>
      </c>
      <c r="I42" s="97">
        <v>21.3</v>
      </c>
      <c r="J42" s="66">
        <f t="shared" si="6"/>
        <v>256.67</v>
      </c>
      <c r="K42" s="63"/>
      <c r="L42" s="139" t="s">
        <v>7</v>
      </c>
      <c r="M42" s="89">
        <f t="shared" si="3"/>
        <v>118.62068965517243</v>
      </c>
      <c r="N42" s="99">
        <f t="shared" si="4"/>
        <v>78.333333333333329</v>
      </c>
      <c r="O42" s="99">
        <f t="shared" si="1"/>
        <v>94.75218658892129</v>
      </c>
      <c r="P42" s="139" t="s">
        <v>7</v>
      </c>
      <c r="Q42" s="99">
        <f t="shared" si="5"/>
        <v>97.37089201877933</v>
      </c>
      <c r="R42" s="92">
        <f t="shared" si="2"/>
        <v>71.476510067114091</v>
      </c>
    </row>
    <row r="43" spans="1:20">
      <c r="A43" s="90">
        <v>1990</v>
      </c>
      <c r="B43" s="134"/>
      <c r="C43" s="136" t="s">
        <v>7</v>
      </c>
      <c r="D43" s="65">
        <v>160.6</v>
      </c>
      <c r="E43" s="65">
        <v>9.8000000000000007</v>
      </c>
      <c r="F43" s="65">
        <v>29.9</v>
      </c>
      <c r="G43" s="65">
        <v>25.2</v>
      </c>
      <c r="H43" s="65">
        <v>11.92</v>
      </c>
      <c r="I43" s="98">
        <v>26.9</v>
      </c>
      <c r="J43" s="66">
        <f t="shared" si="6"/>
        <v>264.32</v>
      </c>
      <c r="K43" s="63"/>
      <c r="L43" s="139" t="s">
        <v>7</v>
      </c>
      <c r="M43" s="89">
        <f t="shared" si="3"/>
        <v>123.06513409961686</v>
      </c>
      <c r="N43" s="99">
        <f t="shared" si="4"/>
        <v>81.666666666666671</v>
      </c>
      <c r="O43" s="99">
        <f t="shared" si="1"/>
        <v>87.172011661807574</v>
      </c>
      <c r="P43" s="139" t="s">
        <v>7</v>
      </c>
      <c r="Q43" s="99">
        <f t="shared" si="5"/>
        <v>111.92488262910798</v>
      </c>
      <c r="R43" s="99">
        <f t="shared" si="2"/>
        <v>90.268456375838923</v>
      </c>
    </row>
    <row r="44" spans="1:20">
      <c r="A44" s="90">
        <v>1991</v>
      </c>
      <c r="B44" s="134"/>
      <c r="C44" s="136" t="s">
        <v>7</v>
      </c>
      <c r="D44" s="65">
        <v>148.80000000000001</v>
      </c>
      <c r="E44" s="65">
        <v>9</v>
      </c>
      <c r="F44" s="65">
        <v>31.6</v>
      </c>
      <c r="G44" s="65">
        <v>26.7</v>
      </c>
      <c r="H44" s="65">
        <v>11.34</v>
      </c>
      <c r="I44" s="98">
        <v>21.4</v>
      </c>
      <c r="J44" s="66">
        <f t="shared" si="6"/>
        <v>248.84</v>
      </c>
      <c r="K44" s="63"/>
      <c r="L44" s="139" t="s">
        <v>7</v>
      </c>
      <c r="M44" s="89">
        <f t="shared" si="3"/>
        <v>114.02298850574712</v>
      </c>
      <c r="N44" s="99">
        <f t="shared" si="4"/>
        <v>75</v>
      </c>
      <c r="O44" s="99">
        <f t="shared" si="1"/>
        <v>92.128279883381936</v>
      </c>
      <c r="P44" s="139" t="s">
        <v>7</v>
      </c>
      <c r="Q44" s="99">
        <f t="shared" si="5"/>
        <v>106.47887323943661</v>
      </c>
      <c r="R44" s="99">
        <f t="shared" si="2"/>
        <v>71.812080536912745</v>
      </c>
    </row>
    <row r="45" spans="1:20">
      <c r="A45" s="90">
        <v>1992</v>
      </c>
      <c r="B45" s="134"/>
      <c r="C45" s="136" t="s">
        <v>7</v>
      </c>
      <c r="D45" s="65">
        <v>157.1</v>
      </c>
      <c r="E45" s="65">
        <v>6.96</v>
      </c>
      <c r="F45" s="65">
        <v>30.1</v>
      </c>
      <c r="G45" s="65">
        <v>25.7</v>
      </c>
      <c r="H45" s="65">
        <v>10.66</v>
      </c>
      <c r="I45" s="98">
        <v>24</v>
      </c>
      <c r="J45" s="66">
        <f t="shared" si="6"/>
        <v>254.51999999999998</v>
      </c>
      <c r="K45" s="63"/>
      <c r="L45" s="139" t="s">
        <v>7</v>
      </c>
      <c r="M45" s="89">
        <f t="shared" si="3"/>
        <v>120.38314176245211</v>
      </c>
      <c r="N45" s="99">
        <f t="shared" si="4"/>
        <v>57.999999999999993</v>
      </c>
      <c r="O45" s="99">
        <f t="shared" si="1"/>
        <v>87.75510204081634</v>
      </c>
      <c r="P45" s="139" t="s">
        <v>7</v>
      </c>
      <c r="Q45" s="99">
        <f t="shared" si="5"/>
        <v>100.09389671361501</v>
      </c>
      <c r="R45" s="99">
        <f t="shared" si="2"/>
        <v>80.536912751677846</v>
      </c>
    </row>
    <row r="46" spans="1:20">
      <c r="A46" s="90">
        <v>1993</v>
      </c>
      <c r="B46" s="134"/>
      <c r="C46" s="136" t="s">
        <v>7</v>
      </c>
      <c r="D46" s="65">
        <v>158.9</v>
      </c>
      <c r="E46" s="65">
        <v>5.01</v>
      </c>
      <c r="F46" s="65">
        <v>29</v>
      </c>
      <c r="G46" s="65">
        <v>24.5</v>
      </c>
      <c r="H46" s="65">
        <v>11.35</v>
      </c>
      <c r="I46" s="98">
        <v>26.9</v>
      </c>
      <c r="J46" s="66">
        <f t="shared" si="6"/>
        <v>255.66</v>
      </c>
      <c r="K46" s="63"/>
      <c r="L46" s="139" t="s">
        <v>7</v>
      </c>
      <c r="M46" s="89">
        <f t="shared" si="3"/>
        <v>121.7624521072797</v>
      </c>
      <c r="N46" s="99">
        <f t="shared" si="4"/>
        <v>41.75</v>
      </c>
      <c r="O46" s="99">
        <f t="shared" si="1"/>
        <v>84.548104956268233</v>
      </c>
      <c r="P46" s="139" t="s">
        <v>7</v>
      </c>
      <c r="Q46" s="99">
        <f t="shared" si="5"/>
        <v>106.57276995305163</v>
      </c>
      <c r="R46" s="99">
        <f t="shared" si="2"/>
        <v>90.268456375838923</v>
      </c>
    </row>
    <row r="47" spans="1:20">
      <c r="A47" s="90">
        <v>1994</v>
      </c>
      <c r="B47" s="134"/>
      <c r="C47" s="136" t="s">
        <v>7</v>
      </c>
      <c r="D47" s="65">
        <v>155.80000000000001</v>
      </c>
      <c r="E47" s="65">
        <v>5.4</v>
      </c>
      <c r="F47" s="65">
        <v>32</v>
      </c>
      <c r="G47" s="65">
        <v>27.5</v>
      </c>
      <c r="H47" s="65">
        <v>11.16</v>
      </c>
      <c r="I47" s="98">
        <v>24.084</v>
      </c>
      <c r="J47" s="66">
        <f t="shared" si="6"/>
        <v>255.94400000000002</v>
      </c>
      <c r="K47" s="63"/>
      <c r="L47" s="139" t="s">
        <v>7</v>
      </c>
      <c r="M47" s="89">
        <f t="shared" si="3"/>
        <v>119.38697318007662</v>
      </c>
      <c r="N47" s="99">
        <f t="shared" si="4"/>
        <v>45</v>
      </c>
      <c r="O47" s="99">
        <f t="shared" si="1"/>
        <v>93.294460641399425</v>
      </c>
      <c r="P47" s="139" t="s">
        <v>7</v>
      </c>
      <c r="Q47" s="99">
        <f t="shared" si="5"/>
        <v>104.78873239436619</v>
      </c>
      <c r="R47" s="99">
        <f t="shared" si="2"/>
        <v>80.818791946308721</v>
      </c>
    </row>
    <row r="48" spans="1:20">
      <c r="A48" s="90">
        <v>1995</v>
      </c>
      <c r="B48" s="134"/>
      <c r="C48" s="136" t="s">
        <v>7</v>
      </c>
      <c r="D48" s="65">
        <v>157.69999999999999</v>
      </c>
      <c r="E48" s="136" t="s">
        <v>7</v>
      </c>
      <c r="F48" s="65">
        <v>35.9</v>
      </c>
      <c r="G48" s="65">
        <v>31.9</v>
      </c>
      <c r="H48" s="65">
        <v>11.22</v>
      </c>
      <c r="I48" s="98">
        <v>25.622</v>
      </c>
      <c r="J48" s="66">
        <f t="shared" si="6"/>
        <v>262.34199999999998</v>
      </c>
      <c r="K48" s="63"/>
      <c r="L48" s="139" t="s">
        <v>7</v>
      </c>
      <c r="M48" s="89">
        <f t="shared" si="3"/>
        <v>120.84291187739463</v>
      </c>
      <c r="N48" s="141" t="s">
        <v>7</v>
      </c>
      <c r="O48" s="99">
        <f t="shared" si="1"/>
        <v>104.66472303206997</v>
      </c>
      <c r="P48" s="139" t="s">
        <v>7</v>
      </c>
      <c r="Q48" s="99">
        <f t="shared" si="5"/>
        <v>105.35211267605634</v>
      </c>
      <c r="R48" s="99">
        <f t="shared" si="2"/>
        <v>85.979865771812086</v>
      </c>
    </row>
    <row r="49" spans="1:19">
      <c r="A49" s="90">
        <v>1996</v>
      </c>
      <c r="B49" s="134"/>
      <c r="C49" s="136" t="s">
        <v>7</v>
      </c>
      <c r="D49" s="65">
        <v>162.4</v>
      </c>
      <c r="E49" s="65">
        <v>5.43</v>
      </c>
      <c r="F49" s="65">
        <v>40.299999999999997</v>
      </c>
      <c r="G49" s="65">
        <v>36.200000000000003</v>
      </c>
      <c r="H49" s="65">
        <v>11.08</v>
      </c>
      <c r="I49" s="98">
        <v>25.602</v>
      </c>
      <c r="J49" s="66">
        <f t="shared" si="6"/>
        <v>281.012</v>
      </c>
      <c r="K49" s="63"/>
      <c r="L49" s="139" t="s">
        <v>7</v>
      </c>
      <c r="M49" s="89">
        <f t="shared" si="3"/>
        <v>124.44444444444444</v>
      </c>
      <c r="N49" s="99">
        <f t="shared" ref="N49:N65" si="7">E49/E$38*100</f>
        <v>45.249999999999993</v>
      </c>
      <c r="O49" s="99">
        <f t="shared" si="1"/>
        <v>117.49271137026238</v>
      </c>
      <c r="P49" s="139" t="s">
        <v>7</v>
      </c>
      <c r="Q49" s="99">
        <f t="shared" si="5"/>
        <v>104.037558685446</v>
      </c>
      <c r="R49" s="99">
        <f t="shared" si="2"/>
        <v>85.912751677852356</v>
      </c>
    </row>
    <row r="50" spans="1:19">
      <c r="A50" s="103">
        <v>1997</v>
      </c>
      <c r="B50" s="120"/>
      <c r="C50" s="136" t="s">
        <v>7</v>
      </c>
      <c r="D50" s="98">
        <v>157.4</v>
      </c>
      <c r="E50" s="98">
        <v>7.04</v>
      </c>
      <c r="F50" s="98">
        <v>39.4</v>
      </c>
      <c r="G50" s="98">
        <v>34.5</v>
      </c>
      <c r="H50" s="98">
        <v>11.62</v>
      </c>
      <c r="I50" s="98">
        <v>25.715</v>
      </c>
      <c r="J50" s="66">
        <f t="shared" si="6"/>
        <v>275.67500000000001</v>
      </c>
      <c r="K50" s="142"/>
      <c r="L50" s="139" t="s">
        <v>7</v>
      </c>
      <c r="M50" s="99">
        <f t="shared" si="3"/>
        <v>120.61302681992339</v>
      </c>
      <c r="N50" s="99">
        <f t="shared" si="7"/>
        <v>58.666666666666664</v>
      </c>
      <c r="O50" s="99">
        <f t="shared" si="1"/>
        <v>114.86880466472304</v>
      </c>
      <c r="P50" s="139" t="s">
        <v>7</v>
      </c>
      <c r="Q50" s="99">
        <f t="shared" si="5"/>
        <v>109.10798122065725</v>
      </c>
      <c r="R50" s="99">
        <f t="shared" si="2"/>
        <v>86.291946308724832</v>
      </c>
    </row>
    <row r="51" spans="1:19">
      <c r="A51" s="90">
        <v>1998</v>
      </c>
      <c r="B51" s="120"/>
      <c r="C51" s="136" t="s">
        <v>7</v>
      </c>
      <c r="D51" s="98">
        <v>155.6</v>
      </c>
      <c r="E51" s="98">
        <v>7.69</v>
      </c>
      <c r="F51" s="98">
        <v>45.7</v>
      </c>
      <c r="G51" s="98">
        <v>39.700000000000003</v>
      </c>
      <c r="H51" s="98">
        <v>10.37</v>
      </c>
      <c r="I51" s="98">
        <v>28.061</v>
      </c>
      <c r="J51" s="66">
        <f t="shared" si="6"/>
        <v>287.12099999999998</v>
      </c>
      <c r="K51" s="142"/>
      <c r="L51" s="139" t="s">
        <v>7</v>
      </c>
      <c r="M51" s="99">
        <f t="shared" si="3"/>
        <v>119.23371647509578</v>
      </c>
      <c r="N51" s="99">
        <f t="shared" si="7"/>
        <v>64.083333333333343</v>
      </c>
      <c r="O51" s="99">
        <f t="shared" si="1"/>
        <v>133.23615160349854</v>
      </c>
      <c r="P51" s="139" t="s">
        <v>7</v>
      </c>
      <c r="Q51" s="99">
        <f t="shared" si="5"/>
        <v>97.37089201877933</v>
      </c>
      <c r="R51" s="99">
        <f t="shared" si="2"/>
        <v>94.164429530201346</v>
      </c>
      <c r="S51" s="143"/>
    </row>
    <row r="52" spans="1:19" ht="18">
      <c r="A52" s="144" t="s">
        <v>268</v>
      </c>
      <c r="B52" s="120"/>
      <c r="C52" s="136" t="s">
        <v>7</v>
      </c>
      <c r="D52" s="98">
        <v>155.80000000000001</v>
      </c>
      <c r="E52" s="98">
        <v>8.24</v>
      </c>
      <c r="F52" s="97">
        <v>41.3</v>
      </c>
      <c r="G52" s="97">
        <v>35.299999999999997</v>
      </c>
      <c r="H52" s="98">
        <v>9.4700000000000006</v>
      </c>
      <c r="I52" s="98">
        <v>28.024999999999999</v>
      </c>
      <c r="J52" s="66">
        <f t="shared" si="6"/>
        <v>278.13500000000005</v>
      </c>
      <c r="K52" s="142"/>
      <c r="L52" s="139" t="s">
        <v>7</v>
      </c>
      <c r="M52" s="99">
        <f t="shared" si="3"/>
        <v>119.38697318007662</v>
      </c>
      <c r="N52" s="99">
        <f t="shared" si="7"/>
        <v>68.666666666666671</v>
      </c>
      <c r="O52" s="92">
        <f t="shared" si="1"/>
        <v>120.40816326530613</v>
      </c>
      <c r="P52" s="139" t="s">
        <v>7</v>
      </c>
      <c r="Q52" s="99">
        <f t="shared" si="5"/>
        <v>88.920187793427232</v>
      </c>
      <c r="R52" s="99">
        <f t="shared" si="2"/>
        <v>94.043624161073808</v>
      </c>
    </row>
    <row r="53" spans="1:19">
      <c r="A53" s="103">
        <v>2000</v>
      </c>
      <c r="B53" s="120"/>
      <c r="C53" s="293">
        <v>7.9061365999999994E-2</v>
      </c>
      <c r="D53" s="98">
        <v>158.5</v>
      </c>
      <c r="E53" s="98">
        <v>8.25</v>
      </c>
      <c r="F53" s="98">
        <v>30.91</v>
      </c>
      <c r="G53" s="98">
        <v>24.68</v>
      </c>
      <c r="H53" s="98">
        <v>12.24</v>
      </c>
      <c r="I53" s="98">
        <v>28.149000000000001</v>
      </c>
      <c r="J53" s="66">
        <f t="shared" si="6"/>
        <v>262.808061366</v>
      </c>
      <c r="K53" s="142"/>
      <c r="L53" s="139" t="s">
        <v>7</v>
      </c>
      <c r="M53" s="99">
        <f t="shared" si="3"/>
        <v>121.455938697318</v>
      </c>
      <c r="N53" s="99">
        <f t="shared" si="7"/>
        <v>68.75</v>
      </c>
      <c r="O53" s="99">
        <f t="shared" si="1"/>
        <v>90.116618075801753</v>
      </c>
      <c r="P53" s="139" t="s">
        <v>7</v>
      </c>
      <c r="Q53" s="99">
        <f t="shared" si="5"/>
        <v>114.92957746478874</v>
      </c>
      <c r="R53" s="99">
        <f t="shared" si="2"/>
        <v>94.459731543624159</v>
      </c>
    </row>
    <row r="54" spans="1:19">
      <c r="A54" s="103">
        <v>2001</v>
      </c>
      <c r="B54" s="120"/>
      <c r="C54" s="293">
        <v>7.7057126000000004E-2</v>
      </c>
      <c r="D54" s="98">
        <v>150.80000000000001</v>
      </c>
      <c r="E54" s="98">
        <v>9.5701609999999988</v>
      </c>
      <c r="F54" s="98">
        <v>27.37</v>
      </c>
      <c r="G54" s="98">
        <v>20.6</v>
      </c>
      <c r="H54" s="98">
        <v>11.41</v>
      </c>
      <c r="I54" s="98">
        <v>28.132000000000001</v>
      </c>
      <c r="J54" s="66">
        <f t="shared" si="6"/>
        <v>247.959218126</v>
      </c>
      <c r="K54" s="142"/>
      <c r="L54" s="139" t="s">
        <v>7</v>
      </c>
      <c r="M54" s="99">
        <f t="shared" si="3"/>
        <v>115.55555555555557</v>
      </c>
      <c r="N54" s="99">
        <f t="shared" si="7"/>
        <v>79.751341666666647</v>
      </c>
      <c r="O54" s="99">
        <f t="shared" si="1"/>
        <v>79.795918367346957</v>
      </c>
      <c r="P54" s="139" t="s">
        <v>7</v>
      </c>
      <c r="Q54" s="99">
        <f t="shared" si="5"/>
        <v>107.13615023474179</v>
      </c>
      <c r="R54" s="99">
        <f t="shared" si="2"/>
        <v>94.402684563758385</v>
      </c>
    </row>
    <row r="55" spans="1:19">
      <c r="A55" s="103">
        <v>2002</v>
      </c>
      <c r="B55" s="120"/>
      <c r="C55" s="293">
        <v>7.7011809000000014E-2</v>
      </c>
      <c r="D55" s="98">
        <v>154.4</v>
      </c>
      <c r="E55" s="98">
        <v>9.1199959999999987</v>
      </c>
      <c r="F55" s="98">
        <v>24.52</v>
      </c>
      <c r="G55" s="98">
        <v>19.2</v>
      </c>
      <c r="H55" s="98">
        <v>10.01</v>
      </c>
      <c r="I55" s="98">
        <v>28.042000000000002</v>
      </c>
      <c r="J55" s="66">
        <f t="shared" si="6"/>
        <v>245.36900780899998</v>
      </c>
      <c r="K55" s="142"/>
      <c r="L55" s="139" t="s">
        <v>7</v>
      </c>
      <c r="M55" s="99">
        <f t="shared" si="3"/>
        <v>118.31417624521072</v>
      </c>
      <c r="N55" s="99">
        <f t="shared" si="7"/>
        <v>75.999966666666651</v>
      </c>
      <c r="O55" s="99">
        <f t="shared" si="1"/>
        <v>71.486880466472314</v>
      </c>
      <c r="P55" s="139" t="s">
        <v>7</v>
      </c>
      <c r="Q55" s="99">
        <f t="shared" si="5"/>
        <v>93.990610328638496</v>
      </c>
      <c r="R55" s="99">
        <f t="shared" si="2"/>
        <v>94.100671140939596</v>
      </c>
    </row>
    <row r="56" spans="1:19" ht="18">
      <c r="A56" s="144" t="s">
        <v>269</v>
      </c>
      <c r="B56" s="120"/>
      <c r="C56" s="293">
        <v>8.0788288E-2</v>
      </c>
      <c r="D56" s="97">
        <v>153.4</v>
      </c>
      <c r="E56" s="98">
        <v>8.3285319999999992</v>
      </c>
      <c r="F56" s="98">
        <v>24.38</v>
      </c>
      <c r="G56" s="98">
        <v>19.510000000000002</v>
      </c>
      <c r="H56" s="98">
        <v>10.06</v>
      </c>
      <c r="I56" s="98">
        <v>27.701000000000001</v>
      </c>
      <c r="J56" s="66">
        <f t="shared" si="6"/>
        <v>243.46032028799999</v>
      </c>
      <c r="K56" s="142"/>
      <c r="L56" s="99" t="s">
        <v>7</v>
      </c>
      <c r="M56" s="92">
        <f t="shared" si="3"/>
        <v>117.54789272030652</v>
      </c>
      <c r="N56" s="99">
        <f t="shared" si="7"/>
        <v>69.40443333333333</v>
      </c>
      <c r="O56" s="99">
        <f t="shared" si="1"/>
        <v>71.078717201166185</v>
      </c>
      <c r="P56" s="99" t="s">
        <v>7</v>
      </c>
      <c r="Q56" s="99">
        <f t="shared" si="5"/>
        <v>94.460093896713616</v>
      </c>
      <c r="R56" s="99">
        <f t="shared" si="2"/>
        <v>92.956375838926178</v>
      </c>
    </row>
    <row r="57" spans="1:19">
      <c r="A57" s="103">
        <v>2004</v>
      </c>
      <c r="B57" s="120"/>
      <c r="C57" s="293">
        <v>8.0956406999999994E-2</v>
      </c>
      <c r="D57" s="98">
        <v>173.7</v>
      </c>
      <c r="E57" s="22">
        <v>11.25</v>
      </c>
      <c r="F57" s="98">
        <v>25.83</v>
      </c>
      <c r="G57" s="98">
        <v>20.49</v>
      </c>
      <c r="H57" s="98">
        <v>9.9700000000000006</v>
      </c>
      <c r="I57" s="98">
        <v>27.649038999999998</v>
      </c>
      <c r="J57" s="66">
        <f t="shared" si="6"/>
        <v>268.969995407</v>
      </c>
      <c r="K57" s="142"/>
      <c r="L57" s="99" t="s">
        <v>7</v>
      </c>
      <c r="M57" s="99">
        <f t="shared" si="3"/>
        <v>133.10344827586206</v>
      </c>
      <c r="N57" s="99">
        <f t="shared" si="7"/>
        <v>93.75</v>
      </c>
      <c r="O57" s="99">
        <f t="shared" si="1"/>
        <v>75.306122448979593</v>
      </c>
      <c r="P57" s="99" t="s">
        <v>7</v>
      </c>
      <c r="Q57" s="99">
        <f t="shared" si="5"/>
        <v>93.6150234741784</v>
      </c>
      <c r="R57" s="99">
        <f t="shared" si="2"/>
        <v>92.782010067114086</v>
      </c>
    </row>
    <row r="58" spans="1:19">
      <c r="A58" s="103">
        <v>2005</v>
      </c>
      <c r="B58" s="120"/>
      <c r="C58" s="293">
        <v>7.9417426000000013E-2</v>
      </c>
      <c r="D58" s="98">
        <v>165.6</v>
      </c>
      <c r="E58" s="98">
        <v>14.31</v>
      </c>
      <c r="F58" s="98">
        <v>31.4</v>
      </c>
      <c r="G58" s="98">
        <v>25.531185557834668</v>
      </c>
      <c r="H58" s="98">
        <v>10.193762099703264</v>
      </c>
      <c r="I58" s="98">
        <v>27.6</v>
      </c>
      <c r="J58" s="66">
        <f t="shared" si="6"/>
        <v>274.71436508353793</v>
      </c>
      <c r="K58" s="142"/>
      <c r="L58" s="99" t="s">
        <v>7</v>
      </c>
      <c r="M58" s="99">
        <f t="shared" si="3"/>
        <v>126.89655172413792</v>
      </c>
      <c r="N58" s="99">
        <f t="shared" si="7"/>
        <v>119.25000000000001</v>
      </c>
      <c r="O58" s="99">
        <f t="shared" si="1"/>
        <v>91.545189504373184</v>
      </c>
      <c r="P58" s="99" t="s">
        <v>7</v>
      </c>
      <c r="Q58" s="99">
        <f t="shared" si="5"/>
        <v>95.716076053551774</v>
      </c>
      <c r="R58" s="99">
        <f t="shared" si="2"/>
        <v>92.617449664429529</v>
      </c>
    </row>
    <row r="59" spans="1:19" ht="18">
      <c r="A59" s="103" t="s">
        <v>373</v>
      </c>
      <c r="B59" s="120"/>
      <c r="C59" s="293">
        <v>8.3259813000000016E-2</v>
      </c>
      <c r="D59" s="98">
        <v>170.03526122401001</v>
      </c>
      <c r="E59" s="98">
        <v>12.96</v>
      </c>
      <c r="F59" s="98">
        <v>25.71</v>
      </c>
      <c r="G59" s="98">
        <v>20.58</v>
      </c>
      <c r="H59" s="98">
        <v>10.16</v>
      </c>
      <c r="I59" s="98">
        <v>27.8</v>
      </c>
      <c r="J59" s="66">
        <f t="shared" si="6"/>
        <v>267.32852103701003</v>
      </c>
      <c r="K59" s="142"/>
      <c r="L59" s="99" t="s">
        <v>7</v>
      </c>
      <c r="M59" s="99">
        <f t="shared" si="3"/>
        <v>130.29521932874331</v>
      </c>
      <c r="N59" s="99">
        <f t="shared" si="7"/>
        <v>108</v>
      </c>
      <c r="O59" s="99">
        <f t="shared" si="1"/>
        <v>74.956268221574348</v>
      </c>
      <c r="P59" s="99" t="s">
        <v>7</v>
      </c>
      <c r="Q59" s="99">
        <f t="shared" si="5"/>
        <v>95.399061032863855</v>
      </c>
      <c r="R59" s="99">
        <f t="shared" si="2"/>
        <v>93.288590604026851</v>
      </c>
    </row>
    <row r="60" spans="1:19" ht="18">
      <c r="A60" s="103" t="s">
        <v>374</v>
      </c>
      <c r="B60" s="120"/>
      <c r="C60" s="293">
        <v>6.6102627999999997E-2</v>
      </c>
      <c r="D60" s="98">
        <v>176.82849159656521</v>
      </c>
      <c r="E60" s="98">
        <v>11.35</v>
      </c>
      <c r="F60" s="98">
        <v>27.45</v>
      </c>
      <c r="G60" s="98">
        <v>22.79</v>
      </c>
      <c r="H60" s="98">
        <v>10.5</v>
      </c>
      <c r="I60" s="98">
        <v>27.5</v>
      </c>
      <c r="J60" s="66">
        <f t="shared" si="6"/>
        <v>276.48459422456517</v>
      </c>
      <c r="K60" s="142"/>
      <c r="L60" s="99" t="s">
        <v>7</v>
      </c>
      <c r="M60" s="99">
        <f t="shared" si="3"/>
        <v>135.50075984411129</v>
      </c>
      <c r="N60" s="99">
        <f t="shared" si="7"/>
        <v>94.583333333333329</v>
      </c>
      <c r="O60" s="99">
        <f t="shared" si="1"/>
        <v>80.029154518950435</v>
      </c>
      <c r="P60" s="99" t="s">
        <v>7</v>
      </c>
      <c r="Q60" s="99">
        <f t="shared" si="5"/>
        <v>98.591549295774655</v>
      </c>
      <c r="R60" s="99">
        <f t="shared" si="2"/>
        <v>92.281879194630861</v>
      </c>
    </row>
    <row r="61" spans="1:19" ht="18">
      <c r="A61" s="103" t="s">
        <v>375</v>
      </c>
      <c r="B61" s="120"/>
      <c r="C61" s="293">
        <v>5.0227903999999997E-2</v>
      </c>
      <c r="D61" s="98">
        <v>157.03148290364607</v>
      </c>
      <c r="E61" s="98">
        <v>10.36</v>
      </c>
      <c r="F61" s="98">
        <v>28.34</v>
      </c>
      <c r="G61" s="98">
        <v>23.28</v>
      </c>
      <c r="H61" s="98">
        <v>12.19</v>
      </c>
      <c r="I61" s="98">
        <v>27.6</v>
      </c>
      <c r="J61" s="66">
        <f t="shared" si="6"/>
        <v>258.8517108076461</v>
      </c>
      <c r="K61" s="142"/>
      <c r="L61" s="99" t="s">
        <v>7</v>
      </c>
      <c r="M61" s="99">
        <f t="shared" si="3"/>
        <v>120.3306382403418</v>
      </c>
      <c r="N61" s="99">
        <f t="shared" si="7"/>
        <v>86.333333333333329</v>
      </c>
      <c r="O61" s="99">
        <f t="shared" si="1"/>
        <v>82.623906705539369</v>
      </c>
      <c r="P61" s="99" t="s">
        <v>7</v>
      </c>
      <c r="Q61" s="99">
        <f t="shared" si="5"/>
        <v>114.46009389671362</v>
      </c>
      <c r="R61" s="99">
        <f t="shared" si="2"/>
        <v>92.617449664429529</v>
      </c>
    </row>
    <row r="62" spans="1:19" ht="18">
      <c r="A62" s="103" t="s">
        <v>376</v>
      </c>
      <c r="B62" s="120"/>
      <c r="C62" s="293">
        <v>5.0886006999999997E-2</v>
      </c>
      <c r="D62" s="98">
        <v>131.92345982339137</v>
      </c>
      <c r="E62" s="98">
        <v>9.69</v>
      </c>
      <c r="F62" s="98">
        <v>24.7</v>
      </c>
      <c r="G62" s="98">
        <v>19.84</v>
      </c>
      <c r="H62" s="98">
        <v>10.1</v>
      </c>
      <c r="I62" s="98">
        <v>27.6</v>
      </c>
      <c r="J62" s="66">
        <f t="shared" si="6"/>
        <v>223.90434583039135</v>
      </c>
      <c r="K62" s="142"/>
      <c r="L62" s="99" t="s">
        <v>7</v>
      </c>
      <c r="M62" s="99">
        <f t="shared" si="3"/>
        <v>101.09077381102787</v>
      </c>
      <c r="N62" s="99">
        <f t="shared" si="7"/>
        <v>80.75</v>
      </c>
      <c r="O62" s="99">
        <f t="shared" si="1"/>
        <v>72.011661807580168</v>
      </c>
      <c r="P62" s="99" t="s">
        <v>7</v>
      </c>
      <c r="Q62" s="99">
        <f t="shared" si="5"/>
        <v>94.835680751173697</v>
      </c>
      <c r="R62" s="99">
        <f t="shared" si="2"/>
        <v>92.617449664429529</v>
      </c>
    </row>
    <row r="63" spans="1:19">
      <c r="A63" s="103">
        <v>2010</v>
      </c>
      <c r="B63" s="120"/>
      <c r="C63" s="293">
        <v>4.7531759999999992E-2</v>
      </c>
      <c r="D63" s="98">
        <v>131.93396436893246</v>
      </c>
      <c r="E63" s="98">
        <v>8.33</v>
      </c>
      <c r="F63" s="98">
        <v>23.85</v>
      </c>
      <c r="G63" s="98">
        <v>17.95</v>
      </c>
      <c r="H63" s="98">
        <v>10.89</v>
      </c>
      <c r="I63" s="98">
        <v>27.6</v>
      </c>
      <c r="J63" s="66">
        <f t="shared" si="6"/>
        <v>220.60149612893244</v>
      </c>
      <c r="K63" s="142"/>
      <c r="L63" s="99" t="s">
        <v>7</v>
      </c>
      <c r="M63" s="99">
        <f t="shared" si="3"/>
        <v>101.09882327121262</v>
      </c>
      <c r="N63" s="99">
        <f t="shared" si="7"/>
        <v>69.416666666666671</v>
      </c>
      <c r="O63" s="99">
        <f t="shared" si="1"/>
        <v>69.533527696793016</v>
      </c>
      <c r="P63" s="99" t="s">
        <v>7</v>
      </c>
      <c r="Q63" s="99">
        <f t="shared" si="5"/>
        <v>102.25352112676056</v>
      </c>
      <c r="R63" s="99">
        <f t="shared" si="2"/>
        <v>92.617449664429529</v>
      </c>
    </row>
    <row r="64" spans="1:19">
      <c r="A64" s="103">
        <v>2011</v>
      </c>
      <c r="B64" s="120"/>
      <c r="C64" s="293">
        <v>4.5161970000000003E-2</v>
      </c>
      <c r="D64" s="98">
        <v>144.19999999999999</v>
      </c>
      <c r="E64" s="286">
        <v>9.8699999999999992</v>
      </c>
      <c r="F64" s="98">
        <v>22.61</v>
      </c>
      <c r="G64" s="98">
        <v>16.329999999999998</v>
      </c>
      <c r="H64" s="98">
        <v>10.7</v>
      </c>
      <c r="I64" s="98">
        <v>27.8</v>
      </c>
      <c r="J64" s="66">
        <f t="shared" si="6"/>
        <v>231.55516196999997</v>
      </c>
      <c r="K64" s="142"/>
      <c r="L64" s="99" t="s">
        <v>7</v>
      </c>
      <c r="M64" s="99">
        <f t="shared" si="3"/>
        <v>110.49808429118772</v>
      </c>
      <c r="N64" s="302">
        <f t="shared" si="7"/>
        <v>82.249999999999986</v>
      </c>
      <c r="O64" s="99">
        <f t="shared" si="1"/>
        <v>65.91836734693878</v>
      </c>
      <c r="P64" s="99" t="s">
        <v>7</v>
      </c>
      <c r="Q64" s="99">
        <f t="shared" si="5"/>
        <v>100.46948356807511</v>
      </c>
      <c r="R64" s="99">
        <f>I64/I$38*100</f>
        <v>93.288590604026851</v>
      </c>
    </row>
    <row r="65" spans="1:19">
      <c r="A65" s="103">
        <v>2012</v>
      </c>
      <c r="B65" s="120"/>
      <c r="C65" s="293">
        <v>5.2200419999999997E-2</v>
      </c>
      <c r="D65" s="98">
        <v>150.6</v>
      </c>
      <c r="E65" s="98">
        <v>8.43</v>
      </c>
      <c r="F65" s="98">
        <v>11.3</v>
      </c>
      <c r="G65" s="98">
        <v>12.54</v>
      </c>
      <c r="H65" s="98">
        <v>10.79</v>
      </c>
      <c r="I65" s="98">
        <v>28.2</v>
      </c>
      <c r="J65" s="66">
        <f t="shared" si="6"/>
        <v>221.91220041999998</v>
      </c>
      <c r="K65" s="142"/>
      <c r="L65" s="99" t="s">
        <v>7</v>
      </c>
      <c r="M65" s="99">
        <f t="shared" si="3"/>
        <v>115.40229885057471</v>
      </c>
      <c r="N65" s="302">
        <f t="shared" si="7"/>
        <v>70.25</v>
      </c>
      <c r="O65" s="99">
        <f t="shared" si="1"/>
        <v>32.94460641399418</v>
      </c>
      <c r="P65" s="99" t="s">
        <v>7</v>
      </c>
      <c r="Q65" s="99">
        <f t="shared" si="5"/>
        <v>101.31455399061031</v>
      </c>
      <c r="R65" s="302">
        <f>I65/I$38*100</f>
        <v>94.630872483221466</v>
      </c>
      <c r="S65" s="114"/>
    </row>
    <row r="66" spans="1:19">
      <c r="A66" s="103">
        <v>2013</v>
      </c>
      <c r="B66" s="120"/>
      <c r="C66" s="293">
        <v>5.4224873E-2</v>
      </c>
      <c r="D66" s="98">
        <v>135.80000000000001</v>
      </c>
      <c r="E66" s="98" t="s">
        <v>7</v>
      </c>
      <c r="F66" s="286">
        <v>16.600000000000001</v>
      </c>
      <c r="G66" s="286">
        <v>11.39</v>
      </c>
      <c r="H66" s="286">
        <v>10.69</v>
      </c>
      <c r="I66" s="286" t="s">
        <v>7</v>
      </c>
      <c r="J66" s="66" t="s">
        <v>7</v>
      </c>
      <c r="K66" s="142"/>
      <c r="L66" s="99" t="s">
        <v>7</v>
      </c>
      <c r="M66" s="99">
        <f t="shared" si="3"/>
        <v>104.06130268199234</v>
      </c>
      <c r="N66" s="99" t="s">
        <v>7</v>
      </c>
      <c r="O66" s="99">
        <f>F66/F$38*100</f>
        <v>48.396501457725954</v>
      </c>
      <c r="P66" s="99" t="s">
        <v>7</v>
      </c>
      <c r="Q66" s="99">
        <f t="shared" si="5"/>
        <v>100.37558685446008</v>
      </c>
      <c r="R66" s="99" t="s">
        <v>7</v>
      </c>
    </row>
    <row r="67" spans="1:19" ht="15.75" thickBot="1">
      <c r="A67" s="271">
        <v>2014</v>
      </c>
      <c r="B67" s="272"/>
      <c r="C67" s="294">
        <v>5.9878000000000001E-2</v>
      </c>
      <c r="D67" s="699">
        <v>137.6</v>
      </c>
      <c r="E67" s="273" t="s">
        <v>7</v>
      </c>
      <c r="F67" s="699">
        <v>17.100000000000001</v>
      </c>
      <c r="G67" s="699">
        <v>11.81</v>
      </c>
      <c r="H67" s="699">
        <v>9.41</v>
      </c>
      <c r="I67" s="273" t="s">
        <v>7</v>
      </c>
      <c r="J67" s="688" t="s">
        <v>7</v>
      </c>
      <c r="K67" s="345"/>
      <c r="L67" s="274" t="s">
        <v>7</v>
      </c>
      <c r="M67" s="274">
        <f t="shared" si="3"/>
        <v>105.44061302681993</v>
      </c>
      <c r="N67" s="301" t="s">
        <v>7</v>
      </c>
      <c r="O67" s="274">
        <f>F67/F$38*100</f>
        <v>49.854227405247819</v>
      </c>
      <c r="P67" s="274" t="s">
        <v>7</v>
      </c>
      <c r="Q67" s="274">
        <f t="shared" si="5"/>
        <v>88.356807511737088</v>
      </c>
      <c r="R67" s="301" t="s">
        <v>7</v>
      </c>
    </row>
    <row r="69" spans="1:19" s="29" customFormat="1" ht="12.75">
      <c r="A69" s="29" t="s">
        <v>190</v>
      </c>
    </row>
    <row r="70" spans="1:19" s="29" customFormat="1" ht="12.75">
      <c r="A70" s="29" t="s">
        <v>191</v>
      </c>
    </row>
    <row r="71" spans="1:19" s="29" customFormat="1" ht="12.75">
      <c r="D71" s="29" t="s">
        <v>270</v>
      </c>
    </row>
    <row r="72" spans="1:19" s="29" customFormat="1" ht="12.75">
      <c r="D72" s="29" t="s">
        <v>192</v>
      </c>
      <c r="R72" s="285"/>
    </row>
    <row r="73" spans="1:19" s="29" customFormat="1" ht="12.75">
      <c r="A73" s="29" t="s">
        <v>193</v>
      </c>
    </row>
    <row r="74" spans="1:19" s="29" customFormat="1" ht="12.75">
      <c r="A74" s="29" t="s">
        <v>194</v>
      </c>
    </row>
    <row r="75" spans="1:19" s="29" customFormat="1" ht="12.75">
      <c r="A75" s="29" t="s">
        <v>195</v>
      </c>
    </row>
    <row r="76" spans="1:19" s="29" customFormat="1" ht="12.75">
      <c r="A76" s="145" t="s">
        <v>196</v>
      </c>
    </row>
    <row r="77" spans="1:19" s="29" customFormat="1" ht="12.75">
      <c r="A77" s="146" t="s">
        <v>197</v>
      </c>
    </row>
    <row r="78" spans="1:19" s="29" customFormat="1" ht="14.25" hidden="1">
      <c r="A78" s="16" t="s">
        <v>271</v>
      </c>
    </row>
    <row r="79" spans="1:19" s="29" customFormat="1" ht="12.75" customHeight="1">
      <c r="A79" s="29" t="s">
        <v>198</v>
      </c>
    </row>
    <row r="80" spans="1:19" s="29" customFormat="1" ht="12.75" customHeight="1">
      <c r="A80" s="300" t="s">
        <v>397</v>
      </c>
      <c r="B80" s="300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300"/>
      <c r="O80" s="300"/>
      <c r="P80" s="300"/>
    </row>
    <row r="81" spans="1:1" s="29" customFormat="1" ht="14.25" customHeight="1">
      <c r="A81" s="29" t="s">
        <v>199</v>
      </c>
    </row>
    <row r="82" spans="1:1" s="29" customFormat="1" ht="12.75">
      <c r="A82" s="29" t="s">
        <v>200</v>
      </c>
    </row>
    <row r="83" spans="1:1" s="29" customFormat="1" ht="12.75">
      <c r="A83" s="270" t="s">
        <v>377</v>
      </c>
    </row>
    <row r="84" spans="1:1" ht="36.75" customHeight="1"/>
    <row r="85" spans="1:1" ht="13.5" customHeight="1"/>
  </sheetData>
  <phoneticPr fontId="3" type="noConversion"/>
  <pageMargins left="0.74803149606299213" right="0.74803149606299213" top="0.78740157480314965" bottom="0.79" header="0.51181102362204722" footer="0.51181102362204722"/>
  <pageSetup paperSize="9" scale="60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85"/>
  <sheetViews>
    <sheetView topLeftCell="A4" zoomScale="75" zoomScaleNormal="75" workbookViewId="0">
      <pane ySplit="9" topLeftCell="A31" activePane="bottomLeft" state="frozen"/>
      <selection pane="bottomLeft" activeCell="E69" sqref="E69"/>
    </sheetView>
  </sheetViews>
  <sheetFormatPr defaultColWidth="11.42578125" defaultRowHeight="15"/>
  <cols>
    <col min="1" max="1" width="8.85546875" style="9" customWidth="1"/>
    <col min="2" max="2" width="6.140625" style="9" customWidth="1"/>
    <col min="3" max="7" width="20.7109375" style="9" customWidth="1"/>
    <col min="8" max="8" width="13.28515625" style="9" customWidth="1"/>
    <col min="9" max="13" width="8.7109375" style="9" hidden="1" customWidth="1"/>
    <col min="14" max="14" width="31.5703125" style="9" customWidth="1"/>
    <col min="15" max="15" width="13.28515625" style="9" customWidth="1"/>
    <col min="16" max="16384" width="11.42578125" style="9"/>
  </cols>
  <sheetData>
    <row r="1" spans="1:13" ht="18" hidden="1">
      <c r="A1" s="147" t="s">
        <v>201</v>
      </c>
    </row>
    <row r="2" spans="1:13" ht="18" hidden="1">
      <c r="A2" s="147"/>
      <c r="F2" s="148"/>
    </row>
    <row r="3" spans="1:13" ht="18" hidden="1">
      <c r="A3" s="147"/>
    </row>
    <row r="4" spans="1:13" s="2" customFormat="1" ht="20.25">
      <c r="A4" s="81" t="s">
        <v>265</v>
      </c>
      <c r="G4" s="649" t="s">
        <v>628</v>
      </c>
    </row>
    <row r="5" spans="1:13" ht="18">
      <c r="A5" s="112"/>
    </row>
    <row r="6" spans="1:13" ht="18.75">
      <c r="A6" s="112"/>
      <c r="B6" s="42" t="s">
        <v>202</v>
      </c>
      <c r="C6" s="113"/>
      <c r="D6" s="113"/>
      <c r="E6" s="113"/>
    </row>
    <row r="7" spans="1:13" ht="18">
      <c r="A7" s="112"/>
    </row>
    <row r="8" spans="1:13" ht="15.75" thickBot="1">
      <c r="A8" s="114"/>
      <c r="B8" s="114"/>
      <c r="C8" s="114"/>
      <c r="D8" s="114"/>
      <c r="E8" s="114"/>
      <c r="F8" s="114"/>
      <c r="G8" s="114"/>
      <c r="H8" s="114"/>
      <c r="I8" s="149"/>
      <c r="J8" s="149"/>
      <c r="K8" s="149"/>
      <c r="L8" s="149"/>
      <c r="M8" s="149"/>
    </row>
    <row r="9" spans="1:13">
      <c r="A9" s="115" t="s">
        <v>266</v>
      </c>
      <c r="B9" s="116"/>
      <c r="C9" s="117" t="s">
        <v>110</v>
      </c>
      <c r="D9" s="378" t="s">
        <v>464</v>
      </c>
      <c r="E9" s="117" t="s">
        <v>203</v>
      </c>
      <c r="F9" s="117" t="s">
        <v>180</v>
      </c>
      <c r="G9" s="117" t="s">
        <v>272</v>
      </c>
      <c r="H9" s="124"/>
      <c r="I9" s="150" t="s">
        <v>110</v>
      </c>
      <c r="J9" s="150" t="s">
        <v>102</v>
      </c>
      <c r="K9" s="150" t="s">
        <v>179</v>
      </c>
      <c r="L9" s="150" t="s">
        <v>180</v>
      </c>
      <c r="M9" s="151" t="s">
        <v>204</v>
      </c>
    </row>
    <row r="10" spans="1:13">
      <c r="A10" s="120"/>
      <c r="B10" s="120"/>
      <c r="C10" s="121"/>
      <c r="D10" s="121"/>
      <c r="E10" s="122" t="s">
        <v>205</v>
      </c>
      <c r="F10" s="122" t="s">
        <v>206</v>
      </c>
      <c r="G10" s="121"/>
      <c r="H10" s="124"/>
      <c r="I10" s="151"/>
      <c r="J10" s="151"/>
      <c r="K10" s="122" t="s">
        <v>182</v>
      </c>
      <c r="L10" s="122" t="s">
        <v>183</v>
      </c>
      <c r="M10" s="151"/>
    </row>
    <row r="11" spans="1:13">
      <c r="A11" s="120"/>
      <c r="B11" s="120"/>
      <c r="C11" s="125" t="s">
        <v>186</v>
      </c>
      <c r="D11" s="125" t="s">
        <v>186</v>
      </c>
      <c r="E11" s="125" t="s">
        <v>186</v>
      </c>
      <c r="F11" s="125" t="s">
        <v>186</v>
      </c>
      <c r="G11" s="125" t="s">
        <v>187</v>
      </c>
      <c r="H11" s="124"/>
      <c r="I11" s="152" t="s">
        <v>186</v>
      </c>
      <c r="J11" s="152" t="s">
        <v>186</v>
      </c>
      <c r="K11" s="152" t="s">
        <v>186</v>
      </c>
      <c r="L11" s="152" t="s">
        <v>186</v>
      </c>
      <c r="M11" s="125" t="s">
        <v>187</v>
      </c>
    </row>
    <row r="12" spans="1:13" ht="15.75" thickBot="1">
      <c r="A12" s="127"/>
      <c r="B12" s="127"/>
      <c r="C12" s="128" t="s">
        <v>123</v>
      </c>
      <c r="D12" s="128" t="s">
        <v>123</v>
      </c>
      <c r="E12" s="128" t="s">
        <v>123</v>
      </c>
      <c r="F12" s="128" t="s">
        <v>123</v>
      </c>
      <c r="G12" s="128" t="s">
        <v>188</v>
      </c>
      <c r="H12" s="124"/>
      <c r="I12" s="153" t="s">
        <v>123</v>
      </c>
      <c r="J12" s="153" t="s">
        <v>123</v>
      </c>
      <c r="K12" s="153" t="s">
        <v>123</v>
      </c>
      <c r="L12" s="153" t="s">
        <v>123</v>
      </c>
      <c r="M12" s="153" t="s">
        <v>188</v>
      </c>
    </row>
    <row r="13" spans="1:13">
      <c r="A13" s="120"/>
      <c r="B13" s="120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</row>
    <row r="14" spans="1:13">
      <c r="C14" s="23"/>
      <c r="D14" s="23"/>
      <c r="E14" s="23"/>
      <c r="F14" s="23"/>
      <c r="G14" s="133" t="s">
        <v>207</v>
      </c>
      <c r="H14" s="23"/>
      <c r="I14" s="23"/>
      <c r="J14" s="23"/>
      <c r="K14" s="23"/>
      <c r="L14" s="133"/>
      <c r="M14" s="133" t="s">
        <v>189</v>
      </c>
    </row>
    <row r="15" spans="1:13">
      <c r="A15" s="90">
        <v>1960</v>
      </c>
      <c r="B15" s="134"/>
      <c r="C15" s="23" t="s">
        <v>7</v>
      </c>
      <c r="D15" s="136" t="s">
        <v>7</v>
      </c>
      <c r="E15" s="135"/>
      <c r="F15" s="135" t="s">
        <v>7</v>
      </c>
      <c r="G15" s="135" t="s">
        <v>7</v>
      </c>
      <c r="H15" s="23"/>
      <c r="I15" s="23" t="s">
        <v>7</v>
      </c>
      <c r="J15" s="64"/>
      <c r="K15" s="23"/>
      <c r="L15" s="23" t="s">
        <v>7</v>
      </c>
      <c r="M15" s="23" t="s">
        <v>7</v>
      </c>
    </row>
    <row r="16" spans="1:13">
      <c r="A16" s="90">
        <v>1961</v>
      </c>
      <c r="B16" s="134"/>
      <c r="C16" s="23" t="s">
        <v>7</v>
      </c>
      <c r="D16" s="136" t="s">
        <v>7</v>
      </c>
      <c r="E16" s="135"/>
      <c r="F16" s="135" t="s">
        <v>7</v>
      </c>
      <c r="G16" s="135" t="s">
        <v>7</v>
      </c>
      <c r="H16" s="23"/>
      <c r="I16" s="23" t="s">
        <v>7</v>
      </c>
      <c r="J16" s="64"/>
      <c r="K16" s="23"/>
      <c r="L16" s="23" t="s">
        <v>7</v>
      </c>
      <c r="M16" s="23" t="s">
        <v>7</v>
      </c>
    </row>
    <row r="17" spans="1:13">
      <c r="A17" s="90">
        <v>1962</v>
      </c>
      <c r="B17" s="134"/>
      <c r="C17" s="23" t="s">
        <v>7</v>
      </c>
      <c r="D17" s="136" t="s">
        <v>7</v>
      </c>
      <c r="E17" s="135"/>
      <c r="F17" s="135" t="s">
        <v>7</v>
      </c>
      <c r="G17" s="135" t="s">
        <v>7</v>
      </c>
      <c r="H17" s="23"/>
      <c r="I17" s="23" t="s">
        <v>7</v>
      </c>
      <c r="J17" s="64"/>
      <c r="K17" s="23"/>
      <c r="L17" s="23" t="s">
        <v>7</v>
      </c>
      <c r="M17" s="23" t="s">
        <v>7</v>
      </c>
    </row>
    <row r="18" spans="1:13">
      <c r="A18" s="90">
        <v>1963</v>
      </c>
      <c r="B18" s="134"/>
      <c r="C18" s="23" t="s">
        <v>7</v>
      </c>
      <c r="D18" s="136" t="s">
        <v>7</v>
      </c>
      <c r="E18" s="135"/>
      <c r="F18" s="135" t="s">
        <v>7</v>
      </c>
      <c r="G18" s="135" t="s">
        <v>7</v>
      </c>
      <c r="H18" s="23"/>
      <c r="I18" s="23" t="s">
        <v>7</v>
      </c>
      <c r="J18" s="64"/>
      <c r="K18" s="23"/>
      <c r="L18" s="23" t="s">
        <v>7</v>
      </c>
      <c r="M18" s="23" t="s">
        <v>7</v>
      </c>
    </row>
    <row r="19" spans="1:13">
      <c r="A19" s="90">
        <v>1964</v>
      </c>
      <c r="B19" s="134"/>
      <c r="C19" s="23" t="s">
        <v>7</v>
      </c>
      <c r="D19" s="136" t="s">
        <v>7</v>
      </c>
      <c r="E19" s="135"/>
      <c r="F19" s="135" t="s">
        <v>7</v>
      </c>
      <c r="G19" s="135" t="s">
        <v>7</v>
      </c>
      <c r="H19" s="23"/>
      <c r="I19" s="23" t="s">
        <v>7</v>
      </c>
      <c r="J19" s="64"/>
      <c r="K19" s="23"/>
      <c r="L19" s="23" t="s">
        <v>7</v>
      </c>
      <c r="M19" s="23" t="s">
        <v>7</v>
      </c>
    </row>
    <row r="20" spans="1:13">
      <c r="A20" s="90">
        <v>1965</v>
      </c>
      <c r="B20" s="134"/>
      <c r="C20" s="23" t="s">
        <v>7</v>
      </c>
      <c r="D20" s="136" t="s">
        <v>7</v>
      </c>
      <c r="E20" s="135"/>
      <c r="F20" s="135" t="s">
        <v>7</v>
      </c>
      <c r="G20" s="135" t="s">
        <v>7</v>
      </c>
      <c r="H20" s="23"/>
      <c r="I20" s="23" t="s">
        <v>7</v>
      </c>
      <c r="J20" s="64"/>
      <c r="K20" s="23"/>
      <c r="L20" s="23" t="s">
        <v>7</v>
      </c>
      <c r="M20" s="23" t="s">
        <v>7</v>
      </c>
    </row>
    <row r="21" spans="1:13">
      <c r="A21" s="90">
        <v>1966</v>
      </c>
      <c r="B21" s="134"/>
      <c r="C21" s="23" t="s">
        <v>7</v>
      </c>
      <c r="D21" s="136" t="s">
        <v>7</v>
      </c>
      <c r="E21" s="135"/>
      <c r="F21" s="135" t="s">
        <v>7</v>
      </c>
      <c r="G21" s="135" t="s">
        <v>7</v>
      </c>
      <c r="H21" s="23"/>
      <c r="I21" s="23" t="s">
        <v>7</v>
      </c>
      <c r="J21" s="64"/>
      <c r="K21" s="23"/>
      <c r="L21" s="23" t="s">
        <v>7</v>
      </c>
      <c r="M21" s="23" t="s">
        <v>7</v>
      </c>
    </row>
    <row r="22" spans="1:13">
      <c r="A22" s="90">
        <v>1967</v>
      </c>
      <c r="B22" s="134"/>
      <c r="C22" s="23" t="s">
        <v>7</v>
      </c>
      <c r="D22" s="136" t="s">
        <v>7</v>
      </c>
      <c r="E22" s="135"/>
      <c r="F22" s="135" t="s">
        <v>7</v>
      </c>
      <c r="G22" s="135" t="s">
        <v>7</v>
      </c>
      <c r="H22" s="23"/>
      <c r="I22" s="23" t="s">
        <v>7</v>
      </c>
      <c r="J22" s="64"/>
      <c r="K22" s="23"/>
      <c r="L22" s="23" t="s">
        <v>7</v>
      </c>
      <c r="M22" s="23" t="s">
        <v>7</v>
      </c>
    </row>
    <row r="23" spans="1:13">
      <c r="A23" s="140" t="s">
        <v>208</v>
      </c>
      <c r="B23" s="134"/>
      <c r="C23" s="23" t="s">
        <v>7</v>
      </c>
      <c r="D23" s="136" t="s">
        <v>7</v>
      </c>
      <c r="E23" s="135"/>
      <c r="F23" s="135" t="s">
        <v>7</v>
      </c>
      <c r="G23" s="135" t="s">
        <v>7</v>
      </c>
      <c r="H23" s="23"/>
      <c r="I23" s="23" t="s">
        <v>7</v>
      </c>
      <c r="J23" s="64"/>
      <c r="K23" s="23"/>
      <c r="L23" s="23" t="s">
        <v>7</v>
      </c>
      <c r="M23" s="23" t="s">
        <v>7</v>
      </c>
    </row>
    <row r="24" spans="1:13">
      <c r="A24" s="90">
        <v>1969</v>
      </c>
      <c r="B24" s="134"/>
      <c r="C24" s="23" t="s">
        <v>7</v>
      </c>
      <c r="D24" s="136" t="s">
        <v>7</v>
      </c>
      <c r="E24" s="136" t="s">
        <v>7</v>
      </c>
      <c r="F24" s="135" t="s">
        <v>7</v>
      </c>
      <c r="G24" s="135" t="s">
        <v>7</v>
      </c>
      <c r="H24" s="23"/>
      <c r="I24" s="23" t="s">
        <v>7</v>
      </c>
      <c r="J24" s="64"/>
      <c r="K24" s="23"/>
      <c r="L24" s="23" t="s">
        <v>7</v>
      </c>
      <c r="M24" s="23" t="s">
        <v>7</v>
      </c>
    </row>
    <row r="25" spans="1:13">
      <c r="A25" s="90">
        <v>1970</v>
      </c>
      <c r="B25" s="134"/>
      <c r="C25" s="23" t="s">
        <v>7</v>
      </c>
      <c r="D25" s="136" t="s">
        <v>7</v>
      </c>
      <c r="E25" s="136" t="s">
        <v>7</v>
      </c>
      <c r="F25" s="135" t="s">
        <v>7</v>
      </c>
      <c r="G25" s="135" t="s">
        <v>7</v>
      </c>
      <c r="H25" s="23"/>
      <c r="I25" s="23" t="s">
        <v>7</v>
      </c>
      <c r="J25" s="64"/>
      <c r="K25" s="23"/>
      <c r="L25" s="23" t="s">
        <v>7</v>
      </c>
      <c r="M25" s="23" t="s">
        <v>7</v>
      </c>
    </row>
    <row r="26" spans="1:13">
      <c r="A26" s="90">
        <v>1971</v>
      </c>
      <c r="B26" s="134"/>
      <c r="C26" s="23" t="s">
        <v>7</v>
      </c>
      <c r="D26" s="136" t="s">
        <v>7</v>
      </c>
      <c r="E26" s="136" t="s">
        <v>7</v>
      </c>
      <c r="F26" s="135" t="s">
        <v>7</v>
      </c>
      <c r="G26" s="135" t="s">
        <v>7</v>
      </c>
      <c r="H26" s="23"/>
      <c r="I26" s="23" t="s">
        <v>7</v>
      </c>
      <c r="J26" s="64"/>
      <c r="K26" s="23"/>
      <c r="L26" s="23" t="s">
        <v>7</v>
      </c>
      <c r="M26" s="23" t="s">
        <v>7</v>
      </c>
    </row>
    <row r="27" spans="1:13">
      <c r="A27" s="90">
        <v>1972</v>
      </c>
      <c r="B27" s="134"/>
      <c r="C27" s="23" t="s">
        <v>7</v>
      </c>
      <c r="D27" s="136" t="s">
        <v>7</v>
      </c>
      <c r="E27" s="136" t="s">
        <v>7</v>
      </c>
      <c r="F27" s="135" t="s">
        <v>7</v>
      </c>
      <c r="G27" s="135" t="s">
        <v>7</v>
      </c>
      <c r="H27" s="23"/>
      <c r="I27" s="23" t="s">
        <v>7</v>
      </c>
      <c r="J27" s="64"/>
      <c r="K27" s="23"/>
      <c r="L27" s="23" t="s">
        <v>7</v>
      </c>
      <c r="M27" s="23" t="s">
        <v>7</v>
      </c>
    </row>
    <row r="28" spans="1:13">
      <c r="A28" s="90">
        <v>1973</v>
      </c>
      <c r="B28" s="134"/>
      <c r="C28" s="23" t="s">
        <v>7</v>
      </c>
      <c r="D28" s="136" t="s">
        <v>7</v>
      </c>
      <c r="E28" s="136" t="s">
        <v>7</v>
      </c>
      <c r="F28" s="135" t="s">
        <v>7</v>
      </c>
      <c r="G28" s="135" t="s">
        <v>7</v>
      </c>
      <c r="H28" s="23"/>
      <c r="I28" s="23" t="s">
        <v>7</v>
      </c>
      <c r="J28" s="64"/>
      <c r="K28" s="143"/>
      <c r="L28" s="23" t="s">
        <v>7</v>
      </c>
      <c r="M28" s="143" t="e">
        <f t="shared" ref="M28:M55" si="0">G28/G$40*100</f>
        <v>#VALUE!</v>
      </c>
    </row>
    <row r="29" spans="1:13">
      <c r="A29" s="90">
        <v>1974</v>
      </c>
      <c r="B29" s="134"/>
      <c r="C29" s="23" t="s">
        <v>7</v>
      </c>
      <c r="D29" s="136" t="s">
        <v>7</v>
      </c>
      <c r="E29" s="136" t="s">
        <v>7</v>
      </c>
      <c r="F29" s="135" t="s">
        <v>7</v>
      </c>
      <c r="G29" s="135" t="s">
        <v>7</v>
      </c>
      <c r="H29" s="23"/>
      <c r="I29" s="64" t="e">
        <f t="shared" ref="I29:I55" si="1">C29/C$40*100</f>
        <v>#VALUE!</v>
      </c>
      <c r="J29" s="64"/>
      <c r="K29" s="143"/>
      <c r="L29" s="23" t="s">
        <v>7</v>
      </c>
      <c r="M29" s="143" t="e">
        <f t="shared" si="0"/>
        <v>#VALUE!</v>
      </c>
    </row>
    <row r="30" spans="1:13">
      <c r="A30" s="90">
        <v>1975</v>
      </c>
      <c r="B30" s="134"/>
      <c r="C30" s="23" t="s">
        <v>7</v>
      </c>
      <c r="D30" s="136" t="s">
        <v>7</v>
      </c>
      <c r="E30" s="136" t="s">
        <v>7</v>
      </c>
      <c r="F30" s="65" t="s">
        <v>7</v>
      </c>
      <c r="G30" s="65" t="s">
        <v>7</v>
      </c>
      <c r="H30" s="63"/>
      <c r="I30" s="64" t="e">
        <f t="shared" si="1"/>
        <v>#VALUE!</v>
      </c>
      <c r="J30" s="143"/>
      <c r="K30" s="143"/>
      <c r="L30" s="64" t="s">
        <v>7</v>
      </c>
      <c r="M30" s="143" t="e">
        <f t="shared" si="0"/>
        <v>#VALUE!</v>
      </c>
    </row>
    <row r="31" spans="1:13">
      <c r="A31" s="90">
        <v>1976</v>
      </c>
      <c r="B31" s="134"/>
      <c r="C31" s="23" t="s">
        <v>7</v>
      </c>
      <c r="D31" s="136" t="s">
        <v>7</v>
      </c>
      <c r="E31" s="136" t="s">
        <v>7</v>
      </c>
      <c r="F31" s="65" t="s">
        <v>7</v>
      </c>
      <c r="G31" s="65" t="s">
        <v>7</v>
      </c>
      <c r="H31" s="63"/>
      <c r="I31" s="64" t="e">
        <f t="shared" si="1"/>
        <v>#VALUE!</v>
      </c>
      <c r="J31" s="143"/>
      <c r="K31" s="143"/>
      <c r="L31" s="64" t="s">
        <v>7</v>
      </c>
      <c r="M31" s="143" t="e">
        <f t="shared" si="0"/>
        <v>#VALUE!</v>
      </c>
    </row>
    <row r="32" spans="1:13">
      <c r="A32" s="90">
        <v>1977</v>
      </c>
      <c r="B32" s="134"/>
      <c r="C32" s="23" t="s">
        <v>7</v>
      </c>
      <c r="D32" s="136" t="s">
        <v>7</v>
      </c>
      <c r="E32" s="136" t="s">
        <v>7</v>
      </c>
      <c r="F32" s="65" t="s">
        <v>7</v>
      </c>
      <c r="G32" s="65" t="s">
        <v>7</v>
      </c>
      <c r="H32" s="63"/>
      <c r="I32" s="64" t="e">
        <f t="shared" si="1"/>
        <v>#VALUE!</v>
      </c>
      <c r="J32" s="143"/>
      <c r="K32" s="143"/>
      <c r="L32" s="64" t="s">
        <v>7</v>
      </c>
      <c r="M32" s="143" t="e">
        <f t="shared" si="0"/>
        <v>#VALUE!</v>
      </c>
    </row>
    <row r="33" spans="1:15">
      <c r="A33" s="90">
        <v>1978</v>
      </c>
      <c r="B33" s="134"/>
      <c r="C33" s="23" t="s">
        <v>7</v>
      </c>
      <c r="D33" s="136" t="s">
        <v>7</v>
      </c>
      <c r="E33" s="136" t="s">
        <v>7</v>
      </c>
      <c r="F33" s="65" t="s">
        <v>7</v>
      </c>
      <c r="G33" s="65" t="s">
        <v>7</v>
      </c>
      <c r="H33" s="63"/>
      <c r="I33" s="64" t="e">
        <f t="shared" si="1"/>
        <v>#VALUE!</v>
      </c>
      <c r="J33" s="143"/>
      <c r="K33" s="143"/>
      <c r="L33" s="64" t="s">
        <v>7</v>
      </c>
      <c r="M33" s="143" t="e">
        <f t="shared" si="0"/>
        <v>#VALUE!</v>
      </c>
    </row>
    <row r="34" spans="1:15">
      <c r="A34" s="90">
        <v>1979</v>
      </c>
      <c r="B34" s="134"/>
      <c r="C34" s="23" t="s">
        <v>7</v>
      </c>
      <c r="D34" s="136" t="s">
        <v>7</v>
      </c>
      <c r="E34" s="136" t="s">
        <v>7</v>
      </c>
      <c r="F34" s="65" t="s">
        <v>7</v>
      </c>
      <c r="G34" s="65" t="s">
        <v>7</v>
      </c>
      <c r="H34" s="63"/>
      <c r="I34" s="64" t="e">
        <f t="shared" si="1"/>
        <v>#VALUE!</v>
      </c>
      <c r="J34" s="143"/>
      <c r="K34" s="143"/>
      <c r="L34" s="64" t="s">
        <v>7</v>
      </c>
      <c r="M34" s="143" t="e">
        <f t="shared" si="0"/>
        <v>#VALUE!</v>
      </c>
    </row>
    <row r="35" spans="1:15">
      <c r="A35" s="90">
        <v>1980</v>
      </c>
      <c r="B35" s="134"/>
      <c r="C35" s="23" t="s">
        <v>7</v>
      </c>
      <c r="D35" s="136" t="s">
        <v>7</v>
      </c>
      <c r="E35" s="136" t="s">
        <v>7</v>
      </c>
      <c r="F35" s="136" t="s">
        <v>7</v>
      </c>
      <c r="G35" s="136" t="s">
        <v>7</v>
      </c>
      <c r="H35" s="63"/>
      <c r="I35" s="64" t="e">
        <f t="shared" si="1"/>
        <v>#VALUE!</v>
      </c>
      <c r="J35" s="143"/>
      <c r="K35" s="143" t="e">
        <f t="shared" ref="K35:K55" si="2">E35/E$40*100</f>
        <v>#VALUE!</v>
      </c>
      <c r="L35" s="143" t="e">
        <f t="shared" ref="L35:L55" si="3">F35/F$40*100</f>
        <v>#VALUE!</v>
      </c>
      <c r="M35" s="143" t="e">
        <f t="shared" si="0"/>
        <v>#VALUE!</v>
      </c>
    </row>
    <row r="36" spans="1:15">
      <c r="A36" s="90">
        <v>1981</v>
      </c>
      <c r="B36" s="134"/>
      <c r="C36" s="23" t="s">
        <v>7</v>
      </c>
      <c r="D36" s="136" t="s">
        <v>7</v>
      </c>
      <c r="E36" s="136" t="s">
        <v>7</v>
      </c>
      <c r="F36" s="136" t="s">
        <v>7</v>
      </c>
      <c r="G36" s="136" t="s">
        <v>7</v>
      </c>
      <c r="H36" s="63"/>
      <c r="I36" s="64" t="e">
        <f t="shared" si="1"/>
        <v>#VALUE!</v>
      </c>
      <c r="J36" s="143"/>
      <c r="K36" s="143" t="e">
        <f t="shared" si="2"/>
        <v>#VALUE!</v>
      </c>
      <c r="L36" s="143" t="e">
        <f t="shared" si="3"/>
        <v>#VALUE!</v>
      </c>
      <c r="M36" s="143" t="e">
        <f t="shared" si="0"/>
        <v>#VALUE!</v>
      </c>
    </row>
    <row r="37" spans="1:15">
      <c r="A37" s="90">
        <v>1982</v>
      </c>
      <c r="B37" s="134"/>
      <c r="C37" s="23" t="s">
        <v>7</v>
      </c>
      <c r="D37" s="136" t="s">
        <v>7</v>
      </c>
      <c r="E37" s="136" t="s">
        <v>7</v>
      </c>
      <c r="F37" s="136" t="s">
        <v>7</v>
      </c>
      <c r="G37" s="136" t="s">
        <v>7</v>
      </c>
      <c r="H37" s="63"/>
      <c r="I37" s="64" t="e">
        <f t="shared" si="1"/>
        <v>#VALUE!</v>
      </c>
      <c r="J37" s="143"/>
      <c r="K37" s="143" t="e">
        <f t="shared" si="2"/>
        <v>#VALUE!</v>
      </c>
      <c r="L37" s="143" t="e">
        <f t="shared" si="3"/>
        <v>#VALUE!</v>
      </c>
      <c r="M37" s="143" t="e">
        <f t="shared" si="0"/>
        <v>#VALUE!</v>
      </c>
    </row>
    <row r="38" spans="1:15">
      <c r="A38" s="90">
        <v>1983</v>
      </c>
      <c r="B38" s="134"/>
      <c r="C38" s="23" t="s">
        <v>7</v>
      </c>
      <c r="D38" s="136" t="s">
        <v>7</v>
      </c>
      <c r="E38" s="136" t="s">
        <v>7</v>
      </c>
      <c r="F38" s="136" t="s">
        <v>7</v>
      </c>
      <c r="G38" s="136" t="s">
        <v>7</v>
      </c>
      <c r="H38" s="63"/>
      <c r="I38" s="64" t="e">
        <f t="shared" si="1"/>
        <v>#VALUE!</v>
      </c>
      <c r="J38" s="143"/>
      <c r="K38" s="143" t="e">
        <f t="shared" si="2"/>
        <v>#VALUE!</v>
      </c>
      <c r="L38" s="143" t="e">
        <f t="shared" si="3"/>
        <v>#VALUE!</v>
      </c>
      <c r="M38" s="143" t="e">
        <f t="shared" si="0"/>
        <v>#VALUE!</v>
      </c>
    </row>
    <row r="39" spans="1:15">
      <c r="A39" s="90">
        <v>1984</v>
      </c>
      <c r="B39" s="134"/>
      <c r="C39" s="23" t="s">
        <v>7</v>
      </c>
      <c r="D39" s="136" t="s">
        <v>7</v>
      </c>
      <c r="E39" s="136" t="s">
        <v>7</v>
      </c>
      <c r="F39" s="136" t="s">
        <v>7</v>
      </c>
      <c r="G39" s="136" t="s">
        <v>7</v>
      </c>
      <c r="H39" s="63"/>
      <c r="I39" s="64" t="e">
        <f t="shared" si="1"/>
        <v>#VALUE!</v>
      </c>
      <c r="J39" s="143"/>
      <c r="K39" s="143" t="e">
        <f t="shared" si="2"/>
        <v>#VALUE!</v>
      </c>
      <c r="L39" s="143" t="e">
        <f t="shared" si="3"/>
        <v>#VALUE!</v>
      </c>
      <c r="M39" s="143" t="e">
        <f t="shared" si="0"/>
        <v>#VALUE!</v>
      </c>
    </row>
    <row r="40" spans="1:15">
      <c r="A40" s="90">
        <v>1985</v>
      </c>
      <c r="B40" s="134"/>
      <c r="C40" s="154">
        <v>9706</v>
      </c>
      <c r="D40" s="136" t="s">
        <v>7</v>
      </c>
      <c r="E40" s="136" t="s">
        <v>7</v>
      </c>
      <c r="F40" s="136" t="s">
        <v>7</v>
      </c>
      <c r="G40" s="136" t="s">
        <v>7</v>
      </c>
      <c r="H40" s="63"/>
      <c r="I40" s="64">
        <f t="shared" si="1"/>
        <v>100</v>
      </c>
      <c r="J40" s="143"/>
      <c r="K40" s="143" t="e">
        <f t="shared" si="2"/>
        <v>#VALUE!</v>
      </c>
      <c r="L40" s="143" t="e">
        <f t="shared" si="3"/>
        <v>#VALUE!</v>
      </c>
      <c r="M40" s="143" t="e">
        <f t="shared" si="0"/>
        <v>#VALUE!</v>
      </c>
    </row>
    <row r="41" spans="1:15">
      <c r="A41" s="90">
        <v>1986</v>
      </c>
      <c r="B41" s="134"/>
      <c r="C41" s="154">
        <v>9332</v>
      </c>
      <c r="D41" s="136" t="s">
        <v>7</v>
      </c>
      <c r="E41" s="136" t="s">
        <v>7</v>
      </c>
      <c r="F41" s="136" t="s">
        <v>7</v>
      </c>
      <c r="G41" s="136" t="s">
        <v>7</v>
      </c>
      <c r="H41" s="63"/>
      <c r="I41" s="64">
        <f t="shared" si="1"/>
        <v>96.146713373171238</v>
      </c>
      <c r="J41" s="143"/>
      <c r="K41" s="143" t="e">
        <f t="shared" si="2"/>
        <v>#VALUE!</v>
      </c>
      <c r="L41" s="143" t="e">
        <f t="shared" si="3"/>
        <v>#VALUE!</v>
      </c>
      <c r="M41" s="143" t="e">
        <f t="shared" si="0"/>
        <v>#VALUE!</v>
      </c>
    </row>
    <row r="42" spans="1:15">
      <c r="A42" s="90">
        <v>1987</v>
      </c>
      <c r="B42" s="134"/>
      <c r="C42" s="154">
        <v>10225</v>
      </c>
      <c r="D42" s="136" t="s">
        <v>7</v>
      </c>
      <c r="E42" s="17">
        <v>19810</v>
      </c>
      <c r="F42" s="17">
        <v>262</v>
      </c>
      <c r="G42" s="136" t="s">
        <v>7</v>
      </c>
      <c r="H42" s="63"/>
      <c r="I42" s="64">
        <f t="shared" si="1"/>
        <v>105.34720791263138</v>
      </c>
      <c r="J42" s="143"/>
      <c r="K42" s="143" t="e">
        <f t="shared" si="2"/>
        <v>#VALUE!</v>
      </c>
      <c r="L42" s="143" t="e">
        <f t="shared" si="3"/>
        <v>#VALUE!</v>
      </c>
      <c r="M42" s="143" t="e">
        <f t="shared" si="0"/>
        <v>#VALUE!</v>
      </c>
    </row>
    <row r="43" spans="1:15">
      <c r="A43" s="90">
        <v>1988</v>
      </c>
      <c r="B43" s="134"/>
      <c r="C43" s="154">
        <v>11520</v>
      </c>
      <c r="D43" s="136" t="s">
        <v>7</v>
      </c>
      <c r="E43" s="17">
        <v>22910</v>
      </c>
      <c r="F43" s="17">
        <v>264</v>
      </c>
      <c r="G43" s="136" t="s">
        <v>7</v>
      </c>
      <c r="H43" s="63"/>
      <c r="I43" s="64">
        <f t="shared" si="1"/>
        <v>118.68947043066144</v>
      </c>
      <c r="J43" s="143"/>
      <c r="K43" s="143" t="e">
        <f t="shared" si="2"/>
        <v>#VALUE!</v>
      </c>
      <c r="L43" s="143" t="e">
        <f t="shared" si="3"/>
        <v>#VALUE!</v>
      </c>
      <c r="M43" s="143" t="e">
        <f t="shared" si="0"/>
        <v>#VALUE!</v>
      </c>
      <c r="O43" s="19"/>
    </row>
    <row r="44" spans="1:15">
      <c r="A44" s="90">
        <v>1989</v>
      </c>
      <c r="B44" s="134"/>
      <c r="C44" s="154">
        <v>12339</v>
      </c>
      <c r="D44" s="136" t="s">
        <v>7</v>
      </c>
      <c r="E44" s="17">
        <v>23020</v>
      </c>
      <c r="F44" s="17">
        <v>268</v>
      </c>
      <c r="G44" s="136" t="s">
        <v>7</v>
      </c>
      <c r="H44" s="63"/>
      <c r="I44" s="64">
        <f t="shared" si="1"/>
        <v>127.12754996909128</v>
      </c>
      <c r="J44" s="143"/>
      <c r="K44" s="143" t="e">
        <f t="shared" si="2"/>
        <v>#VALUE!</v>
      </c>
      <c r="L44" s="143" t="e">
        <f t="shared" si="3"/>
        <v>#VALUE!</v>
      </c>
      <c r="M44" s="155" t="e">
        <f t="shared" si="0"/>
        <v>#VALUE!</v>
      </c>
    </row>
    <row r="45" spans="1:15">
      <c r="A45" s="90">
        <v>1990</v>
      </c>
      <c r="B45" s="134"/>
      <c r="C45" s="17">
        <v>12309</v>
      </c>
      <c r="D45" s="136" t="s">
        <v>7</v>
      </c>
      <c r="E45" s="17">
        <v>19090</v>
      </c>
      <c r="F45" s="17">
        <v>315</v>
      </c>
      <c r="G45" s="136" t="s">
        <v>7</v>
      </c>
      <c r="H45" s="63"/>
      <c r="I45" s="64">
        <f t="shared" si="1"/>
        <v>126.81846280651143</v>
      </c>
      <c r="J45" s="143"/>
      <c r="K45" s="143" t="e">
        <f t="shared" si="2"/>
        <v>#VALUE!</v>
      </c>
      <c r="L45" s="143" t="e">
        <f t="shared" si="3"/>
        <v>#VALUE!</v>
      </c>
      <c r="M45" s="143" t="e">
        <f t="shared" si="0"/>
        <v>#VALUE!</v>
      </c>
    </row>
    <row r="46" spans="1:15">
      <c r="A46" s="90">
        <v>1991</v>
      </c>
      <c r="B46" s="134"/>
      <c r="C46" s="17">
        <v>11909</v>
      </c>
      <c r="D46" s="136" t="s">
        <v>7</v>
      </c>
      <c r="E46" s="17">
        <v>22850</v>
      </c>
      <c r="F46" s="17">
        <v>298</v>
      </c>
      <c r="G46" s="136" t="s">
        <v>7</v>
      </c>
      <c r="H46" s="63"/>
      <c r="I46" s="64">
        <f t="shared" si="1"/>
        <v>122.69730063878012</v>
      </c>
      <c r="J46" s="143"/>
      <c r="K46" s="143" t="e">
        <f t="shared" si="2"/>
        <v>#VALUE!</v>
      </c>
      <c r="L46" s="143" t="e">
        <f t="shared" si="3"/>
        <v>#VALUE!</v>
      </c>
      <c r="M46" s="143" t="e">
        <f t="shared" si="0"/>
        <v>#VALUE!</v>
      </c>
    </row>
    <row r="47" spans="1:15">
      <c r="A47" s="90">
        <v>1992</v>
      </c>
      <c r="B47" s="134"/>
      <c r="C47" s="17">
        <v>12121</v>
      </c>
      <c r="D47" s="136" t="s">
        <v>7</v>
      </c>
      <c r="E47" s="17">
        <v>20940</v>
      </c>
      <c r="F47" s="17">
        <v>270</v>
      </c>
      <c r="G47" s="24">
        <v>5132.2</v>
      </c>
      <c r="H47" s="63"/>
      <c r="I47" s="64">
        <f t="shared" si="1"/>
        <v>124.88151658767772</v>
      </c>
      <c r="J47" s="143"/>
      <c r="K47" s="143" t="e">
        <f t="shared" si="2"/>
        <v>#VALUE!</v>
      </c>
      <c r="L47" s="143" t="e">
        <f t="shared" si="3"/>
        <v>#VALUE!</v>
      </c>
      <c r="M47" s="143" t="e">
        <f t="shared" si="0"/>
        <v>#VALUE!</v>
      </c>
    </row>
    <row r="48" spans="1:15">
      <c r="A48" s="90">
        <v>1993</v>
      </c>
      <c r="B48" s="134"/>
      <c r="C48" s="17">
        <v>12426</v>
      </c>
      <c r="D48" s="136" t="s">
        <v>7</v>
      </c>
      <c r="E48" s="17">
        <v>19710</v>
      </c>
      <c r="F48" s="17">
        <v>290</v>
      </c>
      <c r="G48" s="136" t="s">
        <v>7</v>
      </c>
      <c r="H48" s="63"/>
      <c r="I48" s="64">
        <f t="shared" si="1"/>
        <v>128.02390274057285</v>
      </c>
      <c r="J48" s="143"/>
      <c r="K48" s="143" t="e">
        <f t="shared" si="2"/>
        <v>#VALUE!</v>
      </c>
      <c r="L48" s="143" t="e">
        <f t="shared" si="3"/>
        <v>#VALUE!</v>
      </c>
      <c r="M48" s="143" t="e">
        <f t="shared" si="0"/>
        <v>#VALUE!</v>
      </c>
    </row>
    <row r="49" spans="1:13">
      <c r="A49" s="90">
        <v>1994</v>
      </c>
      <c r="B49" s="134"/>
      <c r="C49" s="17">
        <v>12995</v>
      </c>
      <c r="D49" s="136" t="s">
        <v>7</v>
      </c>
      <c r="E49" s="17">
        <v>19740</v>
      </c>
      <c r="F49" s="17">
        <v>290</v>
      </c>
      <c r="G49" s="24">
        <v>5278.8</v>
      </c>
      <c r="H49" s="63"/>
      <c r="I49" s="64">
        <f t="shared" si="1"/>
        <v>133.8862559241706</v>
      </c>
      <c r="J49" s="143"/>
      <c r="K49" s="143" t="e">
        <f t="shared" si="2"/>
        <v>#VALUE!</v>
      </c>
      <c r="L49" s="143" t="e">
        <f t="shared" si="3"/>
        <v>#VALUE!</v>
      </c>
      <c r="M49" s="143" t="e">
        <f t="shared" si="0"/>
        <v>#VALUE!</v>
      </c>
    </row>
    <row r="50" spans="1:13">
      <c r="A50" s="90">
        <v>1995</v>
      </c>
      <c r="B50" s="134"/>
      <c r="C50" s="17">
        <v>13965</v>
      </c>
      <c r="D50" s="136" t="s">
        <v>7</v>
      </c>
      <c r="E50" s="17">
        <v>25110</v>
      </c>
      <c r="F50" s="17">
        <v>300</v>
      </c>
      <c r="G50" s="24">
        <v>5692.5</v>
      </c>
      <c r="H50" s="63"/>
      <c r="I50" s="64">
        <f t="shared" si="1"/>
        <v>143.88007418091902</v>
      </c>
      <c r="J50" s="156"/>
      <c r="K50" s="143" t="e">
        <f t="shared" si="2"/>
        <v>#VALUE!</v>
      </c>
      <c r="L50" s="143" t="e">
        <f t="shared" si="3"/>
        <v>#VALUE!</v>
      </c>
      <c r="M50" s="143" t="e">
        <f t="shared" si="0"/>
        <v>#VALUE!</v>
      </c>
    </row>
    <row r="51" spans="1:13">
      <c r="A51" s="90">
        <v>1996</v>
      </c>
      <c r="B51" s="134"/>
      <c r="C51" s="17">
        <v>14163</v>
      </c>
      <c r="D51" s="17">
        <v>1427.433577</v>
      </c>
      <c r="E51" s="17">
        <v>29250</v>
      </c>
      <c r="F51" s="17">
        <v>300</v>
      </c>
      <c r="G51" s="24">
        <v>5688.1</v>
      </c>
      <c r="H51" s="63"/>
      <c r="I51" s="64">
        <f t="shared" si="1"/>
        <v>145.92004945394601</v>
      </c>
      <c r="J51" s="143"/>
      <c r="K51" s="143" t="e">
        <f t="shared" si="2"/>
        <v>#VALUE!</v>
      </c>
      <c r="L51" s="143" t="e">
        <f t="shared" si="3"/>
        <v>#VALUE!</v>
      </c>
      <c r="M51" s="143" t="e">
        <f t="shared" si="0"/>
        <v>#VALUE!</v>
      </c>
    </row>
    <row r="52" spans="1:13">
      <c r="A52" s="103">
        <v>1997</v>
      </c>
      <c r="B52" s="120"/>
      <c r="C52" s="21">
        <v>14236</v>
      </c>
      <c r="D52" s="17">
        <v>2144.863151</v>
      </c>
      <c r="E52" s="17">
        <v>26280</v>
      </c>
      <c r="F52" s="17">
        <v>310</v>
      </c>
      <c r="G52" s="24">
        <v>5716.8</v>
      </c>
      <c r="H52" s="142"/>
      <c r="I52" s="143">
        <f t="shared" si="1"/>
        <v>146.67216154955699</v>
      </c>
      <c r="J52" s="143"/>
      <c r="K52" s="143" t="e">
        <f t="shared" si="2"/>
        <v>#VALUE!</v>
      </c>
      <c r="L52" s="143" t="e">
        <f t="shared" si="3"/>
        <v>#VALUE!</v>
      </c>
      <c r="M52" s="143" t="e">
        <f t="shared" si="0"/>
        <v>#VALUE!</v>
      </c>
    </row>
    <row r="53" spans="1:13">
      <c r="A53" s="90">
        <v>1998</v>
      </c>
      <c r="B53" s="120"/>
      <c r="C53" s="21">
        <v>14856</v>
      </c>
      <c r="D53" s="17">
        <v>2786.7275419999996</v>
      </c>
      <c r="E53" s="17">
        <v>29610</v>
      </c>
      <c r="F53" s="17">
        <v>260</v>
      </c>
      <c r="G53" s="24">
        <v>5946.4</v>
      </c>
      <c r="H53" s="142"/>
      <c r="I53" s="143">
        <f t="shared" si="1"/>
        <v>153.0599629095405</v>
      </c>
      <c r="J53" s="143"/>
      <c r="K53" s="143" t="e">
        <f t="shared" si="2"/>
        <v>#VALUE!</v>
      </c>
      <c r="L53" s="143" t="e">
        <f t="shared" si="3"/>
        <v>#VALUE!</v>
      </c>
      <c r="M53" s="143" t="e">
        <f t="shared" si="0"/>
        <v>#VALUE!</v>
      </c>
    </row>
    <row r="54" spans="1:13" ht="18">
      <c r="A54" s="144" t="s">
        <v>268</v>
      </c>
      <c r="B54" s="120"/>
      <c r="C54" s="21">
        <v>14988</v>
      </c>
      <c r="D54" s="17">
        <v>2891.3095309999999</v>
      </c>
      <c r="E54" s="91">
        <v>26850</v>
      </c>
      <c r="F54" s="17">
        <v>240</v>
      </c>
      <c r="G54" s="24">
        <v>5905.1</v>
      </c>
      <c r="H54" s="142"/>
      <c r="I54" s="143">
        <f t="shared" si="1"/>
        <v>154.41994642489183</v>
      </c>
      <c r="J54" s="143"/>
      <c r="K54" s="143" t="e">
        <f t="shared" si="2"/>
        <v>#VALUE!</v>
      </c>
      <c r="L54" s="143" t="e">
        <f t="shared" si="3"/>
        <v>#VALUE!</v>
      </c>
      <c r="M54" s="143" t="e">
        <f t="shared" si="0"/>
        <v>#VALUE!</v>
      </c>
    </row>
    <row r="55" spans="1:13">
      <c r="A55" s="103">
        <v>2000</v>
      </c>
      <c r="B55" s="120"/>
      <c r="C55" s="21">
        <v>14817</v>
      </c>
      <c r="D55" s="17">
        <v>2461.9336910000002</v>
      </c>
      <c r="E55" s="17">
        <v>20100</v>
      </c>
      <c r="F55" s="17">
        <v>280</v>
      </c>
      <c r="G55" s="24">
        <v>5932.9</v>
      </c>
      <c r="H55" s="142"/>
      <c r="I55" s="143">
        <f t="shared" si="1"/>
        <v>152.6581495981867</v>
      </c>
      <c r="J55" s="143"/>
      <c r="K55" s="143" t="e">
        <f t="shared" si="2"/>
        <v>#VALUE!</v>
      </c>
      <c r="L55" s="143" t="e">
        <f t="shared" si="3"/>
        <v>#VALUE!</v>
      </c>
      <c r="M55" s="143" t="e">
        <f t="shared" si="0"/>
        <v>#VALUE!</v>
      </c>
    </row>
    <row r="56" spans="1:13">
      <c r="A56" s="103">
        <v>2001</v>
      </c>
      <c r="B56" s="120"/>
      <c r="C56" s="21">
        <v>14425</v>
      </c>
      <c r="D56" s="67">
        <v>3126.7935819999998</v>
      </c>
      <c r="E56" s="67">
        <v>15600</v>
      </c>
      <c r="F56" s="67">
        <v>280</v>
      </c>
      <c r="G56" s="24">
        <v>5929</v>
      </c>
      <c r="H56" s="142"/>
      <c r="I56" s="143"/>
      <c r="J56" s="143"/>
      <c r="K56" s="143"/>
      <c r="L56" s="143"/>
      <c r="M56" s="143"/>
    </row>
    <row r="57" spans="1:13">
      <c r="A57" s="103">
        <v>2002</v>
      </c>
      <c r="B57" s="120"/>
      <c r="C57" s="68">
        <v>14170</v>
      </c>
      <c r="D57" s="67">
        <v>2856.1498999999999</v>
      </c>
      <c r="E57" s="68">
        <v>14540</v>
      </c>
      <c r="F57" s="143">
        <v>240</v>
      </c>
      <c r="G57" s="68">
        <v>5909</v>
      </c>
      <c r="H57" s="142"/>
      <c r="I57" s="143"/>
      <c r="J57" s="143"/>
      <c r="K57" s="143"/>
      <c r="L57" s="143"/>
      <c r="M57" s="143"/>
    </row>
    <row r="58" spans="1:13" ht="18">
      <c r="A58" s="144" t="s">
        <v>269</v>
      </c>
      <c r="B58" s="120"/>
      <c r="C58" s="157">
        <v>14432</v>
      </c>
      <c r="D58" s="67">
        <v>2625.1528198000001</v>
      </c>
      <c r="E58" s="68">
        <v>14850</v>
      </c>
      <c r="F58" s="143">
        <v>240</v>
      </c>
      <c r="G58" s="68">
        <v>5832</v>
      </c>
      <c r="H58" s="142"/>
      <c r="I58" s="143"/>
      <c r="J58" s="143"/>
      <c r="K58" s="143"/>
      <c r="L58" s="143"/>
      <c r="M58" s="143"/>
    </row>
    <row r="59" spans="1:13">
      <c r="A59" s="103">
        <v>2004</v>
      </c>
      <c r="B59" s="120"/>
      <c r="C59" s="68">
        <v>15195</v>
      </c>
      <c r="D59" s="67">
        <v>3838.5666630000001</v>
      </c>
      <c r="E59" s="68">
        <v>14060</v>
      </c>
      <c r="F59" s="143">
        <v>240</v>
      </c>
      <c r="G59" s="68">
        <v>5820.3672356999996</v>
      </c>
      <c r="H59" s="142"/>
      <c r="I59" s="143"/>
      <c r="J59" s="143"/>
      <c r="K59" s="143"/>
      <c r="L59" s="143"/>
      <c r="M59" s="143"/>
    </row>
    <row r="60" spans="1:13">
      <c r="A60" s="103">
        <v>2005</v>
      </c>
      <c r="B60" s="120"/>
      <c r="C60" s="68">
        <v>13507</v>
      </c>
      <c r="D60" s="67">
        <v>4344.7155819999998</v>
      </c>
      <c r="E60" s="68">
        <v>17457.477846940084</v>
      </c>
      <c r="F60" s="143">
        <v>251</v>
      </c>
      <c r="G60" s="68">
        <v>5869</v>
      </c>
      <c r="H60" s="142"/>
      <c r="I60" s="143"/>
      <c r="J60" s="143"/>
      <c r="K60" s="143"/>
      <c r="L60" s="143"/>
      <c r="M60" s="143"/>
    </row>
    <row r="61" spans="1:13">
      <c r="A61" s="103">
        <v>2006</v>
      </c>
      <c r="B61" s="120"/>
      <c r="C61" s="68">
        <v>14233</v>
      </c>
      <c r="D61" s="67">
        <v>4195.0702030000002</v>
      </c>
      <c r="E61" s="68">
        <v>14491</v>
      </c>
      <c r="F61" s="143">
        <v>249</v>
      </c>
      <c r="G61" s="68">
        <v>5715</v>
      </c>
      <c r="H61" s="142"/>
      <c r="I61" s="143"/>
      <c r="J61" s="143"/>
      <c r="K61" s="143"/>
      <c r="L61" s="143"/>
      <c r="M61" s="143"/>
    </row>
    <row r="62" spans="1:13" ht="15.75" thickBot="1">
      <c r="A62" s="103">
        <v>2007</v>
      </c>
      <c r="B62" s="120"/>
      <c r="C62" s="68">
        <v>15349</v>
      </c>
      <c r="D62" s="67">
        <v>3601.1602599999997</v>
      </c>
      <c r="E62" s="68">
        <v>16909</v>
      </c>
      <c r="F62" s="143">
        <v>268</v>
      </c>
      <c r="G62" s="158">
        <v>5726</v>
      </c>
      <c r="H62" s="142"/>
      <c r="I62" s="159"/>
      <c r="J62" s="159"/>
      <c r="K62" s="159"/>
      <c r="L62" s="159"/>
      <c r="M62" s="159"/>
    </row>
    <row r="63" spans="1:13">
      <c r="A63" s="103">
        <v>2008</v>
      </c>
      <c r="B63" s="120"/>
      <c r="C63" s="68">
        <v>13936</v>
      </c>
      <c r="D63" s="67">
        <v>3281.2339139999999</v>
      </c>
      <c r="E63" s="68">
        <v>17890</v>
      </c>
      <c r="F63" s="143">
        <v>312</v>
      </c>
      <c r="G63" s="158">
        <v>5725</v>
      </c>
      <c r="H63" s="142"/>
      <c r="I63" s="143"/>
      <c r="J63" s="143"/>
      <c r="K63" s="143"/>
      <c r="L63" s="143"/>
      <c r="M63" s="143"/>
    </row>
    <row r="64" spans="1:13">
      <c r="A64" s="144">
        <v>2009</v>
      </c>
      <c r="B64" s="120"/>
      <c r="C64" s="68">
        <v>12348</v>
      </c>
      <c r="D64" s="68">
        <v>2912.3734450000002</v>
      </c>
      <c r="E64" s="68">
        <v>15321</v>
      </c>
      <c r="F64" s="143">
        <v>244</v>
      </c>
      <c r="G64" s="158">
        <v>5725</v>
      </c>
      <c r="H64" s="5"/>
      <c r="I64" s="143"/>
      <c r="J64" s="143"/>
      <c r="K64" s="143"/>
      <c r="L64" s="143"/>
      <c r="M64" s="143"/>
    </row>
    <row r="65" spans="1:13">
      <c r="A65" s="144">
        <v>2010</v>
      </c>
      <c r="B65" s="120"/>
      <c r="C65" s="68">
        <v>12695.158688035437</v>
      </c>
      <c r="D65" s="287">
        <v>3077.0196420000002</v>
      </c>
      <c r="E65" s="68">
        <v>13557</v>
      </c>
      <c r="F65" s="143">
        <v>280</v>
      </c>
      <c r="G65" s="158">
        <v>5725</v>
      </c>
      <c r="H65" s="5"/>
      <c r="I65" s="143"/>
      <c r="J65" s="143"/>
      <c r="K65" s="143"/>
      <c r="L65" s="143"/>
      <c r="M65" s="143"/>
    </row>
    <row r="66" spans="1:13">
      <c r="A66" s="144">
        <v>2011</v>
      </c>
      <c r="B66" s="120"/>
      <c r="C66" s="68">
        <v>13126</v>
      </c>
      <c r="D66" s="68">
        <v>2636.6528290000001</v>
      </c>
      <c r="E66" s="68">
        <v>13011</v>
      </c>
      <c r="F66" s="143">
        <v>270</v>
      </c>
      <c r="G66" s="68">
        <v>5752</v>
      </c>
      <c r="H66" s="5"/>
      <c r="I66" s="143"/>
      <c r="J66" s="143"/>
      <c r="K66" s="143"/>
      <c r="L66" s="143"/>
      <c r="M66" s="143"/>
    </row>
    <row r="67" spans="1:13">
      <c r="A67" s="144">
        <v>2012</v>
      </c>
      <c r="B67" s="120"/>
      <c r="C67" s="68">
        <v>12694</v>
      </c>
      <c r="D67" s="68">
        <v>2607.2013999999999</v>
      </c>
      <c r="E67" s="68">
        <v>9051</v>
      </c>
      <c r="F67" s="143">
        <v>269</v>
      </c>
      <c r="G67" s="68">
        <v>5836</v>
      </c>
      <c r="H67" s="5"/>
      <c r="I67" s="143"/>
      <c r="J67" s="143"/>
      <c r="K67" s="143"/>
      <c r="L67" s="143"/>
      <c r="M67" s="143"/>
    </row>
    <row r="68" spans="1:13">
      <c r="A68" s="144">
        <v>2013</v>
      </c>
      <c r="B68" s="120"/>
      <c r="C68" s="68">
        <v>12442</v>
      </c>
      <c r="D68" s="68" t="s">
        <v>7</v>
      </c>
      <c r="E68" s="287">
        <v>7452</v>
      </c>
      <c r="F68" s="375">
        <v>262</v>
      </c>
      <c r="G68" s="287" t="s">
        <v>7</v>
      </c>
      <c r="H68" s="5"/>
      <c r="I68" s="143"/>
      <c r="J68" s="143"/>
      <c r="K68" s="143"/>
      <c r="L68" s="143"/>
      <c r="M68" s="143"/>
    </row>
    <row r="69" spans="1:13">
      <c r="A69" s="144">
        <v>2014</v>
      </c>
      <c r="B69" s="120"/>
      <c r="C69" s="287">
        <v>12563</v>
      </c>
      <c r="D69" s="68" t="s">
        <v>7</v>
      </c>
      <c r="E69" s="287">
        <v>8031</v>
      </c>
      <c r="F69" s="287">
        <v>234</v>
      </c>
      <c r="G69" s="68" t="s">
        <v>7</v>
      </c>
      <c r="H69" s="5"/>
      <c r="I69" s="143"/>
      <c r="J69" s="143"/>
      <c r="K69" s="143"/>
      <c r="L69" s="143"/>
      <c r="M69" s="143"/>
    </row>
    <row r="70" spans="1:13" ht="3.75" customHeight="1" thickBot="1">
      <c r="A70" s="275"/>
      <c r="B70" s="272"/>
      <c r="C70" s="276"/>
      <c r="D70" s="276"/>
      <c r="E70" s="276"/>
      <c r="F70" s="159"/>
      <c r="G70" s="303"/>
      <c r="H70" s="5"/>
      <c r="I70" s="143"/>
      <c r="J70" s="143"/>
      <c r="K70" s="143"/>
      <c r="L70" s="143"/>
      <c r="M70" s="143"/>
    </row>
    <row r="72" spans="1:13" s="29" customFormat="1" ht="12.75">
      <c r="A72" s="29" t="s">
        <v>209</v>
      </c>
    </row>
    <row r="73" spans="1:13" s="29" customFormat="1" ht="12.75">
      <c r="A73" s="29" t="s">
        <v>210</v>
      </c>
    </row>
    <row r="74" spans="1:13" s="29" customFormat="1" ht="12.75">
      <c r="A74" s="29" t="s">
        <v>211</v>
      </c>
    </row>
    <row r="75" spans="1:13" s="29" customFormat="1" ht="12.75">
      <c r="A75" s="29" t="s">
        <v>212</v>
      </c>
    </row>
    <row r="76" spans="1:13" s="29" customFormat="1" ht="12.75">
      <c r="A76" s="145" t="s">
        <v>213</v>
      </c>
    </row>
    <row r="77" spans="1:13" s="29" customFormat="1" ht="12.75">
      <c r="A77" s="146" t="s">
        <v>197</v>
      </c>
    </row>
    <row r="78" spans="1:13" s="29" customFormat="1" ht="14.25" hidden="1">
      <c r="A78" s="16" t="s">
        <v>271</v>
      </c>
    </row>
    <row r="79" spans="1:13" s="29" customFormat="1" ht="12.75" customHeight="1">
      <c r="A79" s="29" t="s">
        <v>198</v>
      </c>
    </row>
    <row r="80" spans="1:13" s="29" customFormat="1" ht="12.75" customHeight="1">
      <c r="A80" s="29" t="s">
        <v>214</v>
      </c>
    </row>
    <row r="81" spans="1:4" s="29" customFormat="1" ht="12.75" customHeight="1">
      <c r="A81" s="29" t="s">
        <v>199</v>
      </c>
    </row>
    <row r="82" spans="1:4" s="29" customFormat="1" ht="12.75" customHeight="1">
      <c r="A82" s="29" t="s">
        <v>200</v>
      </c>
    </row>
    <row r="83" spans="1:4" s="29" customFormat="1" ht="12.75" customHeight="1">
      <c r="A83" s="297" t="s">
        <v>396</v>
      </c>
      <c r="B83" s="300"/>
      <c r="C83" s="300"/>
      <c r="D83" s="300"/>
    </row>
    <row r="84" spans="1:4" ht="13.5" customHeight="1">
      <c r="A84" s="29" t="s">
        <v>465</v>
      </c>
    </row>
    <row r="85" spans="1:4" ht="74.25" customHeight="1"/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6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73"/>
  <sheetViews>
    <sheetView zoomScale="75" zoomScaleNormal="75" workbookViewId="0">
      <pane ySplit="9" topLeftCell="A22" activePane="bottomLeft" state="frozen"/>
      <selection pane="bottomLeft" activeCell="A10" sqref="A10"/>
    </sheetView>
  </sheetViews>
  <sheetFormatPr defaultColWidth="11.42578125" defaultRowHeight="12.75"/>
  <cols>
    <col min="1" max="1" width="7.42578125" style="8" customWidth="1"/>
    <col min="2" max="2" width="2.7109375" style="8" customWidth="1"/>
    <col min="3" max="7" width="11.28515625" style="8" customWidth="1"/>
    <col min="8" max="8" width="2.5703125" style="8" customWidth="1"/>
    <col min="9" max="13" width="11.28515625" style="8" customWidth="1"/>
    <col min="14" max="14" width="8.85546875" style="8" customWidth="1"/>
    <col min="15" max="16384" width="11.42578125" style="8"/>
  </cols>
  <sheetData>
    <row r="1" spans="1:13" s="18" customFormat="1" ht="20.25">
      <c r="A1" s="160" t="s">
        <v>273</v>
      </c>
      <c r="L1" s="649" t="s">
        <v>628</v>
      </c>
    </row>
    <row r="2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">
      <c r="A3" s="161" t="s">
        <v>215</v>
      </c>
      <c r="B3" s="162"/>
      <c r="C3" s="163"/>
      <c r="D3" s="163"/>
      <c r="E3" s="163"/>
      <c r="F3" s="163"/>
      <c r="G3" s="164"/>
      <c r="H3" s="162"/>
      <c r="I3" s="163"/>
      <c r="J3" s="163"/>
      <c r="K3" s="163"/>
      <c r="L3" s="163"/>
      <c r="M3" s="163"/>
    </row>
    <row r="4" spans="1:13" ht="15">
      <c r="A4" s="165"/>
      <c r="B4" s="165"/>
      <c r="C4" s="166" t="s">
        <v>24</v>
      </c>
      <c r="D4" s="166" t="s">
        <v>216</v>
      </c>
      <c r="E4" s="166" t="s">
        <v>76</v>
      </c>
      <c r="F4" s="166" t="s">
        <v>217</v>
      </c>
      <c r="G4" s="167" t="s">
        <v>218</v>
      </c>
      <c r="H4" s="165"/>
      <c r="I4" s="166" t="s">
        <v>24</v>
      </c>
      <c r="J4" s="166" t="s">
        <v>216</v>
      </c>
      <c r="K4" s="166" t="s">
        <v>76</v>
      </c>
      <c r="L4" s="166" t="s">
        <v>217</v>
      </c>
      <c r="M4" s="166" t="s">
        <v>218</v>
      </c>
    </row>
    <row r="5" spans="1:13" ht="15">
      <c r="A5" s="6"/>
      <c r="B5" s="6"/>
      <c r="C5" s="78"/>
      <c r="D5" s="166"/>
      <c r="E5" s="166" t="s">
        <v>219</v>
      </c>
      <c r="F5" s="166" t="s">
        <v>220</v>
      </c>
      <c r="G5" s="168"/>
      <c r="H5" s="6"/>
      <c r="I5" s="78"/>
      <c r="J5" s="166"/>
      <c r="K5" s="166" t="s">
        <v>219</v>
      </c>
      <c r="L5" s="166" t="s">
        <v>220</v>
      </c>
      <c r="M5" s="78"/>
    </row>
    <row r="6" spans="1:13" ht="15">
      <c r="A6" s="6"/>
      <c r="B6" s="6"/>
      <c r="C6" s="78"/>
      <c r="D6" s="166"/>
      <c r="E6" s="166" t="s">
        <v>220</v>
      </c>
      <c r="F6" s="166" t="s">
        <v>221</v>
      </c>
      <c r="G6" s="168"/>
      <c r="H6" s="6"/>
      <c r="I6" s="78"/>
      <c r="J6" s="166"/>
      <c r="K6" s="166" t="s">
        <v>220</v>
      </c>
      <c r="L6" s="166" t="s">
        <v>221</v>
      </c>
      <c r="M6" s="78"/>
    </row>
    <row r="7" spans="1:13" ht="15">
      <c r="A7" s="6"/>
      <c r="B7" s="6"/>
      <c r="C7" s="78"/>
      <c r="D7" s="166"/>
      <c r="E7" s="166" t="s">
        <v>222</v>
      </c>
      <c r="F7" s="166" t="s">
        <v>223</v>
      </c>
      <c r="G7" s="168"/>
      <c r="H7" s="6"/>
      <c r="I7" s="78"/>
      <c r="J7" s="166"/>
      <c r="K7" s="166" t="s">
        <v>222</v>
      </c>
      <c r="L7" s="166" t="s">
        <v>223</v>
      </c>
      <c r="M7" s="78"/>
    </row>
    <row r="8" spans="1:13" ht="15">
      <c r="A8" s="6"/>
      <c r="B8" s="6"/>
      <c r="C8" s="78"/>
      <c r="D8" s="166"/>
      <c r="E8" s="166"/>
      <c r="F8" s="78"/>
      <c r="G8" s="168"/>
      <c r="H8" s="6"/>
      <c r="I8" s="6"/>
      <c r="J8" s="166"/>
      <c r="K8" s="166"/>
      <c r="L8" s="6"/>
      <c r="M8" s="6"/>
    </row>
    <row r="9" spans="1:13" ht="5.25" customHeight="1">
      <c r="A9" s="28"/>
      <c r="B9" s="28"/>
      <c r="C9" s="169"/>
      <c r="D9" s="169"/>
      <c r="E9" s="169"/>
      <c r="F9" s="169"/>
      <c r="G9" s="170"/>
      <c r="H9" s="28"/>
      <c r="I9" s="28"/>
      <c r="J9" s="28"/>
      <c r="K9" s="28"/>
      <c r="L9" s="28"/>
      <c r="M9" s="28"/>
    </row>
    <row r="10" spans="1:13">
      <c r="A10" s="6"/>
      <c r="B10" s="6"/>
      <c r="C10" s="78"/>
      <c r="D10" s="78"/>
      <c r="E10" s="78"/>
      <c r="F10" s="78"/>
      <c r="G10" s="168"/>
      <c r="H10" s="6"/>
      <c r="I10" s="6"/>
      <c r="J10" s="6"/>
      <c r="K10" s="6"/>
      <c r="L10" s="6"/>
      <c r="M10" s="6"/>
    </row>
    <row r="11" spans="1:13">
      <c r="C11" s="15"/>
      <c r="D11" s="15"/>
      <c r="E11" s="15"/>
      <c r="F11" s="15"/>
      <c r="G11" s="87" t="s">
        <v>224</v>
      </c>
      <c r="M11" s="15" t="s">
        <v>225</v>
      </c>
    </row>
    <row r="12" spans="1:13" ht="15">
      <c r="A12" s="71">
        <v>1962</v>
      </c>
      <c r="C12" s="143" t="s">
        <v>7</v>
      </c>
      <c r="D12" s="143" t="s">
        <v>7</v>
      </c>
      <c r="E12" s="143" t="s">
        <v>7</v>
      </c>
      <c r="F12" s="143" t="s">
        <v>7</v>
      </c>
      <c r="G12" s="171" t="s">
        <v>7</v>
      </c>
      <c r="H12" s="6"/>
      <c r="I12" s="99" t="s">
        <v>7</v>
      </c>
      <c r="J12" s="99" t="s">
        <v>7</v>
      </c>
      <c r="K12" s="99" t="s">
        <v>7</v>
      </c>
      <c r="L12" s="143" t="s">
        <v>7</v>
      </c>
      <c r="M12" s="143" t="s">
        <v>7</v>
      </c>
    </row>
    <row r="13" spans="1:13" ht="15">
      <c r="A13" s="71">
        <v>1963</v>
      </c>
      <c r="C13" s="143" t="s">
        <v>7</v>
      </c>
      <c r="D13" s="143" t="s">
        <v>7</v>
      </c>
      <c r="E13" s="143" t="s">
        <v>7</v>
      </c>
      <c r="F13" s="143" t="s">
        <v>7</v>
      </c>
      <c r="G13" s="171" t="s">
        <v>7</v>
      </c>
      <c r="H13" s="6"/>
      <c r="I13" s="99" t="s">
        <v>7</v>
      </c>
      <c r="J13" s="99" t="s">
        <v>7</v>
      </c>
      <c r="K13" s="99" t="s">
        <v>7</v>
      </c>
      <c r="L13" s="143" t="s">
        <v>7</v>
      </c>
      <c r="M13" s="143" t="s">
        <v>7</v>
      </c>
    </row>
    <row r="14" spans="1:13" ht="15">
      <c r="A14" s="71">
        <v>1964</v>
      </c>
      <c r="C14" s="143" t="s">
        <v>7</v>
      </c>
      <c r="D14" s="143" t="s">
        <v>7</v>
      </c>
      <c r="E14" s="143" t="s">
        <v>7</v>
      </c>
      <c r="F14" s="143" t="s">
        <v>7</v>
      </c>
      <c r="G14" s="171" t="s">
        <v>7</v>
      </c>
      <c r="H14" s="6"/>
      <c r="I14" s="99" t="s">
        <v>7</v>
      </c>
      <c r="J14" s="99" t="s">
        <v>7</v>
      </c>
      <c r="K14" s="99" t="s">
        <v>7</v>
      </c>
      <c r="L14" s="143" t="s">
        <v>7</v>
      </c>
      <c r="M14" s="143" t="s">
        <v>7</v>
      </c>
    </row>
    <row r="15" spans="1:13" ht="15">
      <c r="A15" s="71">
        <v>1965</v>
      </c>
      <c r="C15" s="143" t="s">
        <v>7</v>
      </c>
      <c r="D15" s="143" t="s">
        <v>7</v>
      </c>
      <c r="E15" s="143" t="s">
        <v>7</v>
      </c>
      <c r="F15" s="143" t="s">
        <v>7</v>
      </c>
      <c r="G15" s="171" t="s">
        <v>7</v>
      </c>
      <c r="H15" s="6"/>
      <c r="I15" s="99" t="s">
        <v>7</v>
      </c>
      <c r="J15" s="99" t="s">
        <v>7</v>
      </c>
      <c r="K15" s="99" t="s">
        <v>7</v>
      </c>
      <c r="L15" s="143" t="s">
        <v>7</v>
      </c>
      <c r="M15" s="143" t="s">
        <v>7</v>
      </c>
    </row>
    <row r="16" spans="1:13" ht="15">
      <c r="A16" s="71">
        <v>1966</v>
      </c>
      <c r="C16" s="143" t="s">
        <v>7</v>
      </c>
      <c r="D16" s="143" t="s">
        <v>7</v>
      </c>
      <c r="E16" s="143" t="s">
        <v>7</v>
      </c>
      <c r="F16" s="143" t="s">
        <v>7</v>
      </c>
      <c r="G16" s="171" t="s">
        <v>7</v>
      </c>
      <c r="H16" s="6"/>
      <c r="I16" s="99" t="s">
        <v>7</v>
      </c>
      <c r="J16" s="99" t="s">
        <v>7</v>
      </c>
      <c r="K16" s="99" t="s">
        <v>7</v>
      </c>
      <c r="L16" s="143" t="s">
        <v>7</v>
      </c>
      <c r="M16" s="143" t="s">
        <v>7</v>
      </c>
    </row>
    <row r="17" spans="1:13" ht="15">
      <c r="A17" s="71">
        <v>1967</v>
      </c>
      <c r="C17" s="143" t="s">
        <v>7</v>
      </c>
      <c r="D17" s="143" t="s">
        <v>7</v>
      </c>
      <c r="E17" s="143" t="s">
        <v>7</v>
      </c>
      <c r="F17" s="143" t="s">
        <v>7</v>
      </c>
      <c r="G17" s="171" t="s">
        <v>7</v>
      </c>
      <c r="H17" s="6"/>
      <c r="I17" s="99" t="s">
        <v>7</v>
      </c>
      <c r="J17" s="99" t="s">
        <v>7</v>
      </c>
      <c r="K17" s="99" t="s">
        <v>7</v>
      </c>
      <c r="L17" s="143" t="s">
        <v>7</v>
      </c>
      <c r="M17" s="143" t="s">
        <v>7</v>
      </c>
    </row>
    <row r="18" spans="1:13" ht="15">
      <c r="A18" s="71">
        <v>1968</v>
      </c>
      <c r="C18" s="143" t="s">
        <v>7</v>
      </c>
      <c r="D18" s="143" t="s">
        <v>7</v>
      </c>
      <c r="E18" s="143" t="s">
        <v>7</v>
      </c>
      <c r="F18" s="143" t="s">
        <v>7</v>
      </c>
      <c r="G18" s="171" t="s">
        <v>7</v>
      </c>
      <c r="H18" s="6"/>
      <c r="I18" s="99" t="s">
        <v>7</v>
      </c>
      <c r="J18" s="99" t="s">
        <v>7</v>
      </c>
      <c r="K18" s="99" t="s">
        <v>7</v>
      </c>
      <c r="L18" s="143" t="s">
        <v>7</v>
      </c>
      <c r="M18" s="143" t="s">
        <v>7</v>
      </c>
    </row>
    <row r="19" spans="1:13" ht="15">
      <c r="A19" s="71">
        <v>1969</v>
      </c>
      <c r="C19" s="143" t="s">
        <v>7</v>
      </c>
      <c r="D19" s="143" t="s">
        <v>7</v>
      </c>
      <c r="E19" s="143" t="s">
        <v>7</v>
      </c>
      <c r="F19" s="143" t="s">
        <v>7</v>
      </c>
      <c r="G19" s="171" t="s">
        <v>7</v>
      </c>
      <c r="H19" s="6"/>
      <c r="I19" s="99" t="s">
        <v>7</v>
      </c>
      <c r="J19" s="99" t="s">
        <v>7</v>
      </c>
      <c r="K19" s="99" t="s">
        <v>7</v>
      </c>
      <c r="L19" s="143" t="s">
        <v>7</v>
      </c>
      <c r="M19" s="143" t="s">
        <v>7</v>
      </c>
    </row>
    <row r="20" spans="1:13" ht="15">
      <c r="A20" s="71">
        <v>1970</v>
      </c>
      <c r="C20" s="143" t="s">
        <v>7</v>
      </c>
      <c r="D20" s="143" t="s">
        <v>7</v>
      </c>
      <c r="E20" s="143" t="s">
        <v>7</v>
      </c>
      <c r="F20" s="143" t="s">
        <v>7</v>
      </c>
      <c r="G20" s="171" t="s">
        <v>7</v>
      </c>
      <c r="H20" s="6"/>
      <c r="I20" s="99" t="s">
        <v>7</v>
      </c>
      <c r="J20" s="99" t="s">
        <v>7</v>
      </c>
      <c r="K20" s="99" t="s">
        <v>7</v>
      </c>
      <c r="L20" s="143" t="s">
        <v>7</v>
      </c>
      <c r="M20" s="143" t="s">
        <v>7</v>
      </c>
    </row>
    <row r="21" spans="1:13" ht="15">
      <c r="A21" s="71">
        <v>1971</v>
      </c>
      <c r="C21" s="143" t="s">
        <v>7</v>
      </c>
      <c r="D21" s="143" t="s">
        <v>7</v>
      </c>
      <c r="E21" s="143" t="s">
        <v>7</v>
      </c>
      <c r="F21" s="143" t="s">
        <v>7</v>
      </c>
      <c r="G21" s="171" t="s">
        <v>7</v>
      </c>
      <c r="H21" s="6"/>
      <c r="I21" s="99" t="s">
        <v>7</v>
      </c>
      <c r="J21" s="99" t="s">
        <v>7</v>
      </c>
      <c r="K21" s="99" t="s">
        <v>7</v>
      </c>
      <c r="L21" s="143" t="s">
        <v>7</v>
      </c>
      <c r="M21" s="143" t="s">
        <v>7</v>
      </c>
    </row>
    <row r="22" spans="1:13" ht="15">
      <c r="A22" s="71">
        <v>1972</v>
      </c>
      <c r="B22" s="69"/>
      <c r="C22" s="143" t="s">
        <v>7</v>
      </c>
      <c r="D22" s="143" t="s">
        <v>7</v>
      </c>
      <c r="E22" s="143" t="s">
        <v>7</v>
      </c>
      <c r="F22" s="143" t="s">
        <v>7</v>
      </c>
      <c r="G22" s="171" t="s">
        <v>7</v>
      </c>
      <c r="H22" s="6"/>
      <c r="I22" s="99" t="s">
        <v>7</v>
      </c>
      <c r="J22" s="99" t="s">
        <v>7</v>
      </c>
      <c r="K22" s="99" t="s">
        <v>7</v>
      </c>
      <c r="L22" s="143" t="s">
        <v>7</v>
      </c>
      <c r="M22" s="143" t="s">
        <v>7</v>
      </c>
    </row>
    <row r="23" spans="1:13" ht="15">
      <c r="A23" s="71">
        <v>1973</v>
      </c>
      <c r="B23" s="69"/>
      <c r="C23" s="143" t="s">
        <v>7</v>
      </c>
      <c r="D23" s="143" t="s">
        <v>7</v>
      </c>
      <c r="E23" s="143" t="s">
        <v>7</v>
      </c>
      <c r="F23" s="143" t="s">
        <v>7</v>
      </c>
      <c r="G23" s="171" t="s">
        <v>7</v>
      </c>
      <c r="H23" s="6"/>
      <c r="I23" s="99" t="s">
        <v>7</v>
      </c>
      <c r="J23" s="99" t="s">
        <v>7</v>
      </c>
      <c r="K23" s="99" t="s">
        <v>7</v>
      </c>
      <c r="L23" s="143" t="s">
        <v>7</v>
      </c>
      <c r="M23" s="143" t="s">
        <v>7</v>
      </c>
    </row>
    <row r="24" spans="1:13" ht="15">
      <c r="A24" s="71">
        <v>1974</v>
      </c>
      <c r="B24" s="69"/>
      <c r="C24" s="143" t="s">
        <v>7</v>
      </c>
      <c r="D24" s="143" t="s">
        <v>7</v>
      </c>
      <c r="E24" s="143" t="s">
        <v>7</v>
      </c>
      <c r="F24" s="143" t="s">
        <v>7</v>
      </c>
      <c r="G24" s="171" t="s">
        <v>7</v>
      </c>
      <c r="H24" s="6"/>
      <c r="I24" s="99" t="s">
        <v>7</v>
      </c>
      <c r="J24" s="99" t="s">
        <v>7</v>
      </c>
      <c r="K24" s="99" t="s">
        <v>7</v>
      </c>
      <c r="L24" s="143" t="s">
        <v>7</v>
      </c>
      <c r="M24" s="143" t="s">
        <v>7</v>
      </c>
    </row>
    <row r="25" spans="1:13" ht="15">
      <c r="A25" s="71">
        <v>1975</v>
      </c>
      <c r="B25" s="69"/>
      <c r="C25" s="143" t="s">
        <v>7</v>
      </c>
      <c r="D25" s="143" t="s">
        <v>7</v>
      </c>
      <c r="E25" s="143" t="s">
        <v>7</v>
      </c>
      <c r="F25" s="143" t="s">
        <v>7</v>
      </c>
      <c r="G25" s="171" t="s">
        <v>7</v>
      </c>
      <c r="H25" s="6"/>
      <c r="I25" s="99" t="s">
        <v>7</v>
      </c>
      <c r="J25" s="99" t="s">
        <v>7</v>
      </c>
      <c r="K25" s="99" t="s">
        <v>7</v>
      </c>
      <c r="L25" s="143" t="s">
        <v>7</v>
      </c>
      <c r="M25" s="143" t="s">
        <v>7</v>
      </c>
    </row>
    <row r="26" spans="1:13" ht="15">
      <c r="A26" s="71">
        <v>1976</v>
      </c>
      <c r="C26" s="143" t="s">
        <v>7</v>
      </c>
      <c r="D26" s="143" t="s">
        <v>7</v>
      </c>
      <c r="E26" s="143" t="s">
        <v>7</v>
      </c>
      <c r="F26" s="143" t="s">
        <v>7</v>
      </c>
      <c r="G26" s="171" t="s">
        <v>7</v>
      </c>
      <c r="H26" s="6"/>
      <c r="I26" s="99" t="s">
        <v>7</v>
      </c>
      <c r="J26" s="99" t="s">
        <v>7</v>
      </c>
      <c r="K26" s="99" t="s">
        <v>7</v>
      </c>
      <c r="L26" s="143" t="s">
        <v>7</v>
      </c>
      <c r="M26" s="143" t="s">
        <v>7</v>
      </c>
    </row>
    <row r="27" spans="1:13" ht="15">
      <c r="A27" s="71">
        <v>1977</v>
      </c>
      <c r="C27" s="143" t="s">
        <v>7</v>
      </c>
      <c r="D27" s="143" t="s">
        <v>7</v>
      </c>
      <c r="E27" s="143" t="s">
        <v>7</v>
      </c>
      <c r="F27" s="143" t="s">
        <v>7</v>
      </c>
      <c r="G27" s="171" t="s">
        <v>7</v>
      </c>
      <c r="H27" s="6"/>
      <c r="I27" s="99" t="s">
        <v>7</v>
      </c>
      <c r="J27" s="99" t="s">
        <v>7</v>
      </c>
      <c r="K27" s="99" t="s">
        <v>7</v>
      </c>
      <c r="L27" s="143" t="s">
        <v>7</v>
      </c>
      <c r="M27" s="143" t="s">
        <v>7</v>
      </c>
    </row>
    <row r="28" spans="1:13" ht="15">
      <c r="A28" s="71">
        <v>1978</v>
      </c>
      <c r="C28" s="143" t="s">
        <v>7</v>
      </c>
      <c r="D28" s="143" t="s">
        <v>7</v>
      </c>
      <c r="E28" s="143" t="s">
        <v>7</v>
      </c>
      <c r="F28" s="143" t="s">
        <v>7</v>
      </c>
      <c r="G28" s="171" t="s">
        <v>7</v>
      </c>
      <c r="H28" s="6"/>
      <c r="I28" s="99" t="s">
        <v>7</v>
      </c>
      <c r="J28" s="99" t="s">
        <v>7</v>
      </c>
      <c r="K28" s="99" t="s">
        <v>7</v>
      </c>
      <c r="L28" s="143" t="s">
        <v>7</v>
      </c>
      <c r="M28" s="143" t="s">
        <v>7</v>
      </c>
    </row>
    <row r="29" spans="1:13" ht="15">
      <c r="A29" s="71">
        <v>1979</v>
      </c>
      <c r="C29" s="143" t="s">
        <v>7</v>
      </c>
      <c r="D29" s="143" t="s">
        <v>7</v>
      </c>
      <c r="E29" s="143" t="s">
        <v>7</v>
      </c>
      <c r="F29" s="143" t="s">
        <v>7</v>
      </c>
      <c r="G29" s="171" t="s">
        <v>7</v>
      </c>
      <c r="H29" s="6"/>
      <c r="I29" s="99" t="s">
        <v>7</v>
      </c>
      <c r="J29" s="99" t="s">
        <v>7</v>
      </c>
      <c r="K29" s="99" t="s">
        <v>7</v>
      </c>
      <c r="L29" s="143" t="s">
        <v>7</v>
      </c>
      <c r="M29" s="143" t="s">
        <v>7</v>
      </c>
    </row>
    <row r="30" spans="1:13" ht="15">
      <c r="A30" s="71">
        <v>1980</v>
      </c>
      <c r="C30" s="143" t="s">
        <v>7</v>
      </c>
      <c r="D30" s="143" t="s">
        <v>7</v>
      </c>
      <c r="E30" s="143" t="s">
        <v>7</v>
      </c>
      <c r="F30" s="143" t="s">
        <v>7</v>
      </c>
      <c r="G30" s="171" t="s">
        <v>7</v>
      </c>
      <c r="H30" s="6"/>
      <c r="I30" s="99" t="s">
        <v>7</v>
      </c>
      <c r="J30" s="99" t="s">
        <v>7</v>
      </c>
      <c r="K30" s="99" t="s">
        <v>7</v>
      </c>
      <c r="L30" s="143" t="s">
        <v>7</v>
      </c>
      <c r="M30" s="143" t="s">
        <v>7</v>
      </c>
    </row>
    <row r="31" spans="1:13" ht="15">
      <c r="A31" s="71">
        <v>1981</v>
      </c>
      <c r="C31" s="143" t="s">
        <v>7</v>
      </c>
      <c r="D31" s="143" t="s">
        <v>7</v>
      </c>
      <c r="E31" s="143" t="s">
        <v>7</v>
      </c>
      <c r="F31" s="143" t="s">
        <v>7</v>
      </c>
      <c r="G31" s="171" t="s">
        <v>7</v>
      </c>
      <c r="I31" s="99" t="s">
        <v>7</v>
      </c>
      <c r="J31" s="99" t="s">
        <v>7</v>
      </c>
      <c r="K31" s="99" t="s">
        <v>7</v>
      </c>
      <c r="L31" s="143" t="s">
        <v>7</v>
      </c>
      <c r="M31" s="143" t="s">
        <v>7</v>
      </c>
    </row>
    <row r="32" spans="1:13" ht="15">
      <c r="A32" s="71">
        <v>1982</v>
      </c>
      <c r="C32" s="143" t="s">
        <v>7</v>
      </c>
      <c r="D32" s="143" t="s">
        <v>7</v>
      </c>
      <c r="E32" s="143" t="s">
        <v>7</v>
      </c>
      <c r="F32" s="143" t="s">
        <v>7</v>
      </c>
      <c r="G32" s="171" t="s">
        <v>7</v>
      </c>
      <c r="I32" s="99" t="s">
        <v>7</v>
      </c>
      <c r="J32" s="99" t="s">
        <v>7</v>
      </c>
      <c r="K32" s="99" t="s">
        <v>7</v>
      </c>
      <c r="L32" s="143" t="s">
        <v>7</v>
      </c>
      <c r="M32" s="143" t="s">
        <v>7</v>
      </c>
    </row>
    <row r="33" spans="1:13" ht="15">
      <c r="A33" s="71">
        <v>1983</v>
      </c>
      <c r="B33" s="69"/>
      <c r="C33" s="94">
        <v>1742</v>
      </c>
      <c r="D33" s="94">
        <f t="shared" ref="D33:D38" si="0">E33-C33</f>
        <v>12443</v>
      </c>
      <c r="E33" s="94">
        <v>14185</v>
      </c>
      <c r="F33" s="143" t="s">
        <v>7</v>
      </c>
      <c r="G33" s="171" t="s">
        <v>7</v>
      </c>
      <c r="I33" s="89">
        <f t="shared" ref="I33:I60" si="1">C33/C$35*100</f>
        <v>82.794676806083643</v>
      </c>
      <c r="J33" s="89">
        <f t="shared" ref="J33:J60" si="2">D33/D$35*100</f>
        <v>82.322196493549455</v>
      </c>
      <c r="K33" s="89">
        <f t="shared" ref="K33:K60" si="3">E33/E$35*100</f>
        <v>82.379929148034151</v>
      </c>
      <c r="L33" s="143" t="s">
        <v>7</v>
      </c>
      <c r="M33" s="143" t="s">
        <v>7</v>
      </c>
    </row>
    <row r="34" spans="1:13" ht="15">
      <c r="A34" s="71">
        <v>1984</v>
      </c>
      <c r="C34" s="94">
        <v>1920</v>
      </c>
      <c r="D34" s="94">
        <f t="shared" si="0"/>
        <v>14382</v>
      </c>
      <c r="E34" s="94">
        <v>16302</v>
      </c>
      <c r="F34" s="143" t="s">
        <v>7</v>
      </c>
      <c r="G34" s="171" t="s">
        <v>7</v>
      </c>
      <c r="I34" s="89">
        <f t="shared" si="1"/>
        <v>91.254752851711032</v>
      </c>
      <c r="J34" s="89">
        <f t="shared" si="2"/>
        <v>95.150512735693013</v>
      </c>
      <c r="K34" s="89">
        <f t="shared" si="3"/>
        <v>94.674487484755204</v>
      </c>
      <c r="L34" s="143" t="s">
        <v>7</v>
      </c>
      <c r="M34" s="143" t="s">
        <v>7</v>
      </c>
    </row>
    <row r="35" spans="1:13" ht="15">
      <c r="A35" s="71">
        <v>1985</v>
      </c>
      <c r="C35" s="94">
        <v>2104</v>
      </c>
      <c r="D35" s="94">
        <f t="shared" si="0"/>
        <v>15115</v>
      </c>
      <c r="E35" s="94">
        <v>17219</v>
      </c>
      <c r="F35" s="143" t="s">
        <v>7</v>
      </c>
      <c r="G35" s="171" t="s">
        <v>7</v>
      </c>
      <c r="I35" s="89">
        <f t="shared" si="1"/>
        <v>100</v>
      </c>
      <c r="J35" s="89">
        <f t="shared" si="2"/>
        <v>100</v>
      </c>
      <c r="K35" s="89">
        <f t="shared" si="3"/>
        <v>100</v>
      </c>
      <c r="L35" s="143" t="s">
        <v>7</v>
      </c>
      <c r="M35" s="143" t="s">
        <v>7</v>
      </c>
    </row>
    <row r="36" spans="1:13" ht="15">
      <c r="A36" s="71">
        <v>1986</v>
      </c>
      <c r="C36" s="94">
        <v>2116</v>
      </c>
      <c r="D36" s="94">
        <f t="shared" si="0"/>
        <v>15531</v>
      </c>
      <c r="E36" s="94">
        <v>17647</v>
      </c>
      <c r="F36" s="143" t="s">
        <v>7</v>
      </c>
      <c r="G36" s="171" t="s">
        <v>7</v>
      </c>
      <c r="I36" s="89">
        <f t="shared" si="1"/>
        <v>100.57034220532319</v>
      </c>
      <c r="J36" s="89">
        <f t="shared" si="2"/>
        <v>102.7522328812438</v>
      </c>
      <c r="K36" s="89">
        <f t="shared" si="3"/>
        <v>102.48562634299321</v>
      </c>
      <c r="L36" s="143" t="s">
        <v>7</v>
      </c>
      <c r="M36" s="143" t="s">
        <v>7</v>
      </c>
    </row>
    <row r="37" spans="1:13" ht="15">
      <c r="A37" s="71">
        <v>1987</v>
      </c>
      <c r="C37" s="94">
        <v>2541</v>
      </c>
      <c r="D37" s="94">
        <f t="shared" si="0"/>
        <v>16226</v>
      </c>
      <c r="E37" s="94">
        <v>18767</v>
      </c>
      <c r="F37" s="143" t="s">
        <v>7</v>
      </c>
      <c r="G37" s="171" t="s">
        <v>7</v>
      </c>
      <c r="I37" s="89">
        <f t="shared" si="1"/>
        <v>120.7699619771863</v>
      </c>
      <c r="J37" s="89">
        <f t="shared" si="2"/>
        <v>107.35031425736024</v>
      </c>
      <c r="K37" s="89">
        <f t="shared" si="3"/>
        <v>108.99006910970439</v>
      </c>
      <c r="L37" s="143" t="s">
        <v>7</v>
      </c>
      <c r="M37" s="143" t="s">
        <v>7</v>
      </c>
    </row>
    <row r="38" spans="1:13" ht="15">
      <c r="A38" s="71">
        <v>1988</v>
      </c>
      <c r="C38" s="94">
        <v>2961</v>
      </c>
      <c r="D38" s="94">
        <f t="shared" si="0"/>
        <v>17137</v>
      </c>
      <c r="E38" s="94">
        <v>20098</v>
      </c>
      <c r="F38" s="143" t="s">
        <v>7</v>
      </c>
      <c r="G38" s="171" t="s">
        <v>7</v>
      </c>
      <c r="I38" s="89">
        <f t="shared" si="1"/>
        <v>140.73193916349811</v>
      </c>
      <c r="J38" s="89">
        <f t="shared" si="2"/>
        <v>113.37743962950711</v>
      </c>
      <c r="K38" s="89">
        <f t="shared" si="3"/>
        <v>116.7199024333585</v>
      </c>
      <c r="L38" s="143" t="s">
        <v>7</v>
      </c>
      <c r="M38" s="143" t="s">
        <v>7</v>
      </c>
    </row>
    <row r="39" spans="1:13" ht="15">
      <c r="A39" s="71">
        <v>1989</v>
      </c>
      <c r="C39" s="94">
        <v>3141</v>
      </c>
      <c r="D39" s="94">
        <v>18262</v>
      </c>
      <c r="E39" s="94">
        <v>21404</v>
      </c>
      <c r="F39" s="143" t="s">
        <v>7</v>
      </c>
      <c r="G39" s="171" t="s">
        <v>7</v>
      </c>
      <c r="I39" s="89">
        <f t="shared" si="1"/>
        <v>149.28707224334602</v>
      </c>
      <c r="J39" s="89">
        <f t="shared" si="2"/>
        <v>120.82037710883229</v>
      </c>
      <c r="K39" s="89">
        <f t="shared" si="3"/>
        <v>124.3045473023985</v>
      </c>
      <c r="L39" s="143" t="s">
        <v>7</v>
      </c>
      <c r="M39" s="143" t="s">
        <v>7</v>
      </c>
    </row>
    <row r="40" spans="1:13" ht="15">
      <c r="A40" s="71">
        <v>1990</v>
      </c>
      <c r="C40" s="94">
        <v>3286</v>
      </c>
      <c r="D40" s="94">
        <v>18501</v>
      </c>
      <c r="E40" s="94">
        <v>21786</v>
      </c>
      <c r="F40" s="143" t="s">
        <v>7</v>
      </c>
      <c r="G40" s="171" t="s">
        <v>7</v>
      </c>
      <c r="I40" s="89">
        <f t="shared" si="1"/>
        <v>156.1787072243346</v>
      </c>
      <c r="J40" s="89">
        <f t="shared" si="2"/>
        <v>122.40158782666227</v>
      </c>
      <c r="K40" s="89">
        <f t="shared" si="3"/>
        <v>126.5230268889018</v>
      </c>
      <c r="L40" s="143" t="s">
        <v>7</v>
      </c>
      <c r="M40" s="143" t="s">
        <v>7</v>
      </c>
    </row>
    <row r="41" spans="1:13" ht="15">
      <c r="A41" s="71">
        <v>1991</v>
      </c>
      <c r="B41" s="172"/>
      <c r="C41" s="94">
        <v>3200</v>
      </c>
      <c r="D41" s="94">
        <v>18747</v>
      </c>
      <c r="E41" s="94">
        <v>21947</v>
      </c>
      <c r="F41" s="143" t="s">
        <v>7</v>
      </c>
      <c r="G41" s="171" t="s">
        <v>7</v>
      </c>
      <c r="I41" s="89">
        <f t="shared" si="1"/>
        <v>152.09125475285171</v>
      </c>
      <c r="J41" s="89">
        <f t="shared" si="2"/>
        <v>124.02911015547468</v>
      </c>
      <c r="K41" s="89">
        <f t="shared" si="3"/>
        <v>127.45804053661654</v>
      </c>
      <c r="L41" s="143" t="s">
        <v>7</v>
      </c>
      <c r="M41" s="143" t="s">
        <v>7</v>
      </c>
    </row>
    <row r="42" spans="1:13" ht="15">
      <c r="A42" s="71">
        <v>1992</v>
      </c>
      <c r="B42" s="69"/>
      <c r="C42" s="96">
        <v>3516</v>
      </c>
      <c r="D42" s="96">
        <v>19060</v>
      </c>
      <c r="E42" s="96">
        <v>22575</v>
      </c>
      <c r="F42" s="143" t="s">
        <v>7</v>
      </c>
      <c r="G42" s="171" t="s">
        <v>7</v>
      </c>
      <c r="I42" s="92">
        <f t="shared" si="1"/>
        <v>167.11026615969581</v>
      </c>
      <c r="J42" s="92">
        <f t="shared" si="2"/>
        <v>126.09990076083362</v>
      </c>
      <c r="K42" s="92">
        <f t="shared" si="3"/>
        <v>131.10517451652242</v>
      </c>
      <c r="L42" s="143" t="s">
        <v>7</v>
      </c>
      <c r="M42" s="143" t="s">
        <v>7</v>
      </c>
    </row>
    <row r="43" spans="1:13" ht="15">
      <c r="A43" s="71">
        <v>1993</v>
      </c>
      <c r="C43" s="94">
        <v>4000</v>
      </c>
      <c r="D43" s="94">
        <v>18666</v>
      </c>
      <c r="E43" s="94">
        <v>22666</v>
      </c>
      <c r="F43" s="94">
        <v>12509</v>
      </c>
      <c r="G43" s="173">
        <v>35175</v>
      </c>
      <c r="I43" s="89">
        <f t="shared" si="1"/>
        <v>190.11406844106463</v>
      </c>
      <c r="J43" s="89">
        <f t="shared" si="2"/>
        <v>123.49321865696328</v>
      </c>
      <c r="K43" s="89">
        <f t="shared" si="3"/>
        <v>131.63366049131773</v>
      </c>
      <c r="L43" s="143" t="s">
        <v>7</v>
      </c>
      <c r="M43" s="143" t="s">
        <v>7</v>
      </c>
    </row>
    <row r="44" spans="1:13" ht="15">
      <c r="A44" s="71">
        <v>1994</v>
      </c>
      <c r="B44" s="69"/>
      <c r="C44" s="94">
        <v>4147</v>
      </c>
      <c r="D44" s="94">
        <v>19153</v>
      </c>
      <c r="E44" s="94">
        <v>23300</v>
      </c>
      <c r="F44" s="94">
        <v>12700</v>
      </c>
      <c r="G44" s="173">
        <v>36000</v>
      </c>
      <c r="I44" s="89">
        <f t="shared" si="1"/>
        <v>197.10076045627375</v>
      </c>
      <c r="J44" s="99">
        <f t="shared" si="2"/>
        <v>126.71518359245782</v>
      </c>
      <c r="K44" s="99">
        <f t="shared" si="3"/>
        <v>135.31563970033102</v>
      </c>
      <c r="L44" s="143" t="s">
        <v>7</v>
      </c>
      <c r="M44" s="143" t="s">
        <v>7</v>
      </c>
    </row>
    <row r="45" spans="1:13" ht="15">
      <c r="A45" s="71">
        <v>1995</v>
      </c>
      <c r="C45" s="100">
        <v>4318</v>
      </c>
      <c r="D45" s="94">
        <v>19670</v>
      </c>
      <c r="E45" s="94">
        <v>23987</v>
      </c>
      <c r="F45" s="100">
        <v>12749</v>
      </c>
      <c r="G45" s="173">
        <v>36736</v>
      </c>
      <c r="I45" s="89">
        <f t="shared" si="1"/>
        <v>205.22813688212929</v>
      </c>
      <c r="J45" s="89">
        <f t="shared" si="2"/>
        <v>130.13562686073436</v>
      </c>
      <c r="K45" s="89">
        <f t="shared" si="3"/>
        <v>139.30541843312619</v>
      </c>
      <c r="L45" s="143" t="s">
        <v>7</v>
      </c>
      <c r="M45" s="143" t="s">
        <v>7</v>
      </c>
    </row>
    <row r="46" spans="1:13" s="6" customFormat="1" ht="15">
      <c r="A46" s="72">
        <v>1996</v>
      </c>
      <c r="C46" s="100">
        <v>4586</v>
      </c>
      <c r="D46" s="94">
        <v>20253</v>
      </c>
      <c r="E46" s="94">
        <v>24839</v>
      </c>
      <c r="F46" s="100">
        <v>12938</v>
      </c>
      <c r="G46" s="173">
        <v>37777</v>
      </c>
      <c r="H46" s="8"/>
      <c r="I46" s="89">
        <f t="shared" si="1"/>
        <v>217.96577946768059</v>
      </c>
      <c r="J46" s="89">
        <f t="shared" si="2"/>
        <v>133.99272246113131</v>
      </c>
      <c r="K46" s="89">
        <f t="shared" si="3"/>
        <v>144.25344096637437</v>
      </c>
      <c r="L46" s="143" t="s">
        <v>7</v>
      </c>
      <c r="M46" s="143" t="s">
        <v>7</v>
      </c>
    </row>
    <row r="47" spans="1:13" s="6" customFormat="1" ht="15">
      <c r="A47" s="71">
        <v>1997</v>
      </c>
      <c r="B47" s="174"/>
      <c r="C47" s="100">
        <v>4852</v>
      </c>
      <c r="D47" s="94">
        <v>20600</v>
      </c>
      <c r="E47" s="94">
        <v>25452</v>
      </c>
      <c r="F47" s="100">
        <v>13130</v>
      </c>
      <c r="G47" s="173">
        <v>38582</v>
      </c>
      <c r="H47" s="8"/>
      <c r="I47" s="89">
        <f t="shared" si="1"/>
        <v>230.60836501901139</v>
      </c>
      <c r="J47" s="89">
        <f t="shared" si="2"/>
        <v>136.28845517697653</v>
      </c>
      <c r="K47" s="89">
        <f t="shared" si="3"/>
        <v>147.81346187351181</v>
      </c>
      <c r="L47" s="143" t="s">
        <v>7</v>
      </c>
      <c r="M47" s="143" t="s">
        <v>7</v>
      </c>
    </row>
    <row r="48" spans="1:13" ht="15">
      <c r="A48" s="72">
        <v>1998</v>
      </c>
      <c r="B48" s="104"/>
      <c r="C48" s="100">
        <v>5072</v>
      </c>
      <c r="D48" s="94">
        <v>20812</v>
      </c>
      <c r="E48" s="94">
        <v>25885</v>
      </c>
      <c r="F48" s="100">
        <v>13284</v>
      </c>
      <c r="G48" s="173">
        <v>39169</v>
      </c>
      <c r="I48" s="99">
        <f t="shared" si="1"/>
        <v>241.06463878326997</v>
      </c>
      <c r="J48" s="89">
        <f t="shared" si="2"/>
        <v>137.69103539530266</v>
      </c>
      <c r="K48" s="89">
        <f t="shared" si="3"/>
        <v>150.32812590742785</v>
      </c>
      <c r="L48" s="143" t="s">
        <v>7</v>
      </c>
      <c r="M48" s="143" t="s">
        <v>7</v>
      </c>
    </row>
    <row r="49" spans="1:14" ht="15">
      <c r="A49" s="72">
        <v>1999</v>
      </c>
      <c r="B49" s="104"/>
      <c r="C49" s="100">
        <v>5164</v>
      </c>
      <c r="D49" s="94">
        <v>21021</v>
      </c>
      <c r="E49" s="94">
        <v>26185</v>
      </c>
      <c r="F49" s="100">
        <v>13585</v>
      </c>
      <c r="G49" s="173">
        <v>39770</v>
      </c>
      <c r="I49" s="99">
        <f t="shared" si="1"/>
        <v>245.43726235741445</v>
      </c>
      <c r="J49" s="89">
        <f t="shared" si="2"/>
        <v>139.07376778035066</v>
      </c>
      <c r="K49" s="89">
        <f t="shared" si="3"/>
        <v>152.07038736279691</v>
      </c>
      <c r="L49" s="143" t="s">
        <v>7</v>
      </c>
      <c r="M49" s="143" t="s">
        <v>7</v>
      </c>
    </row>
    <row r="50" spans="1:14" ht="15">
      <c r="A50" s="72">
        <v>2000</v>
      </c>
      <c r="B50" s="104"/>
      <c r="C50" s="100">
        <v>5405</v>
      </c>
      <c r="D50" s="94">
        <v>20531</v>
      </c>
      <c r="E50" s="94">
        <v>25936</v>
      </c>
      <c r="F50" s="100">
        <v>13625</v>
      </c>
      <c r="G50" s="173">
        <v>39561</v>
      </c>
      <c r="H50" s="6"/>
      <c r="I50" s="99">
        <f t="shared" si="1"/>
        <v>256.89163498098861</v>
      </c>
      <c r="J50" s="99">
        <f t="shared" si="2"/>
        <v>135.83195501157789</v>
      </c>
      <c r="K50" s="99">
        <f t="shared" si="3"/>
        <v>150.62431035484059</v>
      </c>
      <c r="L50" s="143" t="s">
        <v>7</v>
      </c>
      <c r="M50" s="143" t="s">
        <v>7</v>
      </c>
    </row>
    <row r="51" spans="1:14" s="6" customFormat="1" ht="15">
      <c r="A51" s="72">
        <v>2001</v>
      </c>
      <c r="B51" s="104"/>
      <c r="C51" s="100">
        <v>5567</v>
      </c>
      <c r="D51" s="94">
        <v>20775</v>
      </c>
      <c r="E51" s="94">
        <v>26342</v>
      </c>
      <c r="F51" s="100">
        <v>13722</v>
      </c>
      <c r="G51" s="173">
        <v>40065</v>
      </c>
      <c r="I51" s="99">
        <f t="shared" si="1"/>
        <v>264.59125475285174</v>
      </c>
      <c r="J51" s="99">
        <f t="shared" si="2"/>
        <v>137.4462454515382</v>
      </c>
      <c r="K51" s="99">
        <f t="shared" si="3"/>
        <v>152.98217085777338</v>
      </c>
      <c r="L51" s="143" t="s">
        <v>7</v>
      </c>
      <c r="M51" s="143" t="s">
        <v>7</v>
      </c>
    </row>
    <row r="52" spans="1:14" ht="15">
      <c r="A52" s="72">
        <v>2002</v>
      </c>
      <c r="B52" s="104"/>
      <c r="C52" s="100">
        <v>5730</v>
      </c>
      <c r="D52" s="20">
        <v>21533</v>
      </c>
      <c r="E52" s="20">
        <v>27262</v>
      </c>
      <c r="F52" s="100">
        <v>14272</v>
      </c>
      <c r="G52" s="173">
        <v>41535</v>
      </c>
      <c r="H52" s="6"/>
      <c r="I52" s="99">
        <f t="shared" si="1"/>
        <v>272.33840304182507</v>
      </c>
      <c r="J52" s="99">
        <f t="shared" si="2"/>
        <v>142.46113132649685</v>
      </c>
      <c r="K52" s="99">
        <f t="shared" si="3"/>
        <v>158.32510598757187</v>
      </c>
      <c r="L52" s="143" t="s">
        <v>7</v>
      </c>
      <c r="M52" s="143" t="s">
        <v>7</v>
      </c>
    </row>
    <row r="53" spans="1:14" ht="15">
      <c r="A53" s="72">
        <v>2003</v>
      </c>
      <c r="B53" s="104"/>
      <c r="C53" s="100">
        <v>5856</v>
      </c>
      <c r="D53" s="20">
        <v>21826</v>
      </c>
      <c r="E53" s="20">
        <v>27682</v>
      </c>
      <c r="F53" s="100">
        <v>14356</v>
      </c>
      <c r="G53" s="173">
        <v>42038</v>
      </c>
      <c r="H53" s="6"/>
      <c r="I53" s="99">
        <f t="shared" si="1"/>
        <v>278.32699619771859</v>
      </c>
      <c r="J53" s="99">
        <f t="shared" si="2"/>
        <v>144.39960304333442</v>
      </c>
      <c r="K53" s="99">
        <f t="shared" si="3"/>
        <v>160.76427202508856</v>
      </c>
      <c r="L53" s="143" t="s">
        <v>7</v>
      </c>
      <c r="M53" s="143" t="s">
        <v>7</v>
      </c>
    </row>
    <row r="54" spans="1:14" ht="15">
      <c r="A54" s="72">
        <v>2004</v>
      </c>
      <c r="B54" s="104"/>
      <c r="C54" s="100">
        <v>6094</v>
      </c>
      <c r="D54" s="20">
        <v>22114</v>
      </c>
      <c r="E54" s="20">
        <v>28209</v>
      </c>
      <c r="F54" s="100">
        <v>14496</v>
      </c>
      <c r="G54" s="173">
        <v>42705</v>
      </c>
      <c r="H54" s="6"/>
      <c r="I54" s="99">
        <f t="shared" si="1"/>
        <v>289.63878326996195</v>
      </c>
      <c r="J54" s="99">
        <f t="shared" si="2"/>
        <v>146.30499503804168</v>
      </c>
      <c r="K54" s="99">
        <f t="shared" si="3"/>
        <v>163.82484464835358</v>
      </c>
      <c r="L54" s="143" t="s">
        <v>7</v>
      </c>
      <c r="M54" s="143" t="s">
        <v>7</v>
      </c>
    </row>
    <row r="55" spans="1:14" ht="15">
      <c r="A55" s="72">
        <v>2005</v>
      </c>
      <c r="B55" s="104"/>
      <c r="C55" s="100">
        <v>6151</v>
      </c>
      <c r="D55" s="20">
        <v>21904</v>
      </c>
      <c r="E55" s="20">
        <v>28055</v>
      </c>
      <c r="F55" s="100">
        <v>14663</v>
      </c>
      <c r="G55" s="173">
        <v>42718</v>
      </c>
      <c r="H55" s="6"/>
      <c r="I55" s="99">
        <f t="shared" si="1"/>
        <v>292.34790874524714</v>
      </c>
      <c r="J55" s="99">
        <f t="shared" si="2"/>
        <v>144.91564670856764</v>
      </c>
      <c r="K55" s="99">
        <f t="shared" si="3"/>
        <v>162.93048376793078</v>
      </c>
      <c r="L55" s="143" t="s">
        <v>7</v>
      </c>
      <c r="M55" s="143" t="s">
        <v>7</v>
      </c>
    </row>
    <row r="56" spans="1:14" ht="15">
      <c r="A56" s="72">
        <v>2006</v>
      </c>
      <c r="B56" s="104"/>
      <c r="C56" s="100">
        <v>6433</v>
      </c>
      <c r="D56" s="20">
        <v>22465</v>
      </c>
      <c r="E56" s="20">
        <v>29898</v>
      </c>
      <c r="F56" s="100">
        <v>15221</v>
      </c>
      <c r="G56" s="173">
        <v>44119</v>
      </c>
      <c r="H56" s="6"/>
      <c r="I56" s="99">
        <f t="shared" si="1"/>
        <v>305.75095057034218</v>
      </c>
      <c r="J56" s="99">
        <f t="shared" si="2"/>
        <v>148.62719153159114</v>
      </c>
      <c r="K56" s="99">
        <f t="shared" si="3"/>
        <v>173.63377664208141</v>
      </c>
      <c r="L56" s="143" t="s">
        <v>7</v>
      </c>
      <c r="M56" s="143" t="s">
        <v>7</v>
      </c>
    </row>
    <row r="57" spans="1:14" ht="15">
      <c r="A57" s="72">
        <v>2007</v>
      </c>
      <c r="B57" s="104"/>
      <c r="C57" s="100">
        <v>6577</v>
      </c>
      <c r="D57" s="20">
        <v>22408</v>
      </c>
      <c r="E57" s="20">
        <v>28986</v>
      </c>
      <c r="F57" s="20">
        <v>15680</v>
      </c>
      <c r="G57" s="173">
        <v>44666</v>
      </c>
      <c r="H57" s="6"/>
      <c r="I57" s="99">
        <f t="shared" si="1"/>
        <v>312.59505703422053</v>
      </c>
      <c r="J57" s="99">
        <f t="shared" si="2"/>
        <v>148.25008269930532</v>
      </c>
      <c r="K57" s="99">
        <f t="shared" si="3"/>
        <v>168.33730181775945</v>
      </c>
      <c r="L57" s="143" t="s">
        <v>7</v>
      </c>
      <c r="M57" s="143" t="s">
        <v>7</v>
      </c>
    </row>
    <row r="58" spans="1:14" ht="15">
      <c r="A58" s="72">
        <v>2008</v>
      </c>
      <c r="B58" s="104"/>
      <c r="C58" s="100">
        <v>6683</v>
      </c>
      <c r="D58" s="100">
        <v>22127</v>
      </c>
      <c r="E58" s="100">
        <v>28810</v>
      </c>
      <c r="F58" s="100">
        <v>15659</v>
      </c>
      <c r="G58" s="100">
        <v>44470</v>
      </c>
      <c r="H58" s="175"/>
      <c r="I58" s="99">
        <f t="shared" si="1"/>
        <v>317.63307984790873</v>
      </c>
      <c r="J58" s="99">
        <f t="shared" si="2"/>
        <v>146.39100231558055</v>
      </c>
      <c r="K58" s="99">
        <f t="shared" si="3"/>
        <v>167.31517509727627</v>
      </c>
      <c r="L58" s="143" t="s">
        <v>7</v>
      </c>
      <c r="M58" s="143" t="s">
        <v>7</v>
      </c>
    </row>
    <row r="59" spans="1:14" ht="15">
      <c r="A59" s="72">
        <v>2009</v>
      </c>
      <c r="B59" s="104"/>
      <c r="C59" s="100">
        <v>6633</v>
      </c>
      <c r="D59" s="100">
        <v>22327</v>
      </c>
      <c r="E59" s="100">
        <v>28961</v>
      </c>
      <c r="F59" s="100">
        <v>15258</v>
      </c>
      <c r="G59" s="173">
        <v>44219</v>
      </c>
      <c r="H59" s="103"/>
      <c r="I59" s="99">
        <f t="shared" si="1"/>
        <v>315.2566539923954</v>
      </c>
      <c r="J59" s="99">
        <f t="shared" si="2"/>
        <v>147.71419120079392</v>
      </c>
      <c r="K59" s="99">
        <f t="shared" si="3"/>
        <v>168.19211336314538</v>
      </c>
      <c r="L59" s="143" t="s">
        <v>7</v>
      </c>
      <c r="M59" s="143" t="s">
        <v>7</v>
      </c>
    </row>
    <row r="60" spans="1:14" ht="15">
      <c r="A60" s="72">
        <v>2010</v>
      </c>
      <c r="B60" s="104"/>
      <c r="C60" s="100">
        <v>6503</v>
      </c>
      <c r="D60" s="100">
        <v>21992</v>
      </c>
      <c r="E60" s="100">
        <v>28495</v>
      </c>
      <c r="F60" s="100">
        <v>14992</v>
      </c>
      <c r="G60" s="100">
        <v>43488</v>
      </c>
      <c r="H60" s="175"/>
      <c r="I60" s="99">
        <f t="shared" si="1"/>
        <v>309.07794676806083</v>
      </c>
      <c r="J60" s="99">
        <f t="shared" si="2"/>
        <v>145.49784981806152</v>
      </c>
      <c r="K60" s="99">
        <f t="shared" si="3"/>
        <v>165.48580056913875</v>
      </c>
      <c r="L60" s="143" t="s">
        <v>7</v>
      </c>
      <c r="M60" s="143" t="s">
        <v>7</v>
      </c>
    </row>
    <row r="61" spans="1:14" ht="15">
      <c r="A61" s="72">
        <v>2011</v>
      </c>
      <c r="B61" s="104"/>
      <c r="C61" s="100">
        <v>6570</v>
      </c>
      <c r="D61" s="100">
        <v>21996</v>
      </c>
      <c r="E61" s="100">
        <v>28565</v>
      </c>
      <c r="F61" s="100">
        <v>14825</v>
      </c>
      <c r="G61" s="173">
        <v>43390</v>
      </c>
      <c r="H61" s="175"/>
      <c r="I61" s="99">
        <f t="shared" ref="I61:K62" si="4">C61/C$35*100</f>
        <v>312.26235741444867</v>
      </c>
      <c r="J61" s="99">
        <f t="shared" si="4"/>
        <v>145.52431359576579</v>
      </c>
      <c r="K61" s="99">
        <f t="shared" si="4"/>
        <v>165.8923282420582</v>
      </c>
      <c r="L61" s="143" t="s">
        <v>7</v>
      </c>
      <c r="M61" s="143" t="s">
        <v>7</v>
      </c>
    </row>
    <row r="62" spans="1:14" ht="18">
      <c r="A62" s="72" t="s">
        <v>434</v>
      </c>
      <c r="B62" s="104"/>
      <c r="C62" s="100">
        <v>7140</v>
      </c>
      <c r="D62" s="100">
        <v>21713</v>
      </c>
      <c r="E62" s="100">
        <v>28853</v>
      </c>
      <c r="F62" s="100">
        <v>14696</v>
      </c>
      <c r="G62" s="100">
        <v>43549</v>
      </c>
      <c r="H62" s="175"/>
      <c r="I62" s="99">
        <f t="shared" si="4"/>
        <v>339.35361216730035</v>
      </c>
      <c r="J62" s="99">
        <f t="shared" si="4"/>
        <v>143.6520013231889</v>
      </c>
      <c r="K62" s="99">
        <f t="shared" si="4"/>
        <v>167.56489923921251</v>
      </c>
      <c r="L62" s="143" t="s">
        <v>7</v>
      </c>
      <c r="M62" s="143" t="s">
        <v>7</v>
      </c>
      <c r="N62" s="6"/>
    </row>
    <row r="63" spans="1:14" ht="15">
      <c r="A63" s="72">
        <v>2013</v>
      </c>
      <c r="B63" s="104"/>
      <c r="C63" s="100">
        <v>7262</v>
      </c>
      <c r="D63" s="100">
        <v>21786</v>
      </c>
      <c r="E63" s="100">
        <v>29048</v>
      </c>
      <c r="F63" s="100">
        <v>14792</v>
      </c>
      <c r="G63" s="100">
        <v>43840</v>
      </c>
      <c r="H63" s="175"/>
      <c r="I63" s="99">
        <f t="shared" ref="I63:K64" si="5">C63/C$35*100</f>
        <v>345.15209125475286</v>
      </c>
      <c r="J63" s="99">
        <f t="shared" si="5"/>
        <v>144.13496526629177</v>
      </c>
      <c r="K63" s="99">
        <f t="shared" si="5"/>
        <v>168.6973691852024</v>
      </c>
      <c r="L63" s="143" t="s">
        <v>7</v>
      </c>
      <c r="M63" s="143" t="s">
        <v>7</v>
      </c>
    </row>
    <row r="64" spans="1:14" ht="15.75" thickBot="1">
      <c r="A64" s="277">
        <v>2014</v>
      </c>
      <c r="B64" s="278"/>
      <c r="C64" s="280">
        <v>7421</v>
      </c>
      <c r="D64" s="280">
        <v>22016</v>
      </c>
      <c r="E64" s="280">
        <v>29437</v>
      </c>
      <c r="F64" s="280">
        <v>15352</v>
      </c>
      <c r="G64" s="280">
        <v>44789</v>
      </c>
      <c r="H64" s="279"/>
      <c r="I64" s="274">
        <f t="shared" si="5"/>
        <v>352.70912547528519</v>
      </c>
      <c r="J64" s="274">
        <f t="shared" si="5"/>
        <v>145.65663248428712</v>
      </c>
      <c r="K64" s="274">
        <f t="shared" si="5"/>
        <v>170.95650153899763</v>
      </c>
      <c r="L64" s="159" t="s">
        <v>7</v>
      </c>
      <c r="M64" s="159" t="s">
        <v>7</v>
      </c>
    </row>
    <row r="65" spans="1:13" ht="15">
      <c r="A65" s="177" t="s">
        <v>435</v>
      </c>
      <c r="B65" s="104"/>
      <c r="C65" s="178"/>
      <c r="D65" s="178"/>
      <c r="E65" s="178"/>
      <c r="F65" s="178"/>
      <c r="G65" s="178"/>
      <c r="H65" s="103"/>
      <c r="I65" s="179"/>
      <c r="J65" s="179"/>
      <c r="K65" s="179"/>
      <c r="L65" s="179"/>
      <c r="M65" s="179"/>
    </row>
    <row r="66" spans="1:13">
      <c r="A66" s="16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</row>
    <row r="67" spans="1:13">
      <c r="A67" s="16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</row>
    <row r="68" spans="1:13" ht="14.25" hidden="1">
      <c r="A68" s="172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</row>
    <row r="69" spans="1:13" ht="14.25" hidden="1">
      <c r="A69" s="172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</row>
    <row r="70" spans="1:13" ht="14.25" hidden="1">
      <c r="A70" s="172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ht="13.5" customHeight="1">
      <c r="A71" s="16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>
      <c r="A72" s="16"/>
    </row>
    <row r="73" spans="1:13" ht="129" customHeight="1"/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70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X114"/>
  <sheetViews>
    <sheetView zoomScale="75" zoomScaleNormal="75" workbookViewId="0">
      <pane ySplit="8" topLeftCell="A21" activePane="bottomLeft" state="frozen"/>
      <selection pane="bottomLeft" activeCell="A9" sqref="A9"/>
    </sheetView>
  </sheetViews>
  <sheetFormatPr defaultColWidth="11.42578125" defaultRowHeight="12.75"/>
  <cols>
    <col min="1" max="1" width="10.5703125" style="8" customWidth="1"/>
    <col min="2" max="2" width="2.140625" style="8" customWidth="1"/>
    <col min="3" max="3" width="16.28515625" style="8" customWidth="1"/>
    <col min="4" max="4" width="15.5703125" style="8" customWidth="1"/>
    <col min="5" max="5" width="16.7109375" style="8" customWidth="1"/>
    <col min="6" max="6" width="3.7109375" style="8" customWidth="1"/>
    <col min="7" max="7" width="10.85546875" style="8" customWidth="1"/>
    <col min="8" max="8" width="14.7109375" style="8" customWidth="1"/>
    <col min="9" max="9" width="13.140625" style="8" customWidth="1"/>
    <col min="10" max="10" width="8.85546875" style="8" customWidth="1"/>
    <col min="11" max="16384" width="11.42578125" style="8"/>
  </cols>
  <sheetData>
    <row r="1" spans="1:9" s="18" customFormat="1" ht="20.25">
      <c r="A1" s="81" t="s">
        <v>274</v>
      </c>
      <c r="H1" s="649" t="s">
        <v>628</v>
      </c>
    </row>
    <row r="2" spans="1:9">
      <c r="A2" s="6"/>
      <c r="B2" s="6"/>
      <c r="C2" s="6"/>
      <c r="D2" s="6"/>
      <c r="E2" s="6"/>
      <c r="F2" s="6"/>
      <c r="G2" s="6"/>
      <c r="H2" s="6"/>
      <c r="I2" s="6"/>
    </row>
    <row r="3" spans="1:9" ht="15">
      <c r="A3" s="161" t="s">
        <v>215</v>
      </c>
      <c r="B3" s="162"/>
      <c r="C3" s="163" t="s">
        <v>37</v>
      </c>
      <c r="D3" s="163" t="s">
        <v>226</v>
      </c>
      <c r="E3" s="163" t="s">
        <v>227</v>
      </c>
      <c r="F3" s="180"/>
      <c r="G3" s="163" t="s">
        <v>37</v>
      </c>
      <c r="H3" s="163" t="s">
        <v>226</v>
      </c>
      <c r="I3" s="163" t="s">
        <v>227</v>
      </c>
    </row>
    <row r="4" spans="1:9" ht="15">
      <c r="A4" s="165"/>
      <c r="B4" s="165"/>
      <c r="C4" s="166" t="s">
        <v>228</v>
      </c>
      <c r="D4" s="166" t="s">
        <v>229</v>
      </c>
      <c r="E4" s="166" t="s">
        <v>230</v>
      </c>
      <c r="F4" s="181"/>
      <c r="G4" s="166" t="s">
        <v>228</v>
      </c>
      <c r="H4" s="166" t="s">
        <v>229</v>
      </c>
      <c r="I4" s="166" t="s">
        <v>230</v>
      </c>
    </row>
    <row r="5" spans="1:9" ht="15">
      <c r="A5" s="165"/>
      <c r="B5" s="165"/>
      <c r="C5" s="166"/>
      <c r="D5" s="166" t="s">
        <v>231</v>
      </c>
      <c r="E5" s="166" t="s">
        <v>232</v>
      </c>
      <c r="F5" s="181"/>
      <c r="G5" s="166"/>
      <c r="H5" s="166" t="s">
        <v>231</v>
      </c>
      <c r="I5" s="166" t="s">
        <v>232</v>
      </c>
    </row>
    <row r="6" spans="1:9" ht="15">
      <c r="A6" s="6"/>
      <c r="B6" s="6"/>
      <c r="C6" s="78"/>
      <c r="D6" s="166" t="s">
        <v>233</v>
      </c>
      <c r="E6" s="6"/>
      <c r="F6" s="182"/>
      <c r="G6" s="6"/>
      <c r="H6" s="166" t="s">
        <v>233</v>
      </c>
      <c r="I6" s="166"/>
    </row>
    <row r="7" spans="1:9" ht="15">
      <c r="A7" s="6"/>
      <c r="B7" s="6"/>
      <c r="C7" s="78"/>
      <c r="D7" s="166" t="s">
        <v>234</v>
      </c>
      <c r="E7" s="78" t="s">
        <v>235</v>
      </c>
      <c r="F7" s="182"/>
      <c r="G7" s="6"/>
      <c r="H7" s="166" t="s">
        <v>234</v>
      </c>
      <c r="I7" s="6"/>
    </row>
    <row r="8" spans="1:9" ht="5.25" customHeight="1">
      <c r="A8" s="28"/>
      <c r="B8" s="28"/>
      <c r="C8" s="169"/>
      <c r="D8" s="169"/>
      <c r="E8" s="169"/>
      <c r="F8" s="183"/>
      <c r="G8" s="28"/>
      <c r="H8" s="28"/>
      <c r="I8" s="28"/>
    </row>
    <row r="9" spans="1:9">
      <c r="A9" s="6"/>
      <c r="B9" s="6"/>
      <c r="C9" s="78"/>
      <c r="D9" s="78"/>
      <c r="E9" s="78"/>
      <c r="F9" s="182"/>
      <c r="G9" s="6"/>
      <c r="H9" s="6"/>
      <c r="I9" s="6"/>
    </row>
    <row r="10" spans="1:9">
      <c r="C10" s="15" t="s">
        <v>122</v>
      </c>
      <c r="D10" s="15" t="s">
        <v>122</v>
      </c>
      <c r="E10" s="15" t="s">
        <v>236</v>
      </c>
      <c r="F10" s="182"/>
      <c r="I10" s="15" t="s">
        <v>237</v>
      </c>
    </row>
    <row r="11" spans="1:9" ht="15">
      <c r="A11" s="71">
        <v>1962</v>
      </c>
      <c r="C11" s="184">
        <v>774.7</v>
      </c>
      <c r="D11" s="71">
        <v>86.498000000000005</v>
      </c>
      <c r="E11" s="94">
        <v>26703</v>
      </c>
      <c r="F11" s="182"/>
      <c r="G11" s="89">
        <f t="shared" ref="G11:G25" si="0">C11/C$34*100</f>
        <v>51.169088507265528</v>
      </c>
      <c r="H11" s="89">
        <f t="shared" ref="H11:H25" si="1">D11/D$34*100</f>
        <v>47.887635846246681</v>
      </c>
      <c r="I11" s="89">
        <f t="shared" ref="I11:I25" si="2">E11/E$34*100</f>
        <v>97.859786711620927</v>
      </c>
    </row>
    <row r="12" spans="1:9" ht="15">
      <c r="A12" s="71">
        <v>1963</v>
      </c>
      <c r="C12" s="184">
        <v>836.1</v>
      </c>
      <c r="D12" s="71">
        <v>100.29600000000001</v>
      </c>
      <c r="E12" s="94">
        <v>27728</v>
      </c>
      <c r="F12" s="182"/>
      <c r="G12" s="89">
        <f t="shared" si="0"/>
        <v>55.224570673712023</v>
      </c>
      <c r="H12" s="89">
        <f t="shared" si="1"/>
        <v>55.526582404623895</v>
      </c>
      <c r="I12" s="89">
        <f t="shared" si="2"/>
        <v>101.61615421262873</v>
      </c>
    </row>
    <row r="13" spans="1:9" ht="15">
      <c r="A13" s="71">
        <v>1964</v>
      </c>
      <c r="C13" s="184">
        <v>900.4</v>
      </c>
      <c r="D13" s="71">
        <v>116.509</v>
      </c>
      <c r="E13" s="94">
        <v>30527</v>
      </c>
      <c r="F13" s="182"/>
      <c r="G13" s="89">
        <f t="shared" si="0"/>
        <v>59.471598414795245</v>
      </c>
      <c r="H13" s="89">
        <f t="shared" si="1"/>
        <v>64.502538380197862</v>
      </c>
      <c r="I13" s="89">
        <f t="shared" si="2"/>
        <v>111.87378605196614</v>
      </c>
    </row>
    <row r="14" spans="1:9" ht="15">
      <c r="A14" s="71">
        <v>1965</v>
      </c>
      <c r="C14" s="184">
        <v>951</v>
      </c>
      <c r="D14" s="71">
        <v>112.988</v>
      </c>
      <c r="E14" s="94">
        <v>31827</v>
      </c>
      <c r="F14" s="182"/>
      <c r="G14" s="89">
        <f t="shared" si="0"/>
        <v>62.813738441215328</v>
      </c>
      <c r="H14" s="89">
        <f t="shared" si="1"/>
        <v>62.553217403821129</v>
      </c>
      <c r="I14" s="89">
        <f t="shared" si="2"/>
        <v>116.63795946787847</v>
      </c>
    </row>
    <row r="15" spans="1:9" ht="15">
      <c r="A15" s="71">
        <v>1966</v>
      </c>
      <c r="C15" s="184">
        <v>990.6</v>
      </c>
      <c r="D15" s="71">
        <v>112.517</v>
      </c>
      <c r="E15" s="17">
        <v>32280</v>
      </c>
      <c r="F15" s="182"/>
      <c r="G15" s="89">
        <f t="shared" si="0"/>
        <v>65.429326287978867</v>
      </c>
      <c r="H15" s="89">
        <f t="shared" si="1"/>
        <v>62.292459045436168</v>
      </c>
      <c r="I15" s="89">
        <f t="shared" si="2"/>
        <v>118.29809066588486</v>
      </c>
    </row>
    <row r="16" spans="1:9" ht="15">
      <c r="A16" s="71">
        <v>1967</v>
      </c>
      <c r="C16" s="94">
        <v>1035.2</v>
      </c>
      <c r="D16" s="71">
        <v>116.29300000000001</v>
      </c>
      <c r="E16" s="17">
        <v>31760</v>
      </c>
      <c r="F16" s="182"/>
      <c r="G16" s="89">
        <f t="shared" si="0"/>
        <v>68.375165125495371</v>
      </c>
      <c r="H16" s="89">
        <f t="shared" si="1"/>
        <v>64.382954929218769</v>
      </c>
      <c r="I16" s="89">
        <f t="shared" si="2"/>
        <v>116.39242129951992</v>
      </c>
    </row>
    <row r="17" spans="1:9" ht="15">
      <c r="A17" s="71">
        <v>1968</v>
      </c>
      <c r="C17" s="94">
        <v>1065.3</v>
      </c>
      <c r="D17" s="71">
        <v>118.819</v>
      </c>
      <c r="E17" s="17">
        <v>30649</v>
      </c>
      <c r="F17" s="182"/>
      <c r="G17" s="89">
        <f t="shared" si="0"/>
        <v>70.363276089828261</v>
      </c>
      <c r="H17" s="89">
        <f t="shared" si="1"/>
        <v>65.781416953168687</v>
      </c>
      <c r="I17" s="89">
        <f t="shared" si="2"/>
        <v>112.32088540330561</v>
      </c>
    </row>
    <row r="18" spans="1:9" ht="15">
      <c r="A18" s="71">
        <v>1969</v>
      </c>
      <c r="C18" s="94">
        <v>1106.4000000000001</v>
      </c>
      <c r="D18" s="71">
        <v>110.164</v>
      </c>
      <c r="E18" s="17">
        <v>31056</v>
      </c>
      <c r="F18" s="182"/>
      <c r="G18" s="89">
        <f t="shared" si="0"/>
        <v>73.077939233817716</v>
      </c>
      <c r="H18" s="89">
        <f t="shared" si="1"/>
        <v>60.989774507687109</v>
      </c>
      <c r="I18" s="89">
        <f t="shared" si="2"/>
        <v>113.8124381573643</v>
      </c>
    </row>
    <row r="19" spans="1:9" ht="15">
      <c r="A19" s="71">
        <v>1970</v>
      </c>
      <c r="C19" s="94">
        <v>1123.5999999999999</v>
      </c>
      <c r="D19" s="71">
        <v>117.252</v>
      </c>
      <c r="E19" s="17">
        <v>31240</v>
      </c>
      <c r="F19" s="182"/>
      <c r="G19" s="89">
        <f t="shared" si="0"/>
        <v>74.214002642007912</v>
      </c>
      <c r="H19" s="89">
        <f t="shared" si="1"/>
        <v>64.913883306482418</v>
      </c>
      <c r="I19" s="89">
        <f t="shared" si="2"/>
        <v>114.48675193315498</v>
      </c>
    </row>
    <row r="20" spans="1:9" ht="15">
      <c r="A20" s="71">
        <v>1971</v>
      </c>
      <c r="C20" s="94">
        <v>1134.5</v>
      </c>
      <c r="D20" s="71">
        <v>127.97</v>
      </c>
      <c r="E20" s="17">
        <v>31194</v>
      </c>
      <c r="F20" s="182"/>
      <c r="G20" s="89">
        <f t="shared" si="0"/>
        <v>74.933949801849408</v>
      </c>
      <c r="H20" s="89">
        <f t="shared" si="1"/>
        <v>70.84765843423186</v>
      </c>
      <c r="I20" s="89">
        <f t="shared" si="2"/>
        <v>114.31817348920733</v>
      </c>
    </row>
    <row r="21" spans="1:9" ht="15">
      <c r="A21" s="71">
        <v>1972</v>
      </c>
      <c r="B21" s="69"/>
      <c r="C21" s="94">
        <v>1180.9000000000001</v>
      </c>
      <c r="D21" s="71">
        <v>160.93100000000001</v>
      </c>
      <c r="E21" s="17">
        <v>31762</v>
      </c>
      <c r="F21" s="182"/>
      <c r="G21" s="89">
        <f t="shared" si="0"/>
        <v>77.998678996037</v>
      </c>
      <c r="H21" s="89">
        <f t="shared" si="1"/>
        <v>89.095760877388201</v>
      </c>
      <c r="I21" s="89">
        <f t="shared" si="2"/>
        <v>116.39975079708287</v>
      </c>
    </row>
    <row r="22" spans="1:9" ht="15">
      <c r="A22" s="71">
        <v>1973</v>
      </c>
      <c r="B22" s="69"/>
      <c r="C22" s="94">
        <v>1252</v>
      </c>
      <c r="D22" s="71">
        <v>172.86600000000001</v>
      </c>
      <c r="E22" s="17">
        <v>31404</v>
      </c>
      <c r="F22" s="182"/>
      <c r="G22" s="89">
        <f t="shared" si="0"/>
        <v>82.694848084544262</v>
      </c>
      <c r="H22" s="89">
        <f t="shared" si="1"/>
        <v>95.703300171070765</v>
      </c>
      <c r="I22" s="89">
        <f t="shared" si="2"/>
        <v>115.08777073331625</v>
      </c>
    </row>
    <row r="23" spans="1:9" ht="15">
      <c r="A23" s="71">
        <v>1974</v>
      </c>
      <c r="B23" s="69"/>
      <c r="C23" s="96">
        <v>1274.2</v>
      </c>
      <c r="D23" s="71">
        <v>142.58099999999999</v>
      </c>
      <c r="E23" s="17">
        <v>28783</v>
      </c>
      <c r="F23" s="182"/>
      <c r="G23" s="92">
        <f t="shared" si="0"/>
        <v>84.161162483487445</v>
      </c>
      <c r="H23" s="89">
        <f t="shared" si="1"/>
        <v>78.936703815044254</v>
      </c>
      <c r="I23" s="89">
        <f t="shared" si="2"/>
        <v>105.48246417708067</v>
      </c>
    </row>
    <row r="24" spans="1:9" ht="15">
      <c r="A24" s="71">
        <v>1975</v>
      </c>
      <c r="B24" s="69" t="s">
        <v>238</v>
      </c>
      <c r="C24" s="94">
        <v>1304</v>
      </c>
      <c r="D24" s="71">
        <v>153.94</v>
      </c>
      <c r="E24" s="94">
        <v>28621</v>
      </c>
      <c r="F24" s="182"/>
      <c r="G24" s="89">
        <f t="shared" si="0"/>
        <v>86.12945838837517</v>
      </c>
      <c r="H24" s="89">
        <f t="shared" si="1"/>
        <v>85.225353906115913</v>
      </c>
      <c r="I24" s="89">
        <f t="shared" si="2"/>
        <v>104.88877487448237</v>
      </c>
    </row>
    <row r="25" spans="1:9" ht="15">
      <c r="A25" s="71">
        <v>1976</v>
      </c>
      <c r="C25" s="94">
        <v>1313.5</v>
      </c>
      <c r="D25" s="71">
        <v>159.49</v>
      </c>
      <c r="E25" s="94">
        <v>29933</v>
      </c>
      <c r="F25" s="182"/>
      <c r="G25" s="89">
        <f t="shared" si="0"/>
        <v>86.756935270805812</v>
      </c>
      <c r="H25" s="89">
        <f t="shared" si="1"/>
        <v>88.297984243773072</v>
      </c>
      <c r="I25" s="89">
        <f t="shared" si="2"/>
        <v>109.69692527577234</v>
      </c>
    </row>
    <row r="26" spans="1:9" ht="15">
      <c r="A26" s="71">
        <v>1977</v>
      </c>
      <c r="C26" s="96" t="s">
        <v>7</v>
      </c>
      <c r="D26" s="71">
        <v>155.249</v>
      </c>
      <c r="E26" s="94">
        <v>29783</v>
      </c>
      <c r="F26" s="182"/>
      <c r="G26" s="185" t="s">
        <v>7</v>
      </c>
      <c r="H26" s="89">
        <f t="shared" ref="H26:H59" si="3">D26/D$34*100</f>
        <v>85.950051764132709</v>
      </c>
      <c r="I26" s="89">
        <f t="shared" ref="I26:I59" si="4">E26/E$34*100</f>
        <v>109.14721295855171</v>
      </c>
    </row>
    <row r="27" spans="1:9" ht="15">
      <c r="A27" s="71">
        <v>1978</v>
      </c>
      <c r="C27" s="94">
        <v>1308</v>
      </c>
      <c r="D27" s="71">
        <v>178.50399999999999</v>
      </c>
      <c r="E27" s="94">
        <v>30506</v>
      </c>
      <c r="F27" s="182"/>
      <c r="G27" s="89">
        <f t="shared" ref="G27:G59" si="5">C27/C$34*100</f>
        <v>86.393659180977551</v>
      </c>
      <c r="H27" s="89">
        <f t="shared" si="3"/>
        <v>98.824649692460142</v>
      </c>
      <c r="I27" s="89">
        <f t="shared" si="4"/>
        <v>111.79682632755525</v>
      </c>
    </row>
    <row r="28" spans="1:9" ht="15">
      <c r="A28" s="71">
        <v>1979</v>
      </c>
      <c r="C28" s="94">
        <v>1353</v>
      </c>
      <c r="D28" s="71">
        <v>184.876</v>
      </c>
      <c r="E28" s="94">
        <v>31387</v>
      </c>
      <c r="F28" s="182"/>
      <c r="G28" s="89">
        <f t="shared" si="5"/>
        <v>89.365918097754289</v>
      </c>
      <c r="H28" s="89">
        <f t="shared" si="3"/>
        <v>102.35236149634328</v>
      </c>
      <c r="I28" s="89">
        <f t="shared" si="4"/>
        <v>115.02547000403123</v>
      </c>
    </row>
    <row r="29" spans="1:9" ht="15">
      <c r="A29" s="71">
        <v>1980</v>
      </c>
      <c r="C29" s="94">
        <v>1398</v>
      </c>
      <c r="D29" s="71">
        <v>175.911</v>
      </c>
      <c r="E29" s="94">
        <v>29286</v>
      </c>
      <c r="F29" s="182"/>
      <c r="G29" s="89">
        <f t="shared" si="5"/>
        <v>92.338177014531041</v>
      </c>
      <c r="H29" s="89">
        <f t="shared" si="3"/>
        <v>97.389094653623204</v>
      </c>
      <c r="I29" s="89">
        <f t="shared" si="4"/>
        <v>107.32583281416059</v>
      </c>
    </row>
    <row r="30" spans="1:9" ht="15">
      <c r="A30" s="71">
        <v>1981</v>
      </c>
      <c r="C30" s="94">
        <v>1397</v>
      </c>
      <c r="D30" s="71">
        <v>165.69200000000001</v>
      </c>
      <c r="E30" s="94">
        <v>28766</v>
      </c>
      <c r="F30" s="182"/>
      <c r="G30" s="89">
        <f t="shared" si="5"/>
        <v>92.27212681638045</v>
      </c>
      <c r="H30" s="89">
        <f t="shared" si="3"/>
        <v>91.731579442718967</v>
      </c>
      <c r="I30" s="89">
        <f t="shared" si="4"/>
        <v>105.42016344779566</v>
      </c>
    </row>
    <row r="31" spans="1:9" ht="15">
      <c r="A31" s="71">
        <v>1982</v>
      </c>
      <c r="C31" s="94">
        <v>1416</v>
      </c>
      <c r="D31" s="71">
        <v>171.17599999999999</v>
      </c>
      <c r="E31" s="94">
        <v>28273</v>
      </c>
      <c r="F31" s="182"/>
      <c r="G31" s="89">
        <f t="shared" si="5"/>
        <v>93.527080581241734</v>
      </c>
      <c r="H31" s="89">
        <f t="shared" si="3"/>
        <v>94.767670392576946</v>
      </c>
      <c r="I31" s="89">
        <f t="shared" si="4"/>
        <v>103.61344229853044</v>
      </c>
    </row>
    <row r="32" spans="1:9" ht="15">
      <c r="A32" s="71">
        <v>1983</v>
      </c>
      <c r="B32" s="69"/>
      <c r="C32" s="94">
        <v>1448</v>
      </c>
      <c r="D32" s="71">
        <v>193.13900000000001</v>
      </c>
      <c r="E32" s="94">
        <v>25224</v>
      </c>
      <c r="F32" s="182"/>
      <c r="G32" s="89">
        <f t="shared" si="5"/>
        <v>95.640686922060766</v>
      </c>
      <c r="H32" s="89">
        <f t="shared" si="3"/>
        <v>106.92698212338134</v>
      </c>
      <c r="I32" s="89">
        <f t="shared" si="4"/>
        <v>92.439623263825268</v>
      </c>
    </row>
    <row r="33" spans="1:9" ht="15">
      <c r="A33" s="71">
        <v>1984</v>
      </c>
      <c r="C33" s="94">
        <v>1489</v>
      </c>
      <c r="D33" s="71">
        <v>183.17400000000001</v>
      </c>
      <c r="E33" s="94">
        <v>26158</v>
      </c>
      <c r="F33" s="182"/>
      <c r="G33" s="89">
        <f t="shared" si="5"/>
        <v>98.348745046235138</v>
      </c>
      <c r="H33" s="89">
        <f t="shared" si="3"/>
        <v>101.41008819279509</v>
      </c>
      <c r="I33" s="89">
        <f t="shared" si="4"/>
        <v>95.862498625719212</v>
      </c>
    </row>
    <row r="34" spans="1:9" ht="15">
      <c r="A34" s="71">
        <v>1985</v>
      </c>
      <c r="C34" s="94">
        <v>1514</v>
      </c>
      <c r="D34" s="71">
        <v>180.62700000000001</v>
      </c>
      <c r="E34" s="94">
        <v>27287</v>
      </c>
      <c r="F34" s="182"/>
      <c r="G34" s="89">
        <f t="shared" si="5"/>
        <v>100</v>
      </c>
      <c r="H34" s="89">
        <f t="shared" si="3"/>
        <v>100</v>
      </c>
      <c r="I34" s="89">
        <f t="shared" si="4"/>
        <v>100</v>
      </c>
    </row>
    <row r="35" spans="1:9" ht="15">
      <c r="A35" s="71">
        <v>1986</v>
      </c>
      <c r="C35" s="94">
        <v>1546</v>
      </c>
      <c r="D35" s="71">
        <v>180.75700000000001</v>
      </c>
      <c r="E35" s="94">
        <v>26117</v>
      </c>
      <c r="F35" s="182"/>
      <c r="G35" s="89">
        <f t="shared" si="5"/>
        <v>102.11360634081903</v>
      </c>
      <c r="H35" s="89">
        <f t="shared" si="3"/>
        <v>100.0719715214226</v>
      </c>
      <c r="I35" s="89">
        <f t="shared" si="4"/>
        <v>95.712243925678891</v>
      </c>
    </row>
    <row r="36" spans="1:9" ht="15">
      <c r="A36" s="71">
        <v>1987</v>
      </c>
      <c r="C36" s="94">
        <v>1575</v>
      </c>
      <c r="D36" s="71">
        <v>186.88</v>
      </c>
      <c r="E36" s="94">
        <v>24748</v>
      </c>
      <c r="F36" s="182"/>
      <c r="G36" s="89">
        <f t="shared" si="5"/>
        <v>104.02906208718625</v>
      </c>
      <c r="H36" s="89">
        <f t="shared" si="3"/>
        <v>103.46183018042706</v>
      </c>
      <c r="I36" s="89">
        <f t="shared" si="4"/>
        <v>90.695202843845053</v>
      </c>
    </row>
    <row r="37" spans="1:9" ht="15">
      <c r="A37" s="71">
        <v>1988</v>
      </c>
      <c r="C37" s="94">
        <v>1657</v>
      </c>
      <c r="D37" s="71">
        <v>200.124</v>
      </c>
      <c r="E37" s="94">
        <v>25425</v>
      </c>
      <c r="F37" s="182"/>
      <c r="G37" s="89">
        <f t="shared" si="5"/>
        <v>109.445178335535</v>
      </c>
      <c r="H37" s="89">
        <f t="shared" si="3"/>
        <v>110.79406733212642</v>
      </c>
      <c r="I37" s="89">
        <f t="shared" si="4"/>
        <v>93.176237768900933</v>
      </c>
    </row>
    <row r="38" spans="1:9" ht="15">
      <c r="A38" s="71">
        <v>1989</v>
      </c>
      <c r="C38" s="94">
        <v>1729</v>
      </c>
      <c r="D38" s="71">
        <v>212.62200000000001</v>
      </c>
      <c r="E38" s="94">
        <v>27532</v>
      </c>
      <c r="F38" s="182"/>
      <c r="G38" s="89">
        <f t="shared" si="5"/>
        <v>114.20079260237782</v>
      </c>
      <c r="H38" s="89">
        <f t="shared" si="3"/>
        <v>117.71329867627765</v>
      </c>
      <c r="I38" s="89">
        <f t="shared" si="4"/>
        <v>100.89786345146041</v>
      </c>
    </row>
    <row r="39" spans="1:9" ht="15">
      <c r="A39" s="71">
        <v>1990</v>
      </c>
      <c r="C39" s="94">
        <v>1788</v>
      </c>
      <c r="D39" s="71">
        <v>194.09299999999999</v>
      </c>
      <c r="E39" s="94">
        <v>27228</v>
      </c>
      <c r="F39" s="182"/>
      <c r="G39" s="89">
        <f t="shared" si="5"/>
        <v>118.09775429326288</v>
      </c>
      <c r="H39" s="89">
        <f t="shared" si="3"/>
        <v>107.45514236520563</v>
      </c>
      <c r="I39" s="89">
        <f t="shared" si="4"/>
        <v>99.783779821893205</v>
      </c>
    </row>
    <row r="40" spans="1:9" ht="15">
      <c r="A40" s="71">
        <v>1991</v>
      </c>
      <c r="B40" s="172"/>
      <c r="C40" s="94">
        <v>1830</v>
      </c>
      <c r="D40" s="71">
        <v>153.97499999999999</v>
      </c>
      <c r="E40" s="94">
        <v>25346</v>
      </c>
      <c r="F40" s="182"/>
      <c r="G40" s="89">
        <f t="shared" si="5"/>
        <v>120.87186261558784</v>
      </c>
      <c r="H40" s="89">
        <f t="shared" si="3"/>
        <v>85.244730854191232</v>
      </c>
      <c r="I40" s="89">
        <f t="shared" si="4"/>
        <v>92.886722615164729</v>
      </c>
    </row>
    <row r="41" spans="1:9" ht="15">
      <c r="A41" s="71">
        <v>1992</v>
      </c>
      <c r="B41" s="69" t="s">
        <v>239</v>
      </c>
      <c r="C41" s="96">
        <v>1884</v>
      </c>
      <c r="D41" s="71">
        <v>153.779</v>
      </c>
      <c r="E41" s="94">
        <v>24173</v>
      </c>
      <c r="F41" s="182"/>
      <c r="G41" s="92">
        <f t="shared" si="5"/>
        <v>124.43857331571995</v>
      </c>
      <c r="H41" s="89">
        <f t="shared" si="3"/>
        <v>85.136219944969454</v>
      </c>
      <c r="I41" s="89">
        <f t="shared" si="4"/>
        <v>88.587972294499224</v>
      </c>
    </row>
    <row r="42" spans="1:9" ht="15">
      <c r="A42" s="71">
        <v>1993</v>
      </c>
      <c r="C42" s="94">
        <v>1874</v>
      </c>
      <c r="D42" s="71">
        <v>170.30799999999999</v>
      </c>
      <c r="E42" s="94">
        <v>22414</v>
      </c>
      <c r="F42" s="182"/>
      <c r="G42" s="89">
        <f t="shared" si="5"/>
        <v>123.77807133421402</v>
      </c>
      <c r="H42" s="89">
        <f t="shared" si="3"/>
        <v>94.287122080309132</v>
      </c>
      <c r="I42" s="89">
        <f t="shared" si="4"/>
        <v>82.141679187891668</v>
      </c>
    </row>
    <row r="43" spans="1:9" ht="15">
      <c r="A43" s="71">
        <v>1994</v>
      </c>
      <c r="B43" s="69" t="s">
        <v>240</v>
      </c>
      <c r="C43" s="94">
        <v>1900</v>
      </c>
      <c r="D43" s="176">
        <v>169.637</v>
      </c>
      <c r="E43" s="94">
        <v>22573</v>
      </c>
      <c r="F43" s="182"/>
      <c r="G43" s="89">
        <f t="shared" si="5"/>
        <v>125.49537648612944</v>
      </c>
      <c r="H43" s="92">
        <f t="shared" si="3"/>
        <v>93.915638304350949</v>
      </c>
      <c r="I43" s="89">
        <f t="shared" si="4"/>
        <v>82.724374244145565</v>
      </c>
    </row>
    <row r="44" spans="1:9" ht="15">
      <c r="A44" s="71">
        <v>1995</v>
      </c>
      <c r="C44" s="100">
        <v>1910</v>
      </c>
      <c r="D44" s="71">
        <v>172.7</v>
      </c>
      <c r="E44" s="100">
        <v>22194</v>
      </c>
      <c r="F44" s="182"/>
      <c r="G44" s="89">
        <f t="shared" si="5"/>
        <v>126.1558784676354</v>
      </c>
      <c r="H44" s="89">
        <f t="shared" si="3"/>
        <v>95.611398074484981</v>
      </c>
      <c r="I44" s="89">
        <f t="shared" si="4"/>
        <v>81.335434455968041</v>
      </c>
    </row>
    <row r="45" spans="1:9" s="6" customFormat="1" ht="15">
      <c r="A45" s="72">
        <v>1996</v>
      </c>
      <c r="C45" s="100">
        <v>1966</v>
      </c>
      <c r="D45" s="71">
        <v>183</v>
      </c>
      <c r="E45" s="100">
        <v>21716</v>
      </c>
      <c r="F45" s="182"/>
      <c r="G45" s="89">
        <f t="shared" si="5"/>
        <v>129.85468956406868</v>
      </c>
      <c r="H45" s="89">
        <f t="shared" si="3"/>
        <v>101.31375707950639</v>
      </c>
      <c r="I45" s="89">
        <f t="shared" si="4"/>
        <v>79.58368453842489</v>
      </c>
    </row>
    <row r="46" spans="1:9" s="6" customFormat="1" ht="15">
      <c r="A46" s="71">
        <v>1997</v>
      </c>
      <c r="B46" s="174"/>
      <c r="C46" s="100">
        <v>2023</v>
      </c>
      <c r="D46" s="71">
        <v>205.6</v>
      </c>
      <c r="E46" s="100">
        <v>22629</v>
      </c>
      <c r="F46" s="182"/>
      <c r="G46" s="89">
        <f t="shared" si="5"/>
        <v>133.61955085865259</v>
      </c>
      <c r="H46" s="89">
        <f t="shared" si="3"/>
        <v>113.82572926528147</v>
      </c>
      <c r="I46" s="89">
        <f t="shared" si="4"/>
        <v>82.929600175907936</v>
      </c>
    </row>
    <row r="47" spans="1:9" ht="15">
      <c r="A47" s="72">
        <v>1998</v>
      </c>
      <c r="B47" s="104"/>
      <c r="C47" s="100">
        <v>2073</v>
      </c>
      <c r="D47" s="71">
        <v>209.90100000000001</v>
      </c>
      <c r="E47" s="100">
        <v>22467</v>
      </c>
      <c r="F47" s="182"/>
      <c r="G47" s="99">
        <f t="shared" si="5"/>
        <v>136.92206076618228</v>
      </c>
      <c r="H47" s="89">
        <f t="shared" si="3"/>
        <v>116.20687937019383</v>
      </c>
      <c r="I47" s="99">
        <f t="shared" si="4"/>
        <v>82.335910873309643</v>
      </c>
    </row>
    <row r="48" spans="1:9" ht="15">
      <c r="A48" s="72">
        <v>1999</v>
      </c>
      <c r="B48" s="104"/>
      <c r="C48" s="100">
        <v>2131</v>
      </c>
      <c r="D48" s="71">
        <v>216.12700000000001</v>
      </c>
      <c r="E48" s="100">
        <v>21002</v>
      </c>
      <c r="F48" s="182"/>
      <c r="G48" s="99">
        <f t="shared" si="5"/>
        <v>140.7529722589168</v>
      </c>
      <c r="H48" s="89">
        <f t="shared" si="3"/>
        <v>119.6537616192485</v>
      </c>
      <c r="I48" s="99">
        <f t="shared" si="4"/>
        <v>76.967053908454574</v>
      </c>
    </row>
    <row r="49" spans="1:9" ht="15">
      <c r="A49" s="72">
        <v>2000</v>
      </c>
      <c r="B49" s="104"/>
      <c r="C49" s="100">
        <v>2188.357</v>
      </c>
      <c r="D49" s="72">
        <v>220.34100000000001</v>
      </c>
      <c r="E49" s="100">
        <v>20518</v>
      </c>
      <c r="F49" s="182"/>
      <c r="G49" s="99">
        <f t="shared" si="5"/>
        <v>144.54141347424041</v>
      </c>
      <c r="H49" s="99">
        <f t="shared" si="3"/>
        <v>121.98674616751649</v>
      </c>
      <c r="I49" s="99">
        <f t="shared" si="4"/>
        <v>75.193315498222603</v>
      </c>
    </row>
    <row r="50" spans="1:9" s="6" customFormat="1" ht="15">
      <c r="A50" s="72">
        <v>2001</v>
      </c>
      <c r="B50" s="186">
        <v>4</v>
      </c>
      <c r="C50" s="100">
        <v>2262.248</v>
      </c>
      <c r="D50" s="72">
        <v>241.2</v>
      </c>
      <c r="E50" s="100">
        <v>19911</v>
      </c>
      <c r="F50" s="182"/>
      <c r="G50" s="99">
        <f t="shared" si="5"/>
        <v>149.421928665786</v>
      </c>
      <c r="H50" s="99">
        <f t="shared" si="3"/>
        <v>133.5348535933166</v>
      </c>
      <c r="I50" s="99">
        <f t="shared" si="4"/>
        <v>72.968812987869683</v>
      </c>
    </row>
    <row r="51" spans="1:9" ht="15">
      <c r="A51" s="72">
        <v>2002</v>
      </c>
      <c r="B51" s="104"/>
      <c r="C51" s="100">
        <v>2330</v>
      </c>
      <c r="D51" s="72">
        <v>259.39999999999998</v>
      </c>
      <c r="E51" s="100">
        <v>19275</v>
      </c>
      <c r="F51" s="182"/>
      <c r="G51" s="99">
        <f t="shared" si="5"/>
        <v>153.89696169088506</v>
      </c>
      <c r="H51" s="99">
        <f t="shared" si="3"/>
        <v>143.61086659248062</v>
      </c>
      <c r="I51" s="99">
        <f t="shared" si="4"/>
        <v>70.63803276285411</v>
      </c>
    </row>
    <row r="52" spans="1:9" ht="15">
      <c r="A52" s="72">
        <v>2003</v>
      </c>
      <c r="B52" s="104"/>
      <c r="C52" s="100">
        <v>2382.9899999999998</v>
      </c>
      <c r="D52" s="72">
        <v>262.39999999999998</v>
      </c>
      <c r="E52" s="100">
        <v>18756</v>
      </c>
      <c r="F52" s="182"/>
      <c r="G52" s="99">
        <f t="shared" si="5"/>
        <v>157.39696169088506</v>
      </c>
      <c r="H52" s="99">
        <f t="shared" si="3"/>
        <v>145.27174785607909</v>
      </c>
      <c r="I52" s="99">
        <f t="shared" si="4"/>
        <v>68.736028145270637</v>
      </c>
    </row>
    <row r="53" spans="1:9" ht="15">
      <c r="A53" s="72">
        <v>2004</v>
      </c>
      <c r="B53" s="104"/>
      <c r="C53" s="100">
        <v>2448.1840000000002</v>
      </c>
      <c r="D53" s="72">
        <v>262.80900000000003</v>
      </c>
      <c r="E53" s="100">
        <v>18502</v>
      </c>
      <c r="F53" s="182"/>
      <c r="G53" s="99">
        <f t="shared" si="5"/>
        <v>161.70303830911493</v>
      </c>
      <c r="H53" s="99">
        <f t="shared" si="3"/>
        <v>145.49818133501637</v>
      </c>
      <c r="I53" s="99">
        <f t="shared" si="4"/>
        <v>67.805181954776998</v>
      </c>
    </row>
    <row r="54" spans="1:9" ht="15">
      <c r="A54" s="72">
        <v>2005</v>
      </c>
      <c r="B54" s="104"/>
      <c r="C54" s="100">
        <v>2531.3339999999998</v>
      </c>
      <c r="D54" s="72">
        <v>251</v>
      </c>
      <c r="E54" s="100">
        <v>17885</v>
      </c>
      <c r="F54" s="182"/>
      <c r="G54" s="99">
        <f t="shared" si="5"/>
        <v>167.19511228533685</v>
      </c>
      <c r="H54" s="99">
        <f t="shared" si="3"/>
        <v>138.96039905440495</v>
      </c>
      <c r="I54" s="99">
        <f t="shared" si="4"/>
        <v>65.544031956609373</v>
      </c>
    </row>
    <row r="55" spans="1:9" ht="15">
      <c r="A55" s="72">
        <v>2006</v>
      </c>
      <c r="B55" s="104"/>
      <c r="C55" s="100">
        <v>2564.2930000000001</v>
      </c>
      <c r="D55" s="72">
        <v>242.923</v>
      </c>
      <c r="E55" s="100">
        <v>17269</v>
      </c>
      <c r="F55" s="182"/>
      <c r="G55" s="99">
        <f t="shared" si="5"/>
        <v>169.3720607661823</v>
      </c>
      <c r="H55" s="99">
        <f t="shared" si="3"/>
        <v>134.48875306571</v>
      </c>
      <c r="I55" s="99">
        <f t="shared" si="4"/>
        <v>63.286546707223224</v>
      </c>
    </row>
    <row r="56" spans="1:9" ht="15">
      <c r="A56" s="72">
        <v>2007</v>
      </c>
      <c r="B56" s="104"/>
      <c r="C56" s="100">
        <v>2626.9830000000002</v>
      </c>
      <c r="D56" s="100">
        <v>250.916</v>
      </c>
      <c r="E56" s="187">
        <v>16239</v>
      </c>
      <c r="F56" s="175"/>
      <c r="G56" s="99">
        <f t="shared" si="5"/>
        <v>173.51274768824308</v>
      </c>
      <c r="H56" s="99">
        <f t="shared" si="3"/>
        <v>138.91389437902419</v>
      </c>
      <c r="I56" s="99">
        <f t="shared" si="4"/>
        <v>59.511855462308063</v>
      </c>
    </row>
    <row r="57" spans="1:9" ht="15">
      <c r="A57" s="72">
        <v>2008</v>
      </c>
      <c r="B57" s="104"/>
      <c r="C57" s="100">
        <v>2665.1860000000001</v>
      </c>
      <c r="D57" s="100">
        <v>215</v>
      </c>
      <c r="E57" s="187">
        <v>15592</v>
      </c>
      <c r="F57" s="175"/>
      <c r="G57" s="99">
        <f t="shared" si="5"/>
        <v>176.03606340819022</v>
      </c>
      <c r="H57" s="99">
        <f t="shared" si="3"/>
        <v>119.02982389122334</v>
      </c>
      <c r="I57" s="99">
        <f t="shared" si="4"/>
        <v>57.140763000696303</v>
      </c>
    </row>
    <row r="58" spans="1:9" ht="15">
      <c r="A58" s="72">
        <v>2009</v>
      </c>
      <c r="B58" s="104"/>
      <c r="C58" s="100">
        <v>2683.8969999999995</v>
      </c>
      <c r="D58" s="100">
        <v>216</v>
      </c>
      <c r="E58" s="187">
        <v>15043</v>
      </c>
      <c r="F58" s="175"/>
      <c r="G58" s="99">
        <f t="shared" si="5"/>
        <v>177.27192866578596</v>
      </c>
      <c r="H58" s="99">
        <f t="shared" si="3"/>
        <v>119.58345097908949</v>
      </c>
      <c r="I58" s="99">
        <f t="shared" si="4"/>
        <v>55.128815919668703</v>
      </c>
    </row>
    <row r="59" spans="1:9" ht="15">
      <c r="A59" s="72">
        <v>2010</v>
      </c>
      <c r="B59" s="104"/>
      <c r="C59" s="100">
        <v>2684.6819999999998</v>
      </c>
      <c r="D59" s="100">
        <v>208.7</v>
      </c>
      <c r="E59" s="187">
        <v>13338</v>
      </c>
      <c r="F59" s="175"/>
      <c r="G59" s="99">
        <f t="shared" si="5"/>
        <v>177.3237780713342</v>
      </c>
      <c r="H59" s="99">
        <f t="shared" si="3"/>
        <v>115.54197323766655</v>
      </c>
      <c r="I59" s="99">
        <f t="shared" si="4"/>
        <v>48.880419247260598</v>
      </c>
    </row>
    <row r="60" spans="1:9" ht="15">
      <c r="A60" s="72">
        <v>2011</v>
      </c>
      <c r="B60" s="104"/>
      <c r="C60" s="100">
        <v>2691</v>
      </c>
      <c r="D60" s="100">
        <v>202</v>
      </c>
      <c r="E60" s="187">
        <v>12790</v>
      </c>
      <c r="F60" s="175"/>
      <c r="G60" s="99">
        <f t="shared" ref="G60:I61" si="6">C60/C$34*100</f>
        <v>177.74108322324966</v>
      </c>
      <c r="H60" s="99">
        <f t="shared" si="6"/>
        <v>111.83267174896332</v>
      </c>
      <c r="I60" s="99">
        <f t="shared" si="6"/>
        <v>46.87213691501448</v>
      </c>
    </row>
    <row r="61" spans="1:9" ht="15">
      <c r="A61" s="72">
        <v>2012</v>
      </c>
      <c r="B61" s="104"/>
      <c r="C61" s="100">
        <v>2717</v>
      </c>
      <c r="D61" s="100">
        <v>216.4</v>
      </c>
      <c r="E61" s="187">
        <v>12721</v>
      </c>
      <c r="F61" s="175"/>
      <c r="G61" s="99">
        <f t="shared" si="6"/>
        <v>179.45838837516513</v>
      </c>
      <c r="H61" s="99">
        <f t="shared" si="6"/>
        <v>119.80490181423595</v>
      </c>
      <c r="I61" s="99">
        <f t="shared" si="6"/>
        <v>46.619269249092973</v>
      </c>
    </row>
    <row r="62" spans="1:9" ht="15">
      <c r="A62" s="72">
        <v>2013</v>
      </c>
      <c r="B62" s="104"/>
      <c r="C62" s="100">
        <v>2759</v>
      </c>
      <c r="D62" s="100">
        <v>241</v>
      </c>
      <c r="E62" s="187">
        <v>11504</v>
      </c>
      <c r="F62" s="175"/>
      <c r="G62" s="99">
        <f t="shared" ref="G62:I63" si="7">C62/C$34*100</f>
        <v>182.23249669749009</v>
      </c>
      <c r="H62" s="99">
        <f t="shared" si="7"/>
        <v>133.42412817574339</v>
      </c>
      <c r="I62" s="99">
        <f t="shared" si="7"/>
        <v>42.15926998204273</v>
      </c>
    </row>
    <row r="63" spans="1:9" ht="15.75" thickBot="1">
      <c r="A63" s="277">
        <v>2014</v>
      </c>
      <c r="B63" s="278"/>
      <c r="C63" s="280">
        <v>2821.3599999999997</v>
      </c>
      <c r="D63" s="280">
        <v>262.16399999999999</v>
      </c>
      <c r="E63" s="281">
        <v>11240</v>
      </c>
      <c r="F63" s="279"/>
      <c r="G63" s="274">
        <f t="shared" si="7"/>
        <v>186.35138705416114</v>
      </c>
      <c r="H63" s="274">
        <f t="shared" si="7"/>
        <v>145.14109186334267</v>
      </c>
      <c r="I63" s="274">
        <f t="shared" si="7"/>
        <v>41.191776303734379</v>
      </c>
    </row>
    <row r="64" spans="1:9" ht="15">
      <c r="A64" s="72"/>
      <c r="B64" s="104"/>
      <c r="C64" s="100"/>
      <c r="D64" s="106"/>
      <c r="E64" s="100"/>
      <c r="F64" s="103"/>
      <c r="G64" s="143"/>
      <c r="H64" s="143"/>
      <c r="I64" s="143"/>
    </row>
    <row r="65" spans="1:9">
      <c r="A65" s="177" t="s">
        <v>241</v>
      </c>
      <c r="B65" s="104"/>
      <c r="C65" s="188"/>
      <c r="D65" s="188"/>
      <c r="E65" s="188"/>
      <c r="F65" s="78"/>
      <c r="G65" s="189"/>
      <c r="H65" s="189"/>
      <c r="I65" s="189"/>
    </row>
    <row r="66" spans="1:9">
      <c r="A66" s="177" t="s">
        <v>242</v>
      </c>
      <c r="B66" s="104"/>
      <c r="C66" s="188"/>
      <c r="D66" s="188"/>
      <c r="E66" s="188"/>
      <c r="F66" s="78"/>
      <c r="G66" s="189"/>
      <c r="H66" s="189"/>
      <c r="I66" s="189"/>
    </row>
    <row r="67" spans="1:9" ht="15" customHeight="1">
      <c r="A67" s="16" t="s">
        <v>243</v>
      </c>
      <c r="C67" s="30"/>
      <c r="D67" s="30"/>
      <c r="E67" s="30"/>
      <c r="F67" s="30"/>
      <c r="G67" s="30"/>
      <c r="H67" s="30"/>
      <c r="I67" s="30"/>
    </row>
    <row r="68" spans="1:9" ht="15" customHeight="1">
      <c r="A68" s="16" t="s">
        <v>244</v>
      </c>
      <c r="C68" s="30"/>
      <c r="D68" s="30"/>
      <c r="E68" s="30"/>
      <c r="F68" s="30"/>
      <c r="G68" s="30"/>
      <c r="H68" s="30"/>
      <c r="I68" s="30"/>
    </row>
    <row r="69" spans="1:9">
      <c r="A69" s="16" t="s">
        <v>245</v>
      </c>
      <c r="C69" s="30"/>
      <c r="D69" s="30"/>
      <c r="E69" s="30"/>
      <c r="F69" s="30"/>
      <c r="G69" s="30"/>
      <c r="H69" s="30"/>
      <c r="I69" s="30"/>
    </row>
    <row r="70" spans="1:9" ht="15" customHeight="1">
      <c r="A70" s="16" t="s">
        <v>246</v>
      </c>
      <c r="C70" s="30"/>
      <c r="D70" s="30"/>
      <c r="E70" s="30"/>
      <c r="F70" s="30"/>
      <c r="G70" s="30"/>
      <c r="H70" s="30"/>
      <c r="I70" s="30"/>
    </row>
    <row r="71" spans="1:9" ht="15" customHeight="1">
      <c r="A71" s="16" t="s">
        <v>247</v>
      </c>
    </row>
    <row r="72" spans="1:9" ht="15" customHeight="1">
      <c r="A72" s="8" t="s">
        <v>248</v>
      </c>
    </row>
    <row r="73" spans="1:9" ht="15" customHeight="1">
      <c r="A73" s="8" t="s">
        <v>249</v>
      </c>
    </row>
    <row r="74" spans="1:9" ht="129" customHeight="1"/>
    <row r="104" spans="24:24">
      <c r="X104" s="8">
        <v>21002</v>
      </c>
    </row>
    <row r="105" spans="24:24">
      <c r="X105" s="8">
        <v>20517</v>
      </c>
    </row>
    <row r="106" spans="24:24">
      <c r="X106" s="8">
        <v>19910</v>
      </c>
    </row>
    <row r="107" spans="24:24">
      <c r="X107" s="8">
        <v>19275</v>
      </c>
    </row>
    <row r="108" spans="24:24">
      <c r="X108" s="8">
        <v>18757</v>
      </c>
    </row>
    <row r="109" spans="24:24">
      <c r="X109" s="8">
        <v>18502</v>
      </c>
    </row>
    <row r="110" spans="24:24">
      <c r="X110" s="8">
        <v>17885</v>
      </c>
    </row>
    <row r="111" spans="24:24">
      <c r="X111" s="8">
        <v>17269</v>
      </c>
    </row>
    <row r="112" spans="24:24">
      <c r="X112" s="8">
        <v>16238</v>
      </c>
    </row>
    <row r="113" spans="24:24">
      <c r="X113" s="8">
        <v>15590</v>
      </c>
    </row>
    <row r="114" spans="24:24">
      <c r="X114" s="8">
        <v>15027</v>
      </c>
    </row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68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2:E133"/>
  <sheetViews>
    <sheetView zoomScale="50" zoomScaleNormal="50" workbookViewId="0"/>
  </sheetViews>
  <sheetFormatPr defaultColWidth="11.42578125" defaultRowHeight="15"/>
  <cols>
    <col min="1" max="3" width="11.42578125" style="194" customWidth="1"/>
    <col min="4" max="4" width="19.7109375" style="194" customWidth="1"/>
    <col min="5" max="16" width="11.42578125" style="194" customWidth="1"/>
    <col min="17" max="17" width="4.85546875" style="194" customWidth="1"/>
    <col min="18" max="18" width="55.42578125" style="194" customWidth="1"/>
    <col min="19" max="16384" width="11.42578125" style="194"/>
  </cols>
  <sheetData>
    <row r="2" spans="1:5" s="193" customFormat="1" ht="30">
      <c r="A2" s="192" t="s">
        <v>275</v>
      </c>
      <c r="C2" s="192"/>
      <c r="D2" s="192"/>
      <c r="E2" s="192"/>
    </row>
    <row r="11" spans="1:5" ht="197.25" customHeight="1"/>
    <row r="15" spans="1:5" ht="11.25" customHeight="1"/>
    <row r="16" spans="1:5" ht="11.25" customHeight="1"/>
    <row r="17" ht="47.25" customHeight="1"/>
    <row r="18" ht="11.25" customHeight="1"/>
    <row r="19" ht="11.25" customHeight="1"/>
    <row r="20" ht="11.25" customHeight="1"/>
    <row r="42" spans="1:1" s="193" customFormat="1" ht="15" customHeight="1">
      <c r="A42" s="192"/>
    </row>
    <row r="43" spans="1:1" s="193" customFormat="1" ht="19.5" customHeight="1">
      <c r="A43" s="195" t="s">
        <v>276</v>
      </c>
    </row>
    <row r="44" spans="1:1" s="193" customFormat="1" ht="18" customHeight="1">
      <c r="A44" s="195" t="s">
        <v>277</v>
      </c>
    </row>
    <row r="46" spans="1:1" ht="30">
      <c r="A46" s="192" t="s">
        <v>278</v>
      </c>
    </row>
    <row r="71" ht="12" customHeight="1"/>
    <row r="72" ht="13.5" customHeight="1"/>
    <row r="73" ht="15.75" customHeight="1"/>
    <row r="74" ht="15.75" customHeight="1"/>
    <row r="75" ht="15.75" customHeight="1"/>
    <row r="76" ht="19.5" customHeight="1"/>
    <row r="77" ht="15.75" customHeight="1"/>
    <row r="78" ht="6" customHeight="1"/>
    <row r="79" ht="22.5" customHeight="1"/>
    <row r="80" ht="15.75" customHeight="1"/>
    <row r="81" spans="1:4" ht="15.75" customHeight="1"/>
    <row r="82" spans="1:4" ht="15.75" customHeight="1"/>
    <row r="83" spans="1:4" ht="15.75" customHeight="1"/>
    <row r="84" spans="1:4" ht="15.75" customHeight="1"/>
    <row r="85" spans="1:4" ht="15.75" customHeight="1"/>
    <row r="86" spans="1:4" ht="15.75" customHeight="1"/>
    <row r="87" spans="1:4" ht="11.25" customHeight="1"/>
    <row r="88" spans="1:4" ht="126.75" customHeight="1"/>
    <row r="90" spans="1:4" ht="18">
      <c r="A90" s="195" t="s">
        <v>279</v>
      </c>
    </row>
    <row r="91" spans="1:4" ht="18">
      <c r="A91" s="195" t="s">
        <v>280</v>
      </c>
    </row>
    <row r="92" spans="1:4" ht="30">
      <c r="B92" s="196" t="s">
        <v>281</v>
      </c>
      <c r="C92" s="194" t="s">
        <v>282</v>
      </c>
      <c r="D92" s="196" t="s">
        <v>283</v>
      </c>
    </row>
    <row r="93" spans="1:4">
      <c r="A93" s="197">
        <f>'H4 other'!A24</f>
        <v>1975</v>
      </c>
      <c r="B93" s="198">
        <f>'H4 other'!C24/1000</f>
        <v>1.304</v>
      </c>
      <c r="D93" s="197">
        <f>'H4 other'!D24</f>
        <v>153.94</v>
      </c>
    </row>
    <row r="94" spans="1:4">
      <c r="A94" s="197">
        <f>'H4 other'!A25</f>
        <v>1976</v>
      </c>
      <c r="B94" s="198">
        <f>'H4 other'!C25/1000</f>
        <v>1.3134999999999999</v>
      </c>
      <c r="D94" s="197">
        <f>'H4 other'!D25</f>
        <v>159.49</v>
      </c>
    </row>
    <row r="95" spans="1:4">
      <c r="A95" s="197">
        <f>'H4 other'!A26</f>
        <v>1977</v>
      </c>
      <c r="B95" s="198"/>
      <c r="D95" s="197">
        <f>'H4 other'!D26</f>
        <v>155.249</v>
      </c>
    </row>
    <row r="96" spans="1:4">
      <c r="A96" s="197">
        <f>'H4 other'!A27</f>
        <v>1978</v>
      </c>
      <c r="B96" s="198">
        <f>'H4 other'!C27/1000</f>
        <v>1.3080000000000001</v>
      </c>
      <c r="D96" s="197">
        <f>'H4 other'!D27</f>
        <v>178.50399999999999</v>
      </c>
    </row>
    <row r="97" spans="1:4">
      <c r="A97" s="197">
        <f>'H4 other'!A28</f>
        <v>1979</v>
      </c>
      <c r="B97" s="198">
        <f>'H4 other'!C28/1000</f>
        <v>1.353</v>
      </c>
      <c r="D97" s="197">
        <f>'H4 other'!D28</f>
        <v>184.876</v>
      </c>
    </row>
    <row r="98" spans="1:4">
      <c r="A98" s="197">
        <f>'H4 other'!A29</f>
        <v>1980</v>
      </c>
      <c r="B98" s="198">
        <f>'H4 other'!C29/1000</f>
        <v>1.3979999999999999</v>
      </c>
      <c r="D98" s="197">
        <f>'H4 other'!D29</f>
        <v>175.911</v>
      </c>
    </row>
    <row r="99" spans="1:4">
      <c r="A99" s="197">
        <f>'H4 other'!A30</f>
        <v>1981</v>
      </c>
      <c r="B99" s="198">
        <f>'H4 other'!C30/1000</f>
        <v>1.397</v>
      </c>
      <c r="D99" s="197">
        <f>'H4 other'!D30</f>
        <v>165.69200000000001</v>
      </c>
    </row>
    <row r="100" spans="1:4">
      <c r="A100" s="197">
        <f>'H4 other'!A31</f>
        <v>1982</v>
      </c>
      <c r="B100" s="198">
        <f>'H4 other'!C31/1000</f>
        <v>1.4159999999999999</v>
      </c>
      <c r="D100" s="197">
        <f>'H4 other'!D31</f>
        <v>171.17599999999999</v>
      </c>
    </row>
    <row r="101" spans="1:4">
      <c r="A101" s="197">
        <f>'H4 other'!A32</f>
        <v>1983</v>
      </c>
      <c r="B101" s="198">
        <f>'H4 other'!C32/1000</f>
        <v>1.448</v>
      </c>
      <c r="C101" s="199"/>
      <c r="D101" s="197">
        <f>'H4 other'!D32</f>
        <v>193.13900000000001</v>
      </c>
    </row>
    <row r="102" spans="1:4">
      <c r="A102" s="197">
        <f>'H4 other'!A33</f>
        <v>1984</v>
      </c>
      <c r="B102" s="198">
        <f>'H4 other'!C33/1000</f>
        <v>1.4890000000000001</v>
      </c>
      <c r="C102" s="199"/>
      <c r="D102" s="197">
        <f>'H4 other'!D33</f>
        <v>183.17400000000001</v>
      </c>
    </row>
    <row r="103" spans="1:4">
      <c r="A103" s="197">
        <f>'H4 other'!A34</f>
        <v>1985</v>
      </c>
      <c r="B103" s="198">
        <f>'H4 other'!C34/1000</f>
        <v>1.514</v>
      </c>
      <c r="C103" s="199"/>
      <c r="D103" s="197">
        <f>'H4 other'!D34</f>
        <v>180.62700000000001</v>
      </c>
    </row>
    <row r="104" spans="1:4">
      <c r="A104" s="197">
        <f>'H4 other'!A35</f>
        <v>1986</v>
      </c>
      <c r="B104" s="198">
        <f>'H4 other'!C35/1000</f>
        <v>1.546</v>
      </c>
      <c r="C104" s="199"/>
      <c r="D104" s="197">
        <f>'H4 other'!D35</f>
        <v>180.75700000000001</v>
      </c>
    </row>
    <row r="105" spans="1:4">
      <c r="A105" s="197">
        <f>'H4 other'!A36</f>
        <v>1987</v>
      </c>
      <c r="B105" s="198">
        <f>'H4 other'!C36/1000</f>
        <v>1.575</v>
      </c>
      <c r="C105" s="199"/>
      <c r="D105" s="197">
        <f>'H4 other'!D36</f>
        <v>186.88</v>
      </c>
    </row>
    <row r="106" spans="1:4">
      <c r="A106" s="197">
        <f>'H4 other'!A37</f>
        <v>1988</v>
      </c>
      <c r="B106" s="198">
        <f>'H4 other'!C37/1000</f>
        <v>1.657</v>
      </c>
      <c r="C106" s="199"/>
      <c r="D106" s="197">
        <f>'H4 other'!D37</f>
        <v>200.124</v>
      </c>
    </row>
    <row r="107" spans="1:4">
      <c r="A107" s="197">
        <f>'H4 other'!A38</f>
        <v>1989</v>
      </c>
      <c r="B107" s="198">
        <f>'H4 other'!C38/1000</f>
        <v>1.7290000000000001</v>
      </c>
      <c r="C107" s="199"/>
      <c r="D107" s="197">
        <f>'H4 other'!D38</f>
        <v>212.62200000000001</v>
      </c>
    </row>
    <row r="108" spans="1:4">
      <c r="A108" s="197">
        <f>'H4 other'!A39</f>
        <v>1990</v>
      </c>
      <c r="B108" s="198">
        <f>'H4 other'!C39/1000</f>
        <v>1.788</v>
      </c>
      <c r="C108" s="199"/>
      <c r="D108" s="197">
        <f>'H4 other'!D39</f>
        <v>194.09299999999999</v>
      </c>
    </row>
    <row r="109" spans="1:4">
      <c r="A109" s="197">
        <f>'H4 other'!A40</f>
        <v>1991</v>
      </c>
      <c r="B109" s="198">
        <f>'H4 other'!C40/1000</f>
        <v>1.83</v>
      </c>
      <c r="C109" s="199"/>
      <c r="D109" s="197">
        <f>'H4 other'!D40</f>
        <v>153.97499999999999</v>
      </c>
    </row>
    <row r="110" spans="1:4" ht="18">
      <c r="A110" s="197">
        <f>'H4 other'!A41</f>
        <v>1992</v>
      </c>
      <c r="B110" s="198">
        <f>'H4 other'!C41/1000</f>
        <v>1.8839999999999999</v>
      </c>
      <c r="C110" s="220">
        <v>1.84</v>
      </c>
      <c r="D110" s="197">
        <f>'H4 other'!D41</f>
        <v>153.779</v>
      </c>
    </row>
    <row r="111" spans="1:4">
      <c r="A111" s="197">
        <f>'H4 other'!A42</f>
        <v>1993</v>
      </c>
      <c r="B111" s="198"/>
      <c r="C111" s="198">
        <f>'H4 other'!C42/1000</f>
        <v>1.8740000000000001</v>
      </c>
      <c r="D111" s="197">
        <f>'H4 other'!D42</f>
        <v>170.30799999999999</v>
      </c>
    </row>
    <row r="112" spans="1:4">
      <c r="A112" s="197">
        <f>'H4 other'!A43</f>
        <v>1994</v>
      </c>
      <c r="C112" s="198">
        <f>'H4 other'!C43/1000</f>
        <v>1.9</v>
      </c>
      <c r="D112" s="197">
        <f>'H4 other'!D43</f>
        <v>169.637</v>
      </c>
    </row>
    <row r="113" spans="1:5">
      <c r="A113" s="197">
        <f>'H4 other'!A44</f>
        <v>1995</v>
      </c>
      <c r="C113" s="198">
        <f>'H4 other'!C44/1000</f>
        <v>1.91</v>
      </c>
      <c r="D113" s="197"/>
      <c r="E113" s="197">
        <f>'H4 other'!D44</f>
        <v>172.7</v>
      </c>
    </row>
    <row r="114" spans="1:5">
      <c r="A114" s="197">
        <f>'H4 other'!A45</f>
        <v>1996</v>
      </c>
      <c r="C114" s="198">
        <f>'H4 other'!C45/1000</f>
        <v>1.966</v>
      </c>
      <c r="E114" s="197">
        <f>'H4 other'!D45</f>
        <v>183</v>
      </c>
    </row>
    <row r="115" spans="1:5">
      <c r="A115" s="197">
        <f>'H4 other'!A46</f>
        <v>1997</v>
      </c>
      <c r="C115" s="198">
        <f>'H4 other'!C46/1000</f>
        <v>2.0230000000000001</v>
      </c>
      <c r="E115" s="197">
        <f>'H4 other'!D46</f>
        <v>205.6</v>
      </c>
    </row>
    <row r="116" spans="1:5">
      <c r="A116" s="197">
        <f>'H4 other'!A47</f>
        <v>1998</v>
      </c>
      <c r="C116" s="198">
        <f>'H4 other'!C47/1000</f>
        <v>2.073</v>
      </c>
      <c r="E116" s="197">
        <f>'H4 other'!D47</f>
        <v>209.90100000000001</v>
      </c>
    </row>
    <row r="117" spans="1:5">
      <c r="A117" s="197">
        <f>'H4 other'!A48</f>
        <v>1999</v>
      </c>
      <c r="C117" s="198">
        <f>'H4 other'!C48/1000</f>
        <v>2.1309999999999998</v>
      </c>
      <c r="E117" s="197">
        <f>'H4 other'!D48</f>
        <v>216.12700000000001</v>
      </c>
    </row>
    <row r="118" spans="1:5">
      <c r="A118" s="197">
        <f>'H4 other'!A49</f>
        <v>2000</v>
      </c>
      <c r="C118" s="198">
        <f>'H4 other'!C49/1000</f>
        <v>2.1883569999999999</v>
      </c>
      <c r="E118" s="197">
        <f>'H4 other'!D49</f>
        <v>220.34100000000001</v>
      </c>
    </row>
    <row r="119" spans="1:5">
      <c r="A119" s="197">
        <f>'H4 other'!A50</f>
        <v>2001</v>
      </c>
      <c r="C119" s="198">
        <f>'H4 other'!C50/1000</f>
        <v>2.262248</v>
      </c>
      <c r="E119" s="197">
        <f>'H4 other'!D50</f>
        <v>241.2</v>
      </c>
    </row>
    <row r="120" spans="1:5">
      <c r="A120" s="197">
        <f>'H4 other'!A51</f>
        <v>2002</v>
      </c>
      <c r="C120" s="198">
        <f>'H4 other'!C51/1000</f>
        <v>2.33</v>
      </c>
      <c r="E120" s="197">
        <f>'H4 other'!D51</f>
        <v>259.39999999999998</v>
      </c>
    </row>
    <row r="121" spans="1:5">
      <c r="A121" s="197">
        <f>'H4 other'!A52</f>
        <v>2003</v>
      </c>
      <c r="C121" s="198">
        <f>'H4 other'!C52/1000</f>
        <v>2.3829899999999999</v>
      </c>
      <c r="E121" s="197">
        <f>'H4 other'!D52</f>
        <v>262.39999999999998</v>
      </c>
    </row>
    <row r="122" spans="1:5">
      <c r="A122" s="197">
        <f>'H4 other'!A53</f>
        <v>2004</v>
      </c>
      <c r="B122" s="200"/>
      <c r="C122" s="198">
        <f>'H4 other'!C53/1000</f>
        <v>2.4481840000000004</v>
      </c>
      <c r="E122" s="197">
        <f>'H4 other'!D53</f>
        <v>262.80900000000003</v>
      </c>
    </row>
    <row r="123" spans="1:5">
      <c r="A123" s="197">
        <f>'H4 other'!A54</f>
        <v>2005</v>
      </c>
      <c r="B123" s="200"/>
      <c r="C123" s="198">
        <f>'H4 other'!C54/1000</f>
        <v>2.5313339999999998</v>
      </c>
      <c r="E123" s="197">
        <f>'H4 other'!D54</f>
        <v>251</v>
      </c>
    </row>
    <row r="124" spans="1:5">
      <c r="A124" s="197">
        <f>'H4 other'!A55</f>
        <v>2006</v>
      </c>
      <c r="C124" s="198">
        <f>'H4 other'!C55/1000</f>
        <v>2.5642930000000002</v>
      </c>
      <c r="E124" s="197">
        <f>'H4 other'!D55</f>
        <v>242.923</v>
      </c>
    </row>
    <row r="125" spans="1:5">
      <c r="A125" s="197">
        <f>'H4 other'!A56</f>
        <v>2007</v>
      </c>
      <c r="C125" s="198">
        <f>'H4 other'!C56/1000</f>
        <v>2.6269830000000001</v>
      </c>
      <c r="E125" s="197">
        <f>'H4 other'!D56</f>
        <v>250.916</v>
      </c>
    </row>
    <row r="126" spans="1:5">
      <c r="A126" s="197">
        <f>'H4 other'!A57</f>
        <v>2008</v>
      </c>
      <c r="C126" s="198">
        <f>'H4 other'!C57/1000</f>
        <v>2.6651860000000003</v>
      </c>
      <c r="E126" s="197">
        <f>'H4 other'!D57</f>
        <v>215</v>
      </c>
    </row>
    <row r="127" spans="1:5">
      <c r="A127" s="197">
        <f>'H4 other'!A58</f>
        <v>2009</v>
      </c>
      <c r="C127" s="198">
        <f>'H4 other'!C58/1000</f>
        <v>2.6838969999999995</v>
      </c>
      <c r="E127" s="197">
        <f>'H4 other'!D58</f>
        <v>216</v>
      </c>
    </row>
    <row r="128" spans="1:5">
      <c r="A128" s="197">
        <f>'H4 other'!A59</f>
        <v>2010</v>
      </c>
      <c r="C128" s="198">
        <f>'H4 other'!C59/1000</f>
        <v>2.6846819999999996</v>
      </c>
      <c r="E128" s="197">
        <f>'H4 other'!D59</f>
        <v>208.7</v>
      </c>
    </row>
    <row r="129" spans="1:5">
      <c r="A129" s="197">
        <f>'H4 other'!A60</f>
        <v>2011</v>
      </c>
      <c r="C129" s="198">
        <f>'H4 other'!C60/1000</f>
        <v>2.6909999999999998</v>
      </c>
      <c r="E129" s="197">
        <f>'H4 other'!D60</f>
        <v>202</v>
      </c>
    </row>
    <row r="130" spans="1:5">
      <c r="A130" s="197">
        <f>'H4 other'!A61</f>
        <v>2012</v>
      </c>
      <c r="C130" s="198">
        <f>'H4 other'!C61/1000</f>
        <v>2.7170000000000001</v>
      </c>
      <c r="E130" s="197">
        <f>'H4 other'!D61</f>
        <v>216.4</v>
      </c>
    </row>
    <row r="131" spans="1:5">
      <c r="A131" s="197">
        <f>'H4 other'!A62</f>
        <v>2013</v>
      </c>
      <c r="C131" s="198">
        <f>'H4 other'!C62/1000</f>
        <v>2.7589999999999999</v>
      </c>
      <c r="E131" s="197">
        <f>'H4 other'!D62</f>
        <v>241</v>
      </c>
    </row>
    <row r="132" spans="1:5">
      <c r="A132" s="197">
        <f>'H4 other'!A63</f>
        <v>2014</v>
      </c>
      <c r="C132" s="198">
        <f>'H4 other'!C63/1000</f>
        <v>2.8213599999999999</v>
      </c>
      <c r="E132" s="197">
        <f>'H4 other'!D63</f>
        <v>262.16399999999999</v>
      </c>
    </row>
    <row r="133" spans="1:5">
      <c r="C133" s="194" t="s">
        <v>284</v>
      </c>
    </row>
  </sheetData>
  <phoneticPr fontId="3" type="noConversion"/>
  <pageMargins left="0.75" right="0.75" top="0.77" bottom="0.68" header="0.5" footer="0.5"/>
  <pageSetup paperSize="9" scale="43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M126"/>
  <sheetViews>
    <sheetView zoomScale="62" zoomScaleNormal="62" workbookViewId="0"/>
  </sheetViews>
  <sheetFormatPr defaultColWidth="11.42578125" defaultRowHeight="15"/>
  <cols>
    <col min="1" max="14" width="11.42578125" style="194" customWidth="1"/>
    <col min="15" max="15" width="0.85546875" style="194" customWidth="1"/>
    <col min="16" max="16" width="2" style="194" customWidth="1"/>
    <col min="17" max="17" width="5.140625" style="194" customWidth="1"/>
    <col min="18" max="16384" width="11.42578125" style="194"/>
  </cols>
  <sheetData>
    <row r="1" spans="1:1" s="193" customFormat="1" ht="30">
      <c r="A1" s="192" t="s">
        <v>408</v>
      </c>
    </row>
    <row r="43" spans="1:1" ht="18">
      <c r="A43" s="195" t="s">
        <v>285</v>
      </c>
    </row>
    <row r="44" spans="1:1" ht="18">
      <c r="A44" s="195" t="s">
        <v>286</v>
      </c>
    </row>
    <row r="46" spans="1:1" ht="46.5" customHeight="1">
      <c r="A46" s="192" t="s">
        <v>409</v>
      </c>
    </row>
    <row r="47" spans="1:1">
      <c r="A47" s="201"/>
    </row>
    <row r="81" spans="1:13" ht="18.75">
      <c r="A81" s="202"/>
    </row>
    <row r="84" spans="1:13" ht="4.5" customHeight="1"/>
    <row r="85" spans="1:13" ht="4.5" customHeight="1"/>
    <row r="86" spans="1:13" ht="60">
      <c r="D86" s="196" t="s">
        <v>218</v>
      </c>
      <c r="E86" s="196" t="s">
        <v>287</v>
      </c>
      <c r="F86" s="194" t="s">
        <v>288</v>
      </c>
      <c r="G86" s="196" t="s">
        <v>289</v>
      </c>
      <c r="H86" s="196" t="s">
        <v>288</v>
      </c>
      <c r="M86" s="194" t="s">
        <v>290</v>
      </c>
    </row>
    <row r="87" spans="1:13">
      <c r="C87" s="197">
        <f>'H1 passenger'!A26</f>
        <v>1975</v>
      </c>
      <c r="G87" s="199">
        <f>'H1 passenger'!D26</f>
        <v>9318.066556570282</v>
      </c>
      <c r="L87" s="197">
        <f t="shared" ref="L87:L124" si="0">C87</f>
        <v>1975</v>
      </c>
      <c r="M87" s="199">
        <f>'H4 other'!E24</f>
        <v>28621</v>
      </c>
    </row>
    <row r="88" spans="1:13">
      <c r="C88" s="197">
        <f>'H1 passenger'!A27</f>
        <v>1976</v>
      </c>
      <c r="G88" s="199">
        <f>'H1 passenger'!D27</f>
        <v>9438.0702892543177</v>
      </c>
      <c r="L88" s="197">
        <f t="shared" si="0"/>
        <v>1976</v>
      </c>
      <c r="M88" s="199">
        <f>'H4 other'!E25</f>
        <v>29933</v>
      </c>
    </row>
    <row r="89" spans="1:13">
      <c r="C89" s="197">
        <f>'H1 passenger'!A28</f>
        <v>1977</v>
      </c>
      <c r="G89" s="199">
        <f>'H1 passenger'!D28</f>
        <v>9621.7449073796161</v>
      </c>
      <c r="L89" s="197">
        <f t="shared" si="0"/>
        <v>1977</v>
      </c>
      <c r="M89" s="199">
        <f>'H4 other'!E26</f>
        <v>29783</v>
      </c>
    </row>
    <row r="90" spans="1:13">
      <c r="C90" s="197">
        <f>'H1 passenger'!A29</f>
        <v>1978</v>
      </c>
      <c r="G90" s="199">
        <f>'H1 passenger'!D29</f>
        <v>9748.6280435445515</v>
      </c>
      <c r="L90" s="197">
        <f t="shared" si="0"/>
        <v>1978</v>
      </c>
      <c r="M90" s="199">
        <f>'H4 other'!E27</f>
        <v>30506</v>
      </c>
    </row>
    <row r="91" spans="1:13">
      <c r="C91" s="197">
        <f>'H1 passenger'!A30</f>
        <v>1979</v>
      </c>
      <c r="G91" s="199">
        <f>'H1 passenger'!D30</f>
        <v>9642.6904774246123</v>
      </c>
      <c r="L91" s="197">
        <f t="shared" si="0"/>
        <v>1979</v>
      </c>
      <c r="M91" s="199">
        <f>'H4 other'!E28</f>
        <v>31387</v>
      </c>
    </row>
    <row r="92" spans="1:13">
      <c r="C92" s="197">
        <f>'H1 passenger'!A31</f>
        <v>1980</v>
      </c>
      <c r="G92" s="199">
        <f>'H1 passenger'!D31</f>
        <v>10261.850579172542</v>
      </c>
      <c r="L92" s="197">
        <f t="shared" si="0"/>
        <v>1980</v>
      </c>
      <c r="M92" s="199">
        <f>'H4 other'!E29</f>
        <v>29286</v>
      </c>
    </row>
    <row r="93" spans="1:13">
      <c r="C93" s="197">
        <f>'H1 passenger'!A32</f>
        <v>1981</v>
      </c>
      <c r="G93" s="199">
        <f>'H1 passenger'!D32</f>
        <v>10417.985744720616</v>
      </c>
      <c r="L93" s="197">
        <f t="shared" si="0"/>
        <v>1981</v>
      </c>
      <c r="M93" s="199">
        <f>'H4 other'!E30</f>
        <v>28766</v>
      </c>
    </row>
    <row r="94" spans="1:13">
      <c r="C94" s="197">
        <f>'H1 passenger'!A33</f>
        <v>1982</v>
      </c>
      <c r="G94" s="199">
        <f>'H1 passenger'!D33</f>
        <v>10733.46368301049</v>
      </c>
      <c r="L94" s="197">
        <f t="shared" si="0"/>
        <v>1982</v>
      </c>
      <c r="M94" s="199">
        <f>'H4 other'!E31</f>
        <v>28273</v>
      </c>
    </row>
    <row r="95" spans="1:13">
      <c r="C95" s="197">
        <f>'H1 passenger'!A34</f>
        <v>1983</v>
      </c>
      <c r="E95" s="203">
        <f>'H3 traffic'!E33</f>
        <v>14185</v>
      </c>
      <c r="H95" s="199">
        <f>'H1 passenger'!D34</f>
        <v>11043</v>
      </c>
      <c r="L95" s="197">
        <f t="shared" si="0"/>
        <v>1983</v>
      </c>
      <c r="M95" s="199">
        <f>'H4 other'!E32</f>
        <v>25224</v>
      </c>
    </row>
    <row r="96" spans="1:13">
      <c r="C96" s="197">
        <f>'H1 passenger'!A35</f>
        <v>1984</v>
      </c>
      <c r="E96" s="203">
        <f>'H3 traffic'!E34</f>
        <v>16302</v>
      </c>
      <c r="H96" s="199">
        <f>'H1 passenger'!D35</f>
        <v>12794</v>
      </c>
      <c r="L96" s="197">
        <f t="shared" si="0"/>
        <v>1984</v>
      </c>
      <c r="M96" s="199">
        <f>'H4 other'!E33</f>
        <v>26158</v>
      </c>
    </row>
    <row r="97" spans="3:13">
      <c r="C97" s="197">
        <f>'H1 passenger'!A36</f>
        <v>1985</v>
      </c>
      <c r="E97" s="203">
        <f>'H3 traffic'!E35</f>
        <v>17219</v>
      </c>
      <c r="H97" s="199">
        <f>'H1 passenger'!D36</f>
        <v>13606</v>
      </c>
      <c r="L97" s="197">
        <f t="shared" si="0"/>
        <v>1985</v>
      </c>
      <c r="M97" s="199">
        <f>'H4 other'!E34</f>
        <v>27287</v>
      </c>
    </row>
    <row r="98" spans="3:13">
      <c r="C98" s="197">
        <f>'H1 passenger'!A37</f>
        <v>1986</v>
      </c>
      <c r="E98" s="203">
        <f>'H3 traffic'!E36</f>
        <v>17647</v>
      </c>
      <c r="H98" s="199">
        <f>'H1 passenger'!D37</f>
        <v>14012</v>
      </c>
      <c r="L98" s="197">
        <f t="shared" si="0"/>
        <v>1986</v>
      </c>
      <c r="M98" s="199">
        <f>'H4 other'!E35</f>
        <v>26117</v>
      </c>
    </row>
    <row r="99" spans="3:13">
      <c r="C99" s="197">
        <f>'H1 passenger'!A38</f>
        <v>1987</v>
      </c>
      <c r="E99" s="203">
        <f>'H3 traffic'!E37</f>
        <v>18767</v>
      </c>
      <c r="H99" s="199">
        <f>'H1 passenger'!D38</f>
        <v>14881</v>
      </c>
      <c r="L99" s="197">
        <f t="shared" si="0"/>
        <v>1987</v>
      </c>
      <c r="M99" s="199">
        <f>'H4 other'!E36</f>
        <v>24748</v>
      </c>
    </row>
    <row r="100" spans="3:13">
      <c r="C100" s="197">
        <f>'H1 passenger'!A39</f>
        <v>1988</v>
      </c>
      <c r="E100" s="203">
        <f>'H3 traffic'!E38</f>
        <v>20098</v>
      </c>
      <c r="H100" s="199">
        <f>'H1 passenger'!D39</f>
        <v>15946</v>
      </c>
      <c r="L100" s="197">
        <f t="shared" si="0"/>
        <v>1988</v>
      </c>
      <c r="M100" s="199">
        <f>'H4 other'!E37</f>
        <v>25425</v>
      </c>
    </row>
    <row r="101" spans="3:13">
      <c r="C101" s="197">
        <f>'H1 passenger'!A40</f>
        <v>1989</v>
      </c>
      <c r="E101" s="203">
        <f>'H3 traffic'!E39</f>
        <v>21404</v>
      </c>
      <c r="H101" s="199">
        <f>'H1 passenger'!D40</f>
        <v>17027</v>
      </c>
      <c r="L101" s="197">
        <f t="shared" si="0"/>
        <v>1989</v>
      </c>
      <c r="M101" s="199">
        <f>'H4 other'!E38</f>
        <v>27532</v>
      </c>
    </row>
    <row r="102" spans="3:13">
      <c r="C102" s="197">
        <f>'H1 passenger'!A41</f>
        <v>1990</v>
      </c>
      <c r="E102" s="203">
        <f>'H3 traffic'!E40</f>
        <v>21786</v>
      </c>
      <c r="H102" s="199">
        <f>'H1 passenger'!D41</f>
        <v>17476</v>
      </c>
      <c r="L102" s="197">
        <f t="shared" si="0"/>
        <v>1990</v>
      </c>
      <c r="M102" s="199">
        <f>'H4 other'!E39</f>
        <v>27228</v>
      </c>
    </row>
    <row r="103" spans="3:13">
      <c r="C103" s="197">
        <f>'H1 passenger'!A42</f>
        <v>1991</v>
      </c>
      <c r="E103" s="203">
        <f>'H3 traffic'!E41</f>
        <v>21947</v>
      </c>
      <c r="H103" s="199">
        <f>'H1 passenger'!D42</f>
        <v>17553</v>
      </c>
      <c r="L103" s="197">
        <f t="shared" si="0"/>
        <v>1991</v>
      </c>
      <c r="M103" s="199">
        <f>'H4 other'!E40</f>
        <v>25346</v>
      </c>
    </row>
    <row r="104" spans="3:13">
      <c r="C104" s="197">
        <f>'H1 passenger'!A43</f>
        <v>1992</v>
      </c>
      <c r="E104" s="203">
        <f>'H3 traffic'!E42</f>
        <v>22575</v>
      </c>
      <c r="H104" s="199">
        <f>'H1 passenger'!D43</f>
        <v>18068</v>
      </c>
      <c r="L104" s="197">
        <f t="shared" si="0"/>
        <v>1992</v>
      </c>
      <c r="M104" s="199">
        <f>'H4 other'!E41</f>
        <v>24173</v>
      </c>
    </row>
    <row r="105" spans="3:13">
      <c r="C105" s="197">
        <f>'H1 passenger'!A44</f>
        <v>1993</v>
      </c>
      <c r="D105" s="203">
        <f>'H3 traffic'!G43</f>
        <v>35175</v>
      </c>
      <c r="F105" s="203">
        <f>'H3 traffic'!E43</f>
        <v>22666</v>
      </c>
      <c r="I105" s="199">
        <f>'H1 passenger'!D44</f>
        <v>18211</v>
      </c>
      <c r="L105" s="197">
        <f t="shared" si="0"/>
        <v>1993</v>
      </c>
      <c r="M105" s="199">
        <f>'H4 other'!E42</f>
        <v>22414</v>
      </c>
    </row>
    <row r="106" spans="3:13">
      <c r="C106" s="197">
        <f>'H1 passenger'!A45</f>
        <v>1994</v>
      </c>
      <c r="D106" s="203">
        <f>'H3 traffic'!G44</f>
        <v>36000</v>
      </c>
      <c r="F106" s="203">
        <f>'H3 traffic'!E44</f>
        <v>23300</v>
      </c>
      <c r="I106" s="199">
        <f>'H1 passenger'!D45</f>
        <v>18683</v>
      </c>
      <c r="L106" s="197">
        <f t="shared" si="0"/>
        <v>1994</v>
      </c>
      <c r="M106" s="199">
        <f>'H4 other'!E43</f>
        <v>22573</v>
      </c>
    </row>
    <row r="107" spans="3:13">
      <c r="C107" s="197">
        <f>'H1 passenger'!A46</f>
        <v>1995</v>
      </c>
      <c r="D107" s="203">
        <f>'H3 traffic'!G45</f>
        <v>36736</v>
      </c>
      <c r="F107" s="203">
        <f>'H3 traffic'!E45</f>
        <v>23987</v>
      </c>
      <c r="I107" s="199">
        <f>'H1 passenger'!D46</f>
        <v>19226</v>
      </c>
      <c r="L107" s="197">
        <f t="shared" si="0"/>
        <v>1995</v>
      </c>
      <c r="M107" s="199">
        <f>'H4 other'!E44</f>
        <v>22194</v>
      </c>
    </row>
    <row r="108" spans="3:13">
      <c r="C108" s="197">
        <f>'H1 passenger'!A47</f>
        <v>1996</v>
      </c>
      <c r="D108" s="203">
        <f>'H3 traffic'!G46</f>
        <v>37777</v>
      </c>
      <c r="F108" s="203">
        <f>'H3 traffic'!E46</f>
        <v>24839</v>
      </c>
      <c r="I108" s="199">
        <f>'H1 passenger'!D47</f>
        <v>19888</v>
      </c>
      <c r="L108" s="197">
        <f t="shared" si="0"/>
        <v>1996</v>
      </c>
      <c r="M108" s="199">
        <f>'H4 other'!E45</f>
        <v>21716</v>
      </c>
    </row>
    <row r="109" spans="3:13">
      <c r="C109" s="197">
        <f>'H1 passenger'!A48</f>
        <v>1997</v>
      </c>
      <c r="D109" s="203">
        <f>'H3 traffic'!G47</f>
        <v>38582</v>
      </c>
      <c r="F109" s="203">
        <f>'H3 traffic'!E47</f>
        <v>25452</v>
      </c>
      <c r="I109" s="199">
        <f>'H1 passenger'!D48</f>
        <v>20266</v>
      </c>
      <c r="L109" s="197">
        <f t="shared" si="0"/>
        <v>1997</v>
      </c>
      <c r="M109" s="199">
        <f>'H4 other'!E46</f>
        <v>22629</v>
      </c>
    </row>
    <row r="110" spans="3:13">
      <c r="C110" s="197">
        <f>'H1 passenger'!A49</f>
        <v>1998</v>
      </c>
      <c r="D110" s="203">
        <f>'H3 traffic'!G48</f>
        <v>39169</v>
      </c>
      <c r="F110" s="203">
        <f>'H3 traffic'!E48</f>
        <v>25885</v>
      </c>
      <c r="I110" s="199">
        <f>'H1 passenger'!D49</f>
        <v>20456</v>
      </c>
      <c r="L110" s="197">
        <f t="shared" si="0"/>
        <v>1998</v>
      </c>
      <c r="M110" s="199">
        <f>'H4 other'!E47</f>
        <v>22467</v>
      </c>
    </row>
    <row r="111" spans="3:13">
      <c r="C111" s="197">
        <f>'H1 passenger'!A50</f>
        <v>1999</v>
      </c>
      <c r="D111" s="203">
        <f>'H3 traffic'!G49</f>
        <v>39770</v>
      </c>
      <c r="F111" s="203">
        <f>'H3 traffic'!E49</f>
        <v>26185</v>
      </c>
      <c r="I111" s="199">
        <f>'H1 passenger'!D50</f>
        <v>20700</v>
      </c>
      <c r="L111" s="197">
        <f t="shared" si="0"/>
        <v>1999</v>
      </c>
      <c r="M111" s="199">
        <f>'H4 other'!E48</f>
        <v>21002</v>
      </c>
    </row>
    <row r="112" spans="3:13">
      <c r="C112" s="197">
        <f>'H1 passenger'!A51</f>
        <v>2000</v>
      </c>
      <c r="D112" s="203">
        <f>'H3 traffic'!G50</f>
        <v>39561</v>
      </c>
      <c r="F112" s="203">
        <f>'H3 traffic'!E50</f>
        <v>25936</v>
      </c>
      <c r="I112" s="199">
        <f>'H1 passenger'!D51</f>
        <v>20566.003000000001</v>
      </c>
      <c r="L112" s="197">
        <f t="shared" si="0"/>
        <v>2000</v>
      </c>
      <c r="M112" s="199">
        <f>'H4 other'!E49</f>
        <v>20518</v>
      </c>
    </row>
    <row r="113" spans="3:13">
      <c r="C113" s="197">
        <f>'H1 passenger'!A52</f>
        <v>2001</v>
      </c>
      <c r="D113" s="203">
        <f>'H3 traffic'!G51</f>
        <v>40065</v>
      </c>
      <c r="F113" s="203">
        <f>'H3 traffic'!E51</f>
        <v>26342</v>
      </c>
      <c r="I113" s="199">
        <f>'H1 passenger'!D52</f>
        <v>20977</v>
      </c>
      <c r="L113" s="197">
        <f t="shared" si="0"/>
        <v>2001</v>
      </c>
      <c r="M113" s="199">
        <f>'H4 other'!E50</f>
        <v>19911</v>
      </c>
    </row>
    <row r="114" spans="3:13">
      <c r="C114" s="197">
        <f>'H1 passenger'!A53</f>
        <v>2002</v>
      </c>
      <c r="D114" s="203">
        <f>'H3 traffic'!G52</f>
        <v>41535</v>
      </c>
      <c r="F114" s="203">
        <f>'H3 traffic'!E52</f>
        <v>27262</v>
      </c>
      <c r="I114" s="199">
        <f>'H1 passenger'!D53</f>
        <v>21760.136999999999</v>
      </c>
      <c r="L114" s="197">
        <f t="shared" si="0"/>
        <v>2002</v>
      </c>
      <c r="M114" s="199">
        <f>'H4 other'!E51</f>
        <v>19275</v>
      </c>
    </row>
    <row r="115" spans="3:13">
      <c r="C115" s="197">
        <f>'H1 passenger'!A54</f>
        <v>2003</v>
      </c>
      <c r="D115" s="203">
        <f>'H3 traffic'!G53</f>
        <v>42038</v>
      </c>
      <c r="F115" s="203">
        <f>'H3 traffic'!E53</f>
        <v>27682</v>
      </c>
      <c r="I115" s="199">
        <f>'H1 passenger'!D54</f>
        <v>21921.514999999999</v>
      </c>
      <c r="L115" s="197">
        <f t="shared" si="0"/>
        <v>2003</v>
      </c>
      <c r="M115" s="199">
        <f>'H4 other'!E52</f>
        <v>18756</v>
      </c>
    </row>
    <row r="116" spans="3:13">
      <c r="C116" s="197">
        <f>'H1 passenger'!A55</f>
        <v>2004</v>
      </c>
      <c r="D116" s="203">
        <f>'H3 traffic'!G54</f>
        <v>42705</v>
      </c>
      <c r="F116" s="203">
        <f>'H3 traffic'!E54</f>
        <v>28209</v>
      </c>
      <c r="I116" s="199">
        <f>'H1 passenger'!D55</f>
        <v>22307.81</v>
      </c>
      <c r="L116" s="197">
        <f t="shared" si="0"/>
        <v>2004</v>
      </c>
      <c r="M116" s="199">
        <f>'H4 other'!E53</f>
        <v>18502</v>
      </c>
    </row>
    <row r="117" spans="3:13">
      <c r="C117" s="197">
        <f>'H1 passenger'!A56</f>
        <v>2005</v>
      </c>
      <c r="D117" s="203">
        <f>'H3 traffic'!G55</f>
        <v>42718</v>
      </c>
      <c r="F117" s="203">
        <f>'H3 traffic'!E55</f>
        <v>28055</v>
      </c>
      <c r="I117" s="199">
        <f>'H1 passenger'!D56</f>
        <v>22060</v>
      </c>
      <c r="L117" s="197">
        <f t="shared" si="0"/>
        <v>2005</v>
      </c>
      <c r="M117" s="199">
        <f>'H4 other'!E54</f>
        <v>17885</v>
      </c>
    </row>
    <row r="118" spans="3:13">
      <c r="C118" s="197">
        <f>'H1 passenger'!A57</f>
        <v>2006</v>
      </c>
      <c r="D118" s="203">
        <f>'H3 traffic'!G56</f>
        <v>44119</v>
      </c>
      <c r="F118" s="203">
        <f>'H3 traffic'!E56</f>
        <v>29898</v>
      </c>
      <c r="I118" s="199">
        <f>'H1 passenger'!D57</f>
        <v>22610</v>
      </c>
      <c r="L118" s="197">
        <f t="shared" si="0"/>
        <v>2006</v>
      </c>
      <c r="M118" s="199">
        <f>'H4 other'!E55</f>
        <v>17269</v>
      </c>
    </row>
    <row r="119" spans="3:13">
      <c r="C119" s="197">
        <f>'H1 passenger'!A58</f>
        <v>2007</v>
      </c>
      <c r="D119" s="203">
        <f>'H3 traffic'!G57</f>
        <v>44666</v>
      </c>
      <c r="F119" s="203">
        <f>'H3 traffic'!E57</f>
        <v>28986</v>
      </c>
      <c r="I119" s="199">
        <f>'H1 passenger'!D58</f>
        <v>22392</v>
      </c>
      <c r="L119" s="197">
        <f t="shared" si="0"/>
        <v>2007</v>
      </c>
      <c r="M119" s="199">
        <f>'H4 other'!E56</f>
        <v>16239</v>
      </c>
    </row>
    <row r="120" spans="3:13">
      <c r="C120" s="197">
        <f>'H1 passenger'!A59</f>
        <v>2008</v>
      </c>
      <c r="D120" s="203">
        <f>'H3 traffic'!G58</f>
        <v>44470</v>
      </c>
      <c r="F120" s="203">
        <f>'H3 traffic'!E58</f>
        <v>28810</v>
      </c>
      <c r="I120" s="199">
        <f>'H1 passenger'!D59</f>
        <v>22221</v>
      </c>
      <c r="L120" s="197">
        <f t="shared" si="0"/>
        <v>2008</v>
      </c>
      <c r="M120" s="199">
        <f>'H4 other'!E57</f>
        <v>15592</v>
      </c>
    </row>
    <row r="121" spans="3:13">
      <c r="C121" s="197">
        <f>'H1 passenger'!A60</f>
        <v>2009</v>
      </c>
      <c r="D121" s="203">
        <f>'H3 traffic'!G59</f>
        <v>44219</v>
      </c>
      <c r="F121" s="203">
        <f>'H3 traffic'!E59</f>
        <v>28961</v>
      </c>
      <c r="I121" s="199">
        <f>'H1 passenger'!D60</f>
        <v>22496</v>
      </c>
      <c r="L121" s="197">
        <f t="shared" si="0"/>
        <v>2009</v>
      </c>
      <c r="M121" s="199">
        <f>'H4 other'!E58</f>
        <v>15043</v>
      </c>
    </row>
    <row r="122" spans="3:13">
      <c r="C122" s="197">
        <f>'H1 passenger'!A61</f>
        <v>2010</v>
      </c>
      <c r="D122" s="203">
        <f>'H3 traffic'!G60</f>
        <v>43488</v>
      </c>
      <c r="F122" s="203">
        <f>'H3 traffic'!E60</f>
        <v>28495</v>
      </c>
      <c r="I122" s="199">
        <f>'H1 passenger'!D61</f>
        <v>21998</v>
      </c>
      <c r="L122" s="197">
        <f t="shared" si="0"/>
        <v>2010</v>
      </c>
      <c r="M122" s="199">
        <f>'H4 other'!E59</f>
        <v>13338</v>
      </c>
    </row>
    <row r="123" spans="3:13">
      <c r="C123" s="197">
        <f>'H1 passenger'!A62</f>
        <v>2011</v>
      </c>
      <c r="D123" s="203">
        <f>'H3 traffic'!G61</f>
        <v>43390</v>
      </c>
      <c r="F123" s="203">
        <f>'H3 traffic'!E61</f>
        <v>28565</v>
      </c>
      <c r="I123" s="199">
        <f>'H1 passenger'!D62</f>
        <v>21986</v>
      </c>
      <c r="L123" s="197">
        <f t="shared" si="0"/>
        <v>2011</v>
      </c>
      <c r="M123" s="199">
        <f>'H4 other'!E60</f>
        <v>12790</v>
      </c>
    </row>
    <row r="124" spans="3:13">
      <c r="C124" s="197">
        <f>'H1 passenger'!A63</f>
        <v>2012</v>
      </c>
      <c r="D124" s="203">
        <f>'H3 traffic'!G62</f>
        <v>43549</v>
      </c>
      <c r="F124" s="203">
        <f>'H3 traffic'!E62</f>
        <v>28853</v>
      </c>
      <c r="I124" s="199">
        <f>'H1 passenger'!D63</f>
        <v>22170</v>
      </c>
      <c r="L124" s="197">
        <f t="shared" si="0"/>
        <v>2012</v>
      </c>
      <c r="M124" s="199">
        <f>'H4 other'!E61</f>
        <v>12721</v>
      </c>
    </row>
    <row r="125" spans="3:13">
      <c r="C125" s="197">
        <f>'H1 passenger'!A64</f>
        <v>2013</v>
      </c>
      <c r="D125" s="203">
        <f>'H3 traffic'!G63</f>
        <v>43840</v>
      </c>
      <c r="F125" s="203">
        <f>'H3 traffic'!E63</f>
        <v>29048</v>
      </c>
      <c r="I125" s="199">
        <f>'H1 passenger'!D64</f>
        <v>22217</v>
      </c>
      <c r="L125" s="197">
        <f>C125</f>
        <v>2013</v>
      </c>
      <c r="M125" s="199">
        <f>'H4 other'!E62</f>
        <v>11504</v>
      </c>
    </row>
    <row r="126" spans="3:13">
      <c r="C126" s="197">
        <f>'H1 passenger'!A65</f>
        <v>2014</v>
      </c>
      <c r="D126" s="203">
        <f>'H3 traffic'!G64</f>
        <v>44789</v>
      </c>
      <c r="F126" s="203">
        <f>'H3 traffic'!E64</f>
        <v>29437</v>
      </c>
      <c r="I126" s="199">
        <f>'H1 passenger'!D65</f>
        <v>22411</v>
      </c>
      <c r="L126" s="197">
        <f>C126</f>
        <v>2014</v>
      </c>
      <c r="M126" s="199">
        <f>'H4 other'!E63</f>
        <v>11240</v>
      </c>
    </row>
  </sheetData>
  <phoneticPr fontId="3" type="noConversion"/>
  <pageMargins left="0.75" right="0.75" top="0.73" bottom="0.68" header="0.5" footer="0.5"/>
  <pageSetup paperSize="9" scale="52" orientation="portrait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U147"/>
  <sheetViews>
    <sheetView zoomScale="50" zoomScaleNormal="50" workbookViewId="0"/>
  </sheetViews>
  <sheetFormatPr defaultColWidth="11.42578125" defaultRowHeight="15"/>
  <cols>
    <col min="1" max="3" width="11.42578125" style="194" customWidth="1"/>
    <col min="4" max="5" width="9.42578125" style="194" customWidth="1"/>
    <col min="6" max="6" width="10.28515625" style="194" customWidth="1"/>
    <col min="7" max="18" width="11.42578125" style="194" customWidth="1"/>
    <col min="19" max="19" width="7.85546875" style="194" customWidth="1"/>
    <col min="20" max="20" width="5.42578125" style="194" customWidth="1"/>
    <col min="21" max="21" width="14" style="194" customWidth="1"/>
    <col min="22" max="16384" width="11.42578125" style="194"/>
  </cols>
  <sheetData>
    <row r="2" spans="1:1" s="193" customFormat="1" ht="30">
      <c r="A2" s="192" t="s">
        <v>410</v>
      </c>
    </row>
    <row r="3" spans="1:1" ht="23.25">
      <c r="A3" s="204"/>
    </row>
    <row r="32" ht="9" customHeight="1"/>
    <row r="33" ht="16.5" customHeight="1"/>
    <row r="50" spans="1:20" ht="18">
      <c r="A50" s="195" t="s">
        <v>291</v>
      </c>
    </row>
    <row r="51" spans="1:20" ht="18">
      <c r="A51" s="205" t="s">
        <v>292</v>
      </c>
    </row>
    <row r="52" spans="1:20" ht="19.5" customHeight="1"/>
    <row r="53" spans="1:20" ht="19.5" customHeight="1"/>
    <row r="58" spans="1:20" s="193" customFormat="1" ht="30">
      <c r="A58" s="315" t="s">
        <v>426</v>
      </c>
      <c r="B58" s="316"/>
      <c r="C58" s="316"/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</row>
    <row r="103" spans="1:21" ht="18">
      <c r="A103" s="195" t="s">
        <v>293</v>
      </c>
    </row>
    <row r="104" spans="1:21" ht="18">
      <c r="A104" s="206" t="s">
        <v>294</v>
      </c>
    </row>
    <row r="105" spans="1:21" ht="18">
      <c r="A105" s="195" t="s">
        <v>295</v>
      </c>
    </row>
    <row r="106" spans="1:21" ht="64.5" customHeight="1">
      <c r="O106" s="207" t="s">
        <v>296</v>
      </c>
      <c r="P106" s="207"/>
    </row>
    <row r="107" spans="1:21">
      <c r="C107" s="194" t="s">
        <v>297</v>
      </c>
      <c r="F107" s="194" t="s">
        <v>102</v>
      </c>
      <c r="H107" s="194" t="s">
        <v>103</v>
      </c>
      <c r="I107" s="194" t="s">
        <v>298</v>
      </c>
      <c r="M107" s="208" t="s">
        <v>299</v>
      </c>
      <c r="O107" s="194" t="s">
        <v>300</v>
      </c>
      <c r="P107" s="194" t="s">
        <v>301</v>
      </c>
      <c r="Q107" s="194" t="s">
        <v>103</v>
      </c>
      <c r="R107" s="311"/>
      <c r="S107" s="312" t="s">
        <v>302</v>
      </c>
      <c r="T107" s="311"/>
      <c r="U107" s="311" t="s">
        <v>425</v>
      </c>
    </row>
    <row r="108" spans="1:21">
      <c r="B108" s="197">
        <v>1975</v>
      </c>
      <c r="C108" s="199">
        <f>'H1 passenger'!E26</f>
        <v>891.4</v>
      </c>
      <c r="D108" s="199"/>
      <c r="E108" s="199"/>
      <c r="F108" s="199">
        <f>'H1 passenger'!F26</f>
        <v>66.2</v>
      </c>
      <c r="H108" s="209">
        <f>'H1 passenger'!G26</f>
        <v>4.1837</v>
      </c>
      <c r="I108" s="209">
        <f>'H1 passenger'!I26</f>
        <v>5.2789999999999999</v>
      </c>
      <c r="L108" s="197">
        <f t="shared" ref="L108:L143" si="0">B108</f>
        <v>1975</v>
      </c>
      <c r="M108" s="210">
        <f>'H1 passenger'!F26</f>
        <v>66.2</v>
      </c>
      <c r="Q108" s="210">
        <f>'H1 passenger'!G26</f>
        <v>4.1837</v>
      </c>
      <c r="R108" s="313">
        <f>'H1 passenger'!I26</f>
        <v>5.2789999999999999</v>
      </c>
      <c r="S108" s="311"/>
      <c r="T108" s="311"/>
      <c r="U108" s="311"/>
    </row>
    <row r="109" spans="1:21">
      <c r="B109" s="197">
        <v>1976</v>
      </c>
      <c r="C109" s="199">
        <f>'H1 passenger'!E27</f>
        <v>881.1</v>
      </c>
      <c r="D109" s="199"/>
      <c r="E109" s="199"/>
      <c r="F109" s="199">
        <f>'H1 passenger'!F27</f>
        <v>60.1</v>
      </c>
      <c r="H109" s="209">
        <f>'H1 passenger'!G27</f>
        <v>4.7751999999999999</v>
      </c>
      <c r="I109" s="209">
        <f>'H1 passenger'!I27</f>
        <v>5.1710000000000003</v>
      </c>
      <c r="L109" s="197">
        <f t="shared" si="0"/>
        <v>1976</v>
      </c>
      <c r="M109" s="210">
        <f>'H1 passenger'!F27</f>
        <v>60.1</v>
      </c>
      <c r="Q109" s="210">
        <f>'H1 passenger'!G27</f>
        <v>4.7751999999999999</v>
      </c>
      <c r="R109" s="313">
        <f>'H1 passenger'!I27</f>
        <v>5.1710000000000003</v>
      </c>
      <c r="S109" s="311"/>
      <c r="T109" s="311"/>
      <c r="U109" s="311"/>
    </row>
    <row r="110" spans="1:21">
      <c r="B110" s="197">
        <v>1977</v>
      </c>
      <c r="C110" s="199">
        <f>'H1 passenger'!E28</f>
        <v>823.5</v>
      </c>
      <c r="D110" s="199"/>
      <c r="E110" s="199"/>
      <c r="F110" s="199">
        <f>'H1 passenger'!F28</f>
        <v>56.8</v>
      </c>
      <c r="H110" s="209">
        <f>'H1 passenger'!G28</f>
        <v>4.8456999999999999</v>
      </c>
      <c r="I110" s="209">
        <f>'H1 passenger'!I28</f>
        <v>4.8170000000000002</v>
      </c>
      <c r="L110" s="197">
        <f t="shared" si="0"/>
        <v>1977</v>
      </c>
      <c r="M110" s="210">
        <f>'H1 passenger'!F28</f>
        <v>56.8</v>
      </c>
      <c r="Q110" s="210">
        <f>'H1 passenger'!G28</f>
        <v>4.8456999999999999</v>
      </c>
      <c r="R110" s="313">
        <f>'H1 passenger'!I28</f>
        <v>4.8170000000000002</v>
      </c>
      <c r="S110" s="311"/>
      <c r="T110" s="311"/>
      <c r="U110" s="311"/>
    </row>
    <row r="111" spans="1:21">
      <c r="B111" s="197">
        <v>1978</v>
      </c>
      <c r="C111" s="199">
        <f>'H1 passenger'!E29</f>
        <v>794</v>
      </c>
      <c r="D111" s="199"/>
      <c r="E111" s="199"/>
      <c r="F111" s="199">
        <f>'H1 passenger'!F29</f>
        <v>59.7</v>
      </c>
      <c r="H111" s="209">
        <f>'H1 passenger'!G29</f>
        <v>5.8955000000000002</v>
      </c>
      <c r="I111" s="209">
        <f>'H1 passenger'!I29</f>
        <v>4.6390000000000002</v>
      </c>
      <c r="L111" s="197">
        <f t="shared" si="0"/>
        <v>1978</v>
      </c>
      <c r="M111" s="210">
        <f>'H1 passenger'!F29</f>
        <v>59.7</v>
      </c>
      <c r="Q111" s="210">
        <f>'H1 passenger'!G29</f>
        <v>5.8955000000000002</v>
      </c>
      <c r="R111" s="313">
        <f>'H1 passenger'!I29</f>
        <v>4.6390000000000002</v>
      </c>
      <c r="S111" s="311"/>
      <c r="T111" s="311"/>
      <c r="U111" s="311"/>
    </row>
    <row r="112" spans="1:21">
      <c r="B112" s="197">
        <v>1979</v>
      </c>
      <c r="C112" s="199">
        <f>'H1 passenger'!E30</f>
        <v>786</v>
      </c>
      <c r="D112" s="199"/>
      <c r="E112" s="199"/>
      <c r="F112" s="199">
        <f>'H1 passenger'!F30</f>
        <v>57.6</v>
      </c>
      <c r="H112" s="209">
        <f>'H1 passenger'!G30</f>
        <v>6.3316999999999997</v>
      </c>
      <c r="I112" s="209">
        <f>'H1 passenger'!I30</f>
        <v>4.5590000000000002</v>
      </c>
      <c r="L112" s="197">
        <f t="shared" si="0"/>
        <v>1979</v>
      </c>
      <c r="M112" s="210">
        <f>'H1 passenger'!F30</f>
        <v>57.6</v>
      </c>
      <c r="Q112" s="210">
        <f>'H1 passenger'!G30</f>
        <v>6.3316999999999997</v>
      </c>
      <c r="R112" s="313">
        <f>'H1 passenger'!I30</f>
        <v>4.5590000000000002</v>
      </c>
      <c r="S112" s="311"/>
      <c r="T112" s="311"/>
      <c r="U112" s="311"/>
    </row>
    <row r="113" spans="2:21">
      <c r="B113" s="197">
        <v>1980</v>
      </c>
      <c r="C113" s="199">
        <f>'H1 passenger'!E31</f>
        <v>762.9</v>
      </c>
      <c r="D113" s="199"/>
      <c r="E113" s="199"/>
      <c r="F113" s="199">
        <f>'H1 passenger'!F31</f>
        <v>61.5</v>
      </c>
      <c r="H113" s="209">
        <f>'H1 passenger'!G31</f>
        <v>6.3686999999999996</v>
      </c>
      <c r="I113" s="209">
        <f>'H1 passenger'!I31</f>
        <v>4.4779999999999998</v>
      </c>
      <c r="L113" s="197">
        <f t="shared" si="0"/>
        <v>1980</v>
      </c>
      <c r="M113" s="210">
        <f>'H1 passenger'!F31</f>
        <v>61.5</v>
      </c>
      <c r="Q113" s="210">
        <f>'H1 passenger'!G31</f>
        <v>6.3686999999999996</v>
      </c>
      <c r="R113" s="313">
        <f>'H1 passenger'!I31</f>
        <v>4.4779999999999998</v>
      </c>
      <c r="S113" s="311"/>
      <c r="T113" s="311"/>
      <c r="U113" s="311"/>
    </row>
    <row r="114" spans="2:21">
      <c r="B114" s="197">
        <v>1981</v>
      </c>
      <c r="C114" s="199">
        <f>'H1 passenger'!E32</f>
        <v>715.9</v>
      </c>
      <c r="D114" s="199"/>
      <c r="E114" s="199"/>
      <c r="F114" s="199">
        <f>'H1 passenger'!F32</f>
        <v>57.8</v>
      </c>
      <c r="H114" s="209">
        <f>'H1 passenger'!G32</f>
        <v>6.4984999999999999</v>
      </c>
      <c r="I114" s="209">
        <f>'H1 passenger'!I32</f>
        <v>4.2699999999999996</v>
      </c>
      <c r="L114" s="197">
        <f t="shared" si="0"/>
        <v>1981</v>
      </c>
      <c r="M114" s="210">
        <f>'H1 passenger'!F32</f>
        <v>57.8</v>
      </c>
      <c r="Q114" s="210">
        <f>'H1 passenger'!G32</f>
        <v>6.4984999999999999</v>
      </c>
      <c r="R114" s="313">
        <f>'H1 passenger'!I32</f>
        <v>4.2699999999999996</v>
      </c>
      <c r="S114" s="311"/>
      <c r="T114" s="311"/>
      <c r="U114" s="311"/>
    </row>
    <row r="115" spans="2:21">
      <c r="B115" s="197">
        <v>1982</v>
      </c>
      <c r="C115" s="199">
        <f>'H1 passenger'!E33</f>
        <v>693.5</v>
      </c>
      <c r="D115" s="199"/>
      <c r="E115" s="199"/>
      <c r="F115" s="199">
        <f>'H1 passenger'!F33</f>
        <v>49.5</v>
      </c>
      <c r="H115" s="209">
        <f>'H1 passenger'!G33</f>
        <v>6.3698999999999995</v>
      </c>
      <c r="I115" s="209">
        <f>'H1 passenger'!I33</f>
        <v>4.1929999999999996</v>
      </c>
      <c r="L115" s="197">
        <f t="shared" si="0"/>
        <v>1982</v>
      </c>
      <c r="M115" s="210">
        <f>'H1 passenger'!F33</f>
        <v>49.5</v>
      </c>
      <c r="Q115" s="210">
        <f>'H1 passenger'!G33</f>
        <v>6.3698999999999995</v>
      </c>
      <c r="R115" s="313">
        <f>'H1 passenger'!I33</f>
        <v>4.1929999999999996</v>
      </c>
      <c r="S115" s="311"/>
      <c r="T115" s="311"/>
      <c r="U115" s="311"/>
    </row>
    <row r="116" spans="2:21">
      <c r="B116" s="197">
        <v>1983</v>
      </c>
      <c r="C116" s="199">
        <f>'H1 passenger'!E34</f>
        <v>680.4</v>
      </c>
      <c r="D116" s="199"/>
      <c r="E116" s="199"/>
      <c r="F116" s="199">
        <f>'H1 passenger'!F34</f>
        <v>55.7</v>
      </c>
      <c r="H116" s="209">
        <f>'H1 passenger'!G34</f>
        <v>6.4828000000000001</v>
      </c>
      <c r="I116" s="209">
        <f>'H1 passenger'!I34</f>
        <v>4.5110000000000001</v>
      </c>
      <c r="L116" s="197">
        <f t="shared" si="0"/>
        <v>1983</v>
      </c>
      <c r="M116" s="210">
        <f>'H1 passenger'!F34</f>
        <v>55.7</v>
      </c>
      <c r="Q116" s="210">
        <f>'H1 passenger'!G34</f>
        <v>6.4828000000000001</v>
      </c>
      <c r="R116" s="313">
        <f>'H1 passenger'!I34</f>
        <v>4.5110000000000001</v>
      </c>
      <c r="S116" s="311"/>
      <c r="T116" s="311"/>
      <c r="U116" s="311"/>
    </row>
    <row r="117" spans="2:21">
      <c r="B117" s="197">
        <v>1984</v>
      </c>
      <c r="C117" s="199">
        <f>'H1 passenger'!E35</f>
        <v>669.3</v>
      </c>
      <c r="D117" s="199"/>
      <c r="E117" s="199"/>
      <c r="F117" s="199">
        <f>'H1 passenger'!F35</f>
        <v>51.3</v>
      </c>
      <c r="H117" s="209">
        <f>'H1 passenger'!G35</f>
        <v>6.9851000000000001</v>
      </c>
      <c r="I117" s="209">
        <f>'H1 passenger'!I35</f>
        <v>4.665</v>
      </c>
      <c r="L117" s="197">
        <f t="shared" si="0"/>
        <v>1984</v>
      </c>
      <c r="M117" s="210">
        <f>'H1 passenger'!F35</f>
        <v>51.3</v>
      </c>
      <c r="Q117" s="210">
        <f>'H1 passenger'!G35</f>
        <v>6.9851000000000001</v>
      </c>
      <c r="R117" s="313">
        <f>'H1 passenger'!I35</f>
        <v>4.665</v>
      </c>
      <c r="S117" s="311"/>
      <c r="T117" s="311"/>
      <c r="U117" s="311"/>
    </row>
    <row r="118" spans="2:21">
      <c r="B118" s="197">
        <v>1985</v>
      </c>
      <c r="C118" s="199">
        <f>'H1 passenger'!E36</f>
        <v>686.76300000000003</v>
      </c>
      <c r="D118" s="199"/>
      <c r="E118" s="199"/>
      <c r="F118" s="199">
        <f>'H1 passenger'!F36</f>
        <v>57.1</v>
      </c>
      <c r="H118" s="209">
        <f>'H1 passenger'!G36</f>
        <v>6.9426000000000005</v>
      </c>
      <c r="I118" s="209">
        <f>'H1 passenger'!I36</f>
        <v>4.6680000000000001</v>
      </c>
      <c r="L118" s="197">
        <f t="shared" si="0"/>
        <v>1985</v>
      </c>
      <c r="M118" s="210">
        <f>'H1 passenger'!F36</f>
        <v>57.1</v>
      </c>
      <c r="Q118" s="210">
        <f>'H1 passenger'!G36</f>
        <v>6.9426000000000005</v>
      </c>
      <c r="R118" s="313">
        <f>'H1 passenger'!I36</f>
        <v>4.6680000000000001</v>
      </c>
      <c r="S118" s="311"/>
      <c r="T118" s="311"/>
      <c r="U118" s="311"/>
    </row>
    <row r="119" spans="2:21">
      <c r="B119" s="197">
        <v>1986</v>
      </c>
      <c r="C119" s="199">
        <f>'H1 passenger'!E37</f>
        <v>659.81399999999996</v>
      </c>
      <c r="D119" s="199"/>
      <c r="E119" s="199"/>
      <c r="F119" s="199">
        <f>'H1 passenger'!F37</f>
        <v>53.1</v>
      </c>
      <c r="H119" s="209">
        <f>'H1 passenger'!G37</f>
        <v>7.2412999999999998</v>
      </c>
      <c r="I119" s="209">
        <f>'H1 passenger'!I37</f>
        <v>4.851</v>
      </c>
      <c r="L119" s="197">
        <f t="shared" si="0"/>
        <v>1986</v>
      </c>
      <c r="M119" s="210">
        <f>'H1 passenger'!F37</f>
        <v>53.1</v>
      </c>
      <c r="Q119" s="210">
        <f>'H1 passenger'!G37</f>
        <v>7.2412999999999998</v>
      </c>
      <c r="R119" s="313">
        <f>'H1 passenger'!I37</f>
        <v>4.851</v>
      </c>
      <c r="S119" s="311"/>
      <c r="T119" s="311"/>
      <c r="U119" s="311"/>
    </row>
    <row r="120" spans="2:21">
      <c r="B120" s="197">
        <v>1987</v>
      </c>
      <c r="C120" s="199">
        <f>'H1 passenger'!E38</f>
        <v>662.10599999999999</v>
      </c>
      <c r="D120" s="199"/>
      <c r="E120" s="199"/>
      <c r="F120" s="199">
        <f>'H1 passenger'!F38</f>
        <v>54.1</v>
      </c>
      <c r="H120" s="209">
        <f>'H1 passenger'!G38</f>
        <v>7.8103999999999996</v>
      </c>
      <c r="I120" s="209">
        <f>'H1 passenger'!I38</f>
        <v>5.3460000000000001</v>
      </c>
      <c r="L120" s="197">
        <f t="shared" si="0"/>
        <v>1987</v>
      </c>
      <c r="M120" s="210">
        <f>'H1 passenger'!F38</f>
        <v>54.1</v>
      </c>
      <c r="Q120" s="210">
        <f>'H1 passenger'!G38</f>
        <v>7.8103999999999996</v>
      </c>
      <c r="R120" s="313">
        <f>'H1 passenger'!I38</f>
        <v>5.3460000000000001</v>
      </c>
      <c r="S120" s="311"/>
      <c r="T120" s="311"/>
      <c r="U120" s="311"/>
    </row>
    <row r="121" spans="2:21">
      <c r="B121" s="197">
        <v>1988</v>
      </c>
      <c r="C121" s="199">
        <f>'H1 passenger'!E39</f>
        <v>662.23099999999999</v>
      </c>
      <c r="D121" s="199"/>
      <c r="E121" s="199"/>
      <c r="F121" s="199">
        <f>'H1 passenger'!F39</f>
        <v>54</v>
      </c>
      <c r="H121" s="209">
        <f>'H1 passenger'!G39</f>
        <v>8.507200000000001</v>
      </c>
      <c r="I121" s="209">
        <f>'H1 passenger'!I39</f>
        <v>5.6550000000000002</v>
      </c>
      <c r="L121" s="197">
        <f t="shared" si="0"/>
        <v>1988</v>
      </c>
      <c r="M121" s="210">
        <f>'H1 passenger'!F39</f>
        <v>54</v>
      </c>
      <c r="Q121" s="210">
        <f>'H1 passenger'!G39</f>
        <v>8.507200000000001</v>
      </c>
      <c r="R121" s="313">
        <f>'H1 passenger'!I39</f>
        <v>5.6550000000000002</v>
      </c>
      <c r="S121" s="311"/>
      <c r="T121" s="311"/>
      <c r="U121" s="311"/>
    </row>
    <row r="122" spans="2:21">
      <c r="B122" s="197">
        <v>1989</v>
      </c>
      <c r="C122" s="199">
        <f>'H1 passenger'!E40</f>
        <v>628.10299999999995</v>
      </c>
      <c r="D122" s="199"/>
      <c r="E122" s="199"/>
      <c r="F122" s="199">
        <f>'H1 passenger'!F40</f>
        <v>51.8</v>
      </c>
      <c r="H122" s="209">
        <f>'H1 passenger'!G40</f>
        <v>9.2286000000000001</v>
      </c>
      <c r="I122" s="209">
        <f>'H1 passenger'!I40</f>
        <v>6.1760000000000002</v>
      </c>
      <c r="L122" s="197">
        <f t="shared" si="0"/>
        <v>1989</v>
      </c>
      <c r="M122" s="210">
        <f>'H1 passenger'!F40</f>
        <v>51.8</v>
      </c>
      <c r="Q122" s="210">
        <f>'H1 passenger'!G40</f>
        <v>9.2286000000000001</v>
      </c>
      <c r="R122" s="313">
        <f>'H1 passenger'!I40</f>
        <v>6.1760000000000002</v>
      </c>
      <c r="S122" s="311"/>
      <c r="T122" s="311"/>
      <c r="U122" s="311"/>
    </row>
    <row r="123" spans="2:21">
      <c r="B123" s="197">
        <v>1990</v>
      </c>
      <c r="C123" s="199">
        <f>'H1 passenger'!E41</f>
        <v>599.50699999999995</v>
      </c>
      <c r="D123" s="199"/>
      <c r="E123" s="199"/>
      <c r="F123" s="199"/>
      <c r="G123" s="199">
        <f>'H1 passenger'!F41</f>
        <v>52.76</v>
      </c>
      <c r="H123" s="209">
        <f>'H1 passenger'!G41</f>
        <v>9.8613999999999997</v>
      </c>
      <c r="I123" s="209">
        <f>'H1 passenger'!I41</f>
        <v>6.5430000000000001</v>
      </c>
      <c r="L123" s="197">
        <f t="shared" si="0"/>
        <v>1990</v>
      </c>
      <c r="M123" s="210"/>
      <c r="N123" s="210">
        <f>'H1 passenger'!F41</f>
        <v>52.76</v>
      </c>
      <c r="Q123" s="210">
        <f>'H1 passenger'!G41</f>
        <v>9.8613999999999997</v>
      </c>
      <c r="R123" s="313">
        <f>'H1 passenger'!I41</f>
        <v>6.5430000000000001</v>
      </c>
      <c r="S123" s="311"/>
      <c r="T123" s="311"/>
      <c r="U123" s="311"/>
    </row>
    <row r="124" spans="2:21">
      <c r="B124" s="197">
        <v>1991</v>
      </c>
      <c r="C124" s="199">
        <f>'H1 passenger'!E42</f>
        <v>584.846</v>
      </c>
      <c r="D124" s="199"/>
      <c r="E124" s="199"/>
      <c r="F124" s="199"/>
      <c r="G124" s="199">
        <f>'H1 passenger'!F42</f>
        <v>54.53</v>
      </c>
      <c r="H124" s="209">
        <f>'H1 passenger'!G42</f>
        <v>9.5704999999999991</v>
      </c>
      <c r="I124" s="209">
        <f>'H1 passenger'!I42</f>
        <v>6.8</v>
      </c>
      <c r="L124" s="197">
        <f t="shared" si="0"/>
        <v>1991</v>
      </c>
      <c r="M124" s="210"/>
      <c r="N124" s="210">
        <f>'H1 passenger'!F42</f>
        <v>54.53</v>
      </c>
      <c r="Q124" s="210">
        <f>'H1 passenger'!G42</f>
        <v>9.5704999999999991</v>
      </c>
      <c r="R124" s="313">
        <f>'H1 passenger'!I42</f>
        <v>6.8</v>
      </c>
      <c r="S124" s="311"/>
      <c r="T124" s="311"/>
      <c r="U124" s="311"/>
    </row>
    <row r="125" spans="2:21">
      <c r="B125" s="197">
        <v>1992</v>
      </c>
      <c r="C125" s="199">
        <f>'H1 passenger'!E43</f>
        <v>544.58500000000004</v>
      </c>
      <c r="D125" s="199"/>
      <c r="E125" s="199"/>
      <c r="G125" s="199">
        <f>'H1 passenger'!F43</f>
        <v>59.31</v>
      </c>
      <c r="H125" s="209">
        <f>'H1 passenger'!G43</f>
        <v>10.3828</v>
      </c>
      <c r="I125" s="209">
        <f>'H1 passenger'!I43</f>
        <v>6.6269999999999998</v>
      </c>
      <c r="L125" s="197">
        <f t="shared" si="0"/>
        <v>1992</v>
      </c>
      <c r="N125" s="210">
        <f>'H1 passenger'!F43</f>
        <v>59.31</v>
      </c>
      <c r="Q125" s="210">
        <f>'H1 passenger'!G43</f>
        <v>10.3828</v>
      </c>
      <c r="R125" s="313">
        <f>'H1 passenger'!I43</f>
        <v>6.6269999999999998</v>
      </c>
      <c r="S125" s="311"/>
      <c r="T125" s="311"/>
      <c r="U125" s="369">
        <f>'H1 passenger'!H43</f>
        <v>9.1589740000000006</v>
      </c>
    </row>
    <row r="126" spans="2:21">
      <c r="B126" s="197">
        <v>1993</v>
      </c>
      <c r="C126" s="199">
        <f>'H1 passenger'!E44</f>
        <v>537.95899999999995</v>
      </c>
      <c r="D126" s="199"/>
      <c r="E126" s="199"/>
      <c r="G126" s="199">
        <f>'H1 passenger'!F44</f>
        <v>59.13</v>
      </c>
      <c r="H126" s="209">
        <f>'H1 passenger'!G44</f>
        <v>11.120799999999999</v>
      </c>
      <c r="I126" s="209">
        <f>'H1 passenger'!I44</f>
        <v>6.6319999999999997</v>
      </c>
      <c r="L126" s="197">
        <f t="shared" si="0"/>
        <v>1993</v>
      </c>
      <c r="N126" s="210">
        <f>'H1 passenger'!F44</f>
        <v>59.13</v>
      </c>
      <c r="Q126" s="210">
        <f>'H1 passenger'!G44</f>
        <v>11.120799999999999</v>
      </c>
      <c r="R126" s="313">
        <f>'H1 passenger'!I44</f>
        <v>6.6319999999999997</v>
      </c>
      <c r="S126" s="311"/>
      <c r="T126" s="311"/>
      <c r="U126" s="369">
        <f>'H1 passenger'!H44</f>
        <v>9.5338220000000007</v>
      </c>
    </row>
    <row r="127" spans="2:21" ht="15.75">
      <c r="B127" s="197">
        <v>1994</v>
      </c>
      <c r="C127" s="199">
        <f>'H1 passenger'!E45</f>
        <v>525.75800000000004</v>
      </c>
      <c r="D127" s="199"/>
      <c r="E127" s="199"/>
      <c r="G127" s="199">
        <f>'H1 passenger'!F45</f>
        <v>54.38</v>
      </c>
      <c r="H127" s="209">
        <f>'H1 passenger'!G45</f>
        <v>11.787000000000001</v>
      </c>
      <c r="I127" s="209">
        <f>'H1 passenger'!I45</f>
        <v>6.649</v>
      </c>
      <c r="L127" s="197">
        <f t="shared" si="0"/>
        <v>1994</v>
      </c>
      <c r="N127" s="210">
        <f>'H1 passenger'!F45</f>
        <v>54.38</v>
      </c>
      <c r="O127" s="211">
        <v>49.24</v>
      </c>
      <c r="P127" s="211"/>
      <c r="Q127" s="210">
        <f>'H1 passenger'!G45</f>
        <v>11.787000000000001</v>
      </c>
      <c r="R127" s="313">
        <f>'H1 passenger'!I45</f>
        <v>6.649</v>
      </c>
      <c r="S127" s="311"/>
      <c r="T127" s="311"/>
      <c r="U127" s="369">
        <f>'H1 passenger'!H45</f>
        <v>9.6359860000000008</v>
      </c>
    </row>
    <row r="128" spans="2:21" ht="15.75">
      <c r="B128" s="197">
        <v>1995</v>
      </c>
      <c r="C128" s="199">
        <f>'H1 passenger'!E46</f>
        <v>506</v>
      </c>
      <c r="D128" s="199"/>
      <c r="E128" s="199"/>
      <c r="G128" s="199">
        <f>'H1 passenger'!F46</f>
        <v>48.944000000000003</v>
      </c>
      <c r="H128" s="209">
        <f>'H1 passenger'!G46</f>
        <v>12.313000000000001</v>
      </c>
      <c r="I128" s="209">
        <f>'H1 passenger'!I46</f>
        <v>6.8553000000000006</v>
      </c>
      <c r="L128" s="197">
        <f t="shared" si="0"/>
        <v>1995</v>
      </c>
      <c r="N128" s="210">
        <f>'H1 passenger'!F46</f>
        <v>48.944000000000003</v>
      </c>
      <c r="O128" s="211">
        <v>50.811</v>
      </c>
      <c r="P128" s="211"/>
      <c r="Q128" s="210">
        <f>'H1 passenger'!G46</f>
        <v>12.313000000000001</v>
      </c>
      <c r="R128" s="313"/>
      <c r="S128" s="313">
        <f>'H1 passenger'!I46</f>
        <v>6.8553000000000006</v>
      </c>
      <c r="T128" s="311"/>
      <c r="U128" s="369">
        <f>'H1 passenger'!H46</f>
        <v>10.4930865</v>
      </c>
    </row>
    <row r="129" spans="2:21" ht="15.75">
      <c r="B129" s="197">
        <v>1996</v>
      </c>
      <c r="C129" s="199">
        <f>'H1 passenger'!E47</f>
        <v>478</v>
      </c>
      <c r="D129" s="199"/>
      <c r="E129" s="199"/>
      <c r="G129" s="199">
        <f>'H1 passenger'!F47</f>
        <v>49.752000000000002</v>
      </c>
      <c r="H129" s="209">
        <f>'H1 passenger'!G47</f>
        <v>13.214</v>
      </c>
      <c r="I129" s="209">
        <f>'H1 passenger'!I47</f>
        <v>5.5889000000000006</v>
      </c>
      <c r="L129" s="197">
        <f t="shared" si="0"/>
        <v>1996</v>
      </c>
      <c r="N129" s="210">
        <f>'H1 passenger'!F47</f>
        <v>49.752000000000002</v>
      </c>
      <c r="O129" s="211">
        <v>52.841999999999999</v>
      </c>
      <c r="P129" s="211"/>
      <c r="Q129" s="210">
        <f>'H1 passenger'!G47</f>
        <v>13.214</v>
      </c>
      <c r="R129" s="311"/>
      <c r="S129" s="313">
        <f>'H1 passenger'!I47</f>
        <v>5.5889000000000006</v>
      </c>
      <c r="T129" s="313">
        <f>'H1 passenger'!I47</f>
        <v>5.5889000000000006</v>
      </c>
      <c r="U129" s="369">
        <f>'H1 passenger'!H47</f>
        <v>9.3271844999999995</v>
      </c>
    </row>
    <row r="130" spans="2:21" ht="15.75">
      <c r="B130" s="197">
        <v>1997</v>
      </c>
      <c r="C130" s="199">
        <f>'H1 passenger'!E48</f>
        <v>448</v>
      </c>
      <c r="D130" s="199"/>
      <c r="E130" s="199"/>
      <c r="G130" s="199">
        <f>'H1 passenger'!F48</f>
        <v>53.057000000000002</v>
      </c>
      <c r="H130" s="209">
        <f>'H1 passenger'!G48</f>
        <v>14.391</v>
      </c>
      <c r="I130" s="209">
        <f>'H1 passenger'!I48</f>
        <v>5.6341000000000001</v>
      </c>
      <c r="L130" s="197">
        <f t="shared" si="0"/>
        <v>1997</v>
      </c>
      <c r="N130" s="210">
        <f>'H1 passenger'!F48</f>
        <v>53.057000000000002</v>
      </c>
      <c r="O130" s="211">
        <v>56.134999999999998</v>
      </c>
      <c r="P130" s="211"/>
      <c r="Q130" s="210">
        <f>'H1 passenger'!G48</f>
        <v>14.391</v>
      </c>
      <c r="R130" s="311"/>
      <c r="S130" s="313">
        <f>'H1 passenger'!I48</f>
        <v>5.6341000000000001</v>
      </c>
      <c r="T130" s="313">
        <f>'H1 passenger'!I48</f>
        <v>5.6341000000000001</v>
      </c>
      <c r="U130" s="369">
        <f>'H1 passenger'!H48</f>
        <v>9.9245145000000008</v>
      </c>
    </row>
    <row r="131" spans="2:21" ht="15.75">
      <c r="B131" s="197">
        <v>1998</v>
      </c>
      <c r="C131" s="199">
        <f>'H1 passenger'!E49</f>
        <v>424</v>
      </c>
      <c r="D131" s="199"/>
      <c r="E131" s="199"/>
      <c r="G131" s="199">
        <f>'H1 passenger'!F49</f>
        <v>55.054000000000002</v>
      </c>
      <c r="H131" s="209">
        <f>'H1 passenger'!G49</f>
        <v>15.193</v>
      </c>
      <c r="I131" s="209">
        <f>'H1 passenger'!I49</f>
        <v>5.3306000000000004</v>
      </c>
      <c r="L131" s="197">
        <f t="shared" si="0"/>
        <v>1998</v>
      </c>
      <c r="N131" s="210">
        <f>'H1 passenger'!F49</f>
        <v>55.054000000000002</v>
      </c>
      <c r="O131" s="211">
        <v>58.311</v>
      </c>
      <c r="Q131" s="210">
        <f>'H1 passenger'!G49</f>
        <v>15.193</v>
      </c>
      <c r="R131" s="311"/>
      <c r="S131" s="311"/>
      <c r="T131" s="313">
        <f>'H1 passenger'!I49</f>
        <v>5.3306000000000004</v>
      </c>
      <c r="U131" s="369">
        <f>'H1 passenger'!H49</f>
        <v>9.6408050000000003</v>
      </c>
    </row>
    <row r="132" spans="2:21" ht="15.75">
      <c r="B132" s="197">
        <v>1999</v>
      </c>
      <c r="C132" s="199"/>
      <c r="D132" s="199">
        <f>'H1 passenger'!E50</f>
        <v>455</v>
      </c>
      <c r="E132" s="199"/>
      <c r="G132" s="199">
        <f>'H1 passenger'!F50</f>
        <v>57.613999999999997</v>
      </c>
      <c r="H132" s="209">
        <f>'H1 passenger'!G50</f>
        <v>15.941000000000001</v>
      </c>
      <c r="I132" s="209">
        <f>'H1 passenger'!I50</f>
        <v>5.327</v>
      </c>
      <c r="L132" s="197">
        <f t="shared" si="0"/>
        <v>1999</v>
      </c>
      <c r="N132" s="210">
        <f>'H1 passenger'!F50</f>
        <v>57.613999999999997</v>
      </c>
      <c r="O132" s="211">
        <v>61.720999999999997</v>
      </c>
      <c r="Q132" s="210">
        <f>'H1 passenger'!G50</f>
        <v>15.941000000000001</v>
      </c>
      <c r="R132" s="311"/>
      <c r="S132" s="311"/>
      <c r="T132" s="313">
        <f>'H1 passenger'!I50</f>
        <v>5.327</v>
      </c>
      <c r="U132" s="369">
        <f>'H1 passenger'!H50</f>
        <v>9.9601620000000004</v>
      </c>
    </row>
    <row r="133" spans="2:21" ht="15.75">
      <c r="B133" s="197">
        <v>2000</v>
      </c>
      <c r="C133" s="199"/>
      <c r="D133" s="199">
        <f>'H1 passenger'!E51</f>
        <v>458</v>
      </c>
      <c r="E133" s="199"/>
      <c r="G133" s="199">
        <f>'H1 passenger'!F51</f>
        <v>57.268999999999998</v>
      </c>
      <c r="H133" s="209">
        <f>'H1 passenger'!G51</f>
        <v>16.786999999999999</v>
      </c>
      <c r="I133" s="209">
        <f>'H1 passenger'!I51</f>
        <v>5.2936999999999994</v>
      </c>
      <c r="L133" s="197">
        <f t="shared" si="0"/>
        <v>2000</v>
      </c>
      <c r="N133" s="210">
        <f>'H1 passenger'!F51</f>
        <v>57.268999999999998</v>
      </c>
      <c r="O133" s="211">
        <v>63.158000000000008</v>
      </c>
      <c r="Q133" s="210">
        <f>'H1 passenger'!G51</f>
        <v>16.786999999999999</v>
      </c>
      <c r="R133" s="311"/>
      <c r="S133" s="311"/>
      <c r="T133" s="313">
        <f>'H1 passenger'!I51</f>
        <v>5.2936999999999994</v>
      </c>
      <c r="U133" s="369">
        <f>'H1 passenger'!H51</f>
        <v>9.798566000000001</v>
      </c>
    </row>
    <row r="134" spans="2:21" ht="15.75">
      <c r="B134" s="197">
        <v>2001</v>
      </c>
      <c r="C134" s="199"/>
      <c r="D134" s="199">
        <f>'H1 passenger'!E52</f>
        <v>466</v>
      </c>
      <c r="E134" s="199"/>
      <c r="G134" s="199">
        <f>'H1 passenger'!F52</f>
        <v>53.018267000000009</v>
      </c>
      <c r="H134" s="209">
        <f>'H1 passenger'!G52</f>
        <v>18.081</v>
      </c>
      <c r="I134" s="209">
        <f>'H1 passenger'!I52</f>
        <v>5.3037999999999998</v>
      </c>
      <c r="L134" s="197">
        <f t="shared" si="0"/>
        <v>2001</v>
      </c>
      <c r="N134" s="210">
        <f>'H1 passenger'!F52</f>
        <v>53.018267000000009</v>
      </c>
      <c r="O134" s="211">
        <v>60.746181999999997</v>
      </c>
      <c r="Q134" s="210">
        <f>'H1 passenger'!G52</f>
        <v>18.081</v>
      </c>
      <c r="R134" s="311"/>
      <c r="S134" s="311"/>
      <c r="T134" s="313">
        <f>'H1 passenger'!I52</f>
        <v>5.3037999999999998</v>
      </c>
      <c r="U134" s="369">
        <f>'H1 passenger'!H52</f>
        <v>9.7894550000000002</v>
      </c>
    </row>
    <row r="135" spans="2:21" ht="15.75">
      <c r="B135" s="197">
        <v>2002</v>
      </c>
      <c r="C135" s="199"/>
      <c r="D135" s="199">
        <f>'H1 passenger'!E53</f>
        <v>471</v>
      </c>
      <c r="E135" s="199"/>
      <c r="G135" s="199">
        <f>'H1 passenger'!F53</f>
        <v>52.37623</v>
      </c>
      <c r="H135" s="209">
        <f>'H1 passenger'!G53</f>
        <v>19.783000000000001</v>
      </c>
      <c r="I135" s="209">
        <f>'H1 passenger'!I53</f>
        <v>5.3302269999999998</v>
      </c>
      <c r="L135" s="197">
        <f t="shared" si="0"/>
        <v>2002</v>
      </c>
      <c r="N135" s="210">
        <f>'H1 passenger'!F53</f>
        <v>52.37623</v>
      </c>
      <c r="O135" s="211">
        <v>57.38</v>
      </c>
      <c r="Q135" s="210">
        <f>'H1 passenger'!G53</f>
        <v>19.783000000000001</v>
      </c>
      <c r="R135" s="311"/>
      <c r="S135" s="311"/>
      <c r="T135" s="313">
        <f>'H1 passenger'!I53</f>
        <v>5.3302269999999998</v>
      </c>
      <c r="U135" s="369">
        <f>'H1 passenger'!H53</f>
        <v>9.9714330000000011</v>
      </c>
    </row>
    <row r="136" spans="2:21" ht="15.75">
      <c r="B136" s="197">
        <v>2003</v>
      </c>
      <c r="C136" s="199"/>
      <c r="D136" s="199">
        <f>'H1 passenger'!E54</f>
        <v>478</v>
      </c>
      <c r="E136" s="199"/>
      <c r="G136" s="199">
        <f>'H1 passenger'!F54</f>
        <v>55.892938999999998</v>
      </c>
      <c r="H136" s="209">
        <f>'H1 passenger'!G54</f>
        <v>21.084</v>
      </c>
      <c r="I136" s="209">
        <f>'H1 passenger'!I54</f>
        <v>5.7135680000000004</v>
      </c>
      <c r="L136" s="197">
        <f t="shared" si="0"/>
        <v>2003</v>
      </c>
      <c r="N136" s="210">
        <f>'H1 passenger'!F54</f>
        <v>55.892938999999998</v>
      </c>
      <c r="O136" s="211"/>
      <c r="P136" s="370">
        <f>'S1 Numbers'!D$43</f>
        <v>57.451000000000001</v>
      </c>
      <c r="Q136" s="210">
        <f>'H1 passenger'!G54</f>
        <v>21.084</v>
      </c>
      <c r="R136" s="311"/>
      <c r="S136" s="311"/>
      <c r="T136" s="313">
        <f>'H1 passenger'!I54</f>
        <v>5.7135680000000004</v>
      </c>
      <c r="U136" s="369">
        <f>'H1 passenger'!H54</f>
        <v>10.671361999999998</v>
      </c>
    </row>
    <row r="137" spans="2:21" ht="15.75">
      <c r="B137" s="197">
        <v>2004</v>
      </c>
      <c r="C137" s="199"/>
      <c r="E137" s="199">
        <f>'H1 passenger'!E55</f>
        <v>460</v>
      </c>
      <c r="G137" s="199">
        <f>'H1 passenger'!F55</f>
        <v>61.256430999999999</v>
      </c>
      <c r="H137" s="209">
        <f>'H1 passenger'!G55</f>
        <v>22.554746000000002</v>
      </c>
      <c r="I137" s="209">
        <f>'H1 passenger'!I55</f>
        <v>5.9214670000000007</v>
      </c>
      <c r="L137" s="197">
        <f t="shared" si="0"/>
        <v>2004</v>
      </c>
      <c r="N137" s="210">
        <f>'H1 passenger'!F55</f>
        <v>61.256430999999999</v>
      </c>
      <c r="O137" s="211"/>
      <c r="P137" s="370">
        <f>'S1 Numbers'!E$43</f>
        <v>64.022999999999996</v>
      </c>
      <c r="Q137" s="210">
        <f>'H1 passenger'!G55</f>
        <v>22.554746000000002</v>
      </c>
      <c r="R137" s="311"/>
      <c r="S137" s="311"/>
      <c r="T137" s="313">
        <f>'H1 passenger'!I55</f>
        <v>5.9214670000000007</v>
      </c>
      <c r="U137" s="369">
        <f>'H1 passenger'!H55</f>
        <v>10.837052000000003</v>
      </c>
    </row>
    <row r="138" spans="2:21" ht="15.75">
      <c r="B138" s="197">
        <v>2005</v>
      </c>
      <c r="C138" s="199"/>
      <c r="E138" s="199">
        <f>'H1 passenger'!E56</f>
        <v>466</v>
      </c>
      <c r="G138" s="199">
        <f>'H1 passenger'!F56</f>
        <v>66.735898999999989</v>
      </c>
      <c r="H138" s="209">
        <f>'H1 passenger'!G56</f>
        <v>23.795000000000002</v>
      </c>
      <c r="I138" s="209">
        <f>'H1 passenger'!I56</f>
        <v>5.9711470000000002</v>
      </c>
      <c r="L138" s="197">
        <f t="shared" si="0"/>
        <v>2005</v>
      </c>
      <c r="N138" s="210">
        <f>'H1 passenger'!F56</f>
        <v>66.735898999999989</v>
      </c>
      <c r="O138" s="211"/>
      <c r="P138" s="370">
        <f>'S1 Numbers'!F$43</f>
        <v>69.430000000000007</v>
      </c>
      <c r="Q138" s="210">
        <f>'H1 passenger'!G56</f>
        <v>23.795000000000002</v>
      </c>
      <c r="R138" s="311"/>
      <c r="S138" s="311"/>
      <c r="T138" s="313">
        <f>'H1 passenger'!I56</f>
        <v>5.9711470000000002</v>
      </c>
      <c r="U138" s="369">
        <f>'H1 passenger'!H56</f>
        <v>10.572758999999998</v>
      </c>
    </row>
    <row r="139" spans="2:21" ht="15.75">
      <c r="B139" s="197">
        <v>2006</v>
      </c>
      <c r="E139" s="199">
        <f>'H1 passenger'!E57</f>
        <v>476</v>
      </c>
      <c r="G139" s="199">
        <f>'H1 passenger'!F57</f>
        <v>69.785303999999996</v>
      </c>
      <c r="H139" s="209">
        <f>'H1 passenger'!G57</f>
        <v>24.44</v>
      </c>
      <c r="I139" s="209">
        <f>'H1 passenger'!I57</f>
        <v>5.396636</v>
      </c>
      <c r="L139" s="197">
        <f t="shared" si="0"/>
        <v>2006</v>
      </c>
      <c r="N139" s="210">
        <f>'H1 passenger'!F57</f>
        <v>69.785303999999996</v>
      </c>
      <c r="O139" s="212"/>
      <c r="P139" s="370">
        <f>'S1 Numbers'!G$43</f>
        <v>71.584999999999994</v>
      </c>
      <c r="Q139" s="210">
        <f>'H1 passenger'!G57</f>
        <v>24.44</v>
      </c>
      <c r="R139" s="311"/>
      <c r="S139" s="311"/>
      <c r="T139" s="313">
        <f>'H1 passenger'!I57</f>
        <v>5.396636</v>
      </c>
      <c r="U139" s="369">
        <f>'H1 passenger'!H57</f>
        <v>10.588667000000001</v>
      </c>
    </row>
    <row r="140" spans="2:21" ht="15.75">
      <c r="B140" s="197">
        <v>2007</v>
      </c>
      <c r="E140" s="199">
        <f>'H1 passenger'!E58</f>
        <v>488</v>
      </c>
      <c r="G140" s="199">
        <f>'H1 passenger'!F58</f>
        <v>72.744290000000007</v>
      </c>
      <c r="H140" s="209">
        <f>'H1 passenger'!G58</f>
        <v>25.13</v>
      </c>
      <c r="I140" s="209">
        <f>'H1 passenger'!I58</f>
        <v>5.4045519999999998</v>
      </c>
      <c r="L140" s="197">
        <f t="shared" si="0"/>
        <v>2007</v>
      </c>
      <c r="N140" s="210">
        <f>'H1 passenger'!F58</f>
        <v>72.744290000000007</v>
      </c>
      <c r="O140" s="212"/>
      <c r="P140" s="370">
        <f>'S1 Numbers'!H$43</f>
        <v>74.468000000000004</v>
      </c>
      <c r="Q140" s="210">
        <f>'H1 passenger'!G58</f>
        <v>25.13</v>
      </c>
      <c r="R140" s="311"/>
      <c r="S140" s="311"/>
      <c r="T140" s="313">
        <f>'H1 passenger'!I58</f>
        <v>5.4045519999999998</v>
      </c>
      <c r="U140" s="369">
        <f>'H1 passenger'!H58</f>
        <v>10.720838000000001</v>
      </c>
    </row>
    <row r="141" spans="2:21" ht="15.75">
      <c r="B141" s="197">
        <v>2008</v>
      </c>
      <c r="E141" s="199">
        <f>'H1 passenger'!E59</f>
        <v>484</v>
      </c>
      <c r="G141" s="199">
        <f>'H1 passenger'!F59</f>
        <v>76.256077703670073</v>
      </c>
      <c r="H141" s="209">
        <f>'H1 passenger'!G59</f>
        <v>24.347999999999999</v>
      </c>
      <c r="I141" s="209">
        <f>'H1 passenger'!I59</f>
        <v>5.148219000000001</v>
      </c>
      <c r="L141" s="197">
        <f t="shared" si="0"/>
        <v>2008</v>
      </c>
      <c r="N141" s="210">
        <f>'H1 passenger'!F59</f>
        <v>76.256077703670073</v>
      </c>
      <c r="O141" s="211"/>
      <c r="P141" s="370">
        <f>'S1 Numbers'!I$43</f>
        <v>76.429000000000002</v>
      </c>
      <c r="Q141" s="210">
        <f>'H1 passenger'!G59</f>
        <v>24.347999999999999</v>
      </c>
      <c r="R141" s="311"/>
      <c r="S141" s="311"/>
      <c r="T141" s="313">
        <f>'H1 passenger'!I59</f>
        <v>5.148219000000001</v>
      </c>
      <c r="U141" s="369">
        <f>'H1 passenger'!H59</f>
        <v>10.013630000000001</v>
      </c>
    </row>
    <row r="142" spans="2:21">
      <c r="B142" s="197">
        <v>2009</v>
      </c>
      <c r="E142" s="199">
        <f>'H1 passenger'!E60</f>
        <v>459</v>
      </c>
      <c r="G142" s="199">
        <f>'H1 passenger'!F60</f>
        <v>76.473890324940314</v>
      </c>
      <c r="H142" s="209">
        <f>'H1 passenger'!G60</f>
        <v>22.495999999999999</v>
      </c>
      <c r="I142" s="209">
        <f>'H1 passenger'!I60</f>
        <v>5.4013329999999993</v>
      </c>
      <c r="L142" s="197">
        <f t="shared" si="0"/>
        <v>2009</v>
      </c>
      <c r="N142" s="210">
        <f>'H1 passenger'!F60</f>
        <v>76.473890324940314</v>
      </c>
      <c r="P142" s="370">
        <f>'S1 Numbers'!J$43</f>
        <v>76.929000000000002</v>
      </c>
      <c r="Q142" s="210">
        <f>'H1 passenger'!G60</f>
        <v>22.495999999999999</v>
      </c>
      <c r="R142" s="311"/>
      <c r="S142" s="311"/>
      <c r="T142" s="313">
        <f>'H1 passenger'!I60</f>
        <v>5.4013329999999993</v>
      </c>
      <c r="U142" s="369">
        <f>'H1 passenger'!H60</f>
        <v>10.218646</v>
      </c>
    </row>
    <row r="143" spans="2:21">
      <c r="B143" s="197">
        <v>2010</v>
      </c>
      <c r="E143" s="199">
        <f>'H1 passenger'!E61</f>
        <v>432</v>
      </c>
      <c r="G143" s="199">
        <f>'H1 passenger'!F61</f>
        <v>79.4462863670296</v>
      </c>
      <c r="H143" s="209">
        <f>'H1 passenger'!G61</f>
        <v>20.907</v>
      </c>
      <c r="I143" s="209">
        <f>'H1 passenger'!I61</f>
        <v>5.3725519999999998</v>
      </c>
      <c r="L143" s="197">
        <f t="shared" si="0"/>
        <v>2010</v>
      </c>
      <c r="N143" s="210">
        <f>'H1 passenger'!F61</f>
        <v>79.4462863670296</v>
      </c>
      <c r="P143" s="370">
        <f>'S1 Numbers'!K$43</f>
        <v>78.290000000000006</v>
      </c>
      <c r="Q143" s="210">
        <f>'H1 passenger'!G61</f>
        <v>20.907</v>
      </c>
      <c r="R143" s="311"/>
      <c r="S143" s="311"/>
      <c r="T143" s="313">
        <f>'H1 passenger'!I61</f>
        <v>5.3725519999999998</v>
      </c>
      <c r="U143" s="369">
        <f>'H1 passenger'!H61</f>
        <v>9.9904419999999998</v>
      </c>
    </row>
    <row r="144" spans="2:21">
      <c r="B144" s="197">
        <v>2011</v>
      </c>
      <c r="E144" s="199">
        <f>'H1 passenger'!E62</f>
        <v>437.125206348809</v>
      </c>
      <c r="G144" s="199">
        <f>'H1 passenger'!F62</f>
        <v>83.310800000000015</v>
      </c>
      <c r="H144" s="209">
        <f>'H1 passenger'!G62</f>
        <v>22.065000000000001</v>
      </c>
      <c r="I144" s="209">
        <f>'H1 passenger'!I62</f>
        <v>5.2171419999999999</v>
      </c>
      <c r="L144" s="197">
        <f>B144</f>
        <v>2011</v>
      </c>
      <c r="N144" s="210">
        <f>'H1 passenger'!F62</f>
        <v>83.310800000000015</v>
      </c>
      <c r="P144" s="370">
        <f>'S1 Numbers'!L$43</f>
        <v>81.099999999999994</v>
      </c>
      <c r="Q144" s="210">
        <f>'H1 passenger'!G62</f>
        <v>22.065000000000001</v>
      </c>
      <c r="R144" s="311"/>
      <c r="S144" s="311"/>
      <c r="T144" s="313">
        <f>'H1 passenger'!I62</f>
        <v>5.2171419999999999</v>
      </c>
      <c r="U144" s="369">
        <f>'H1 passenger'!H62</f>
        <v>9.6309830000000005</v>
      </c>
    </row>
    <row r="145" spans="2:21">
      <c r="B145" s="197">
        <v>2012</v>
      </c>
      <c r="E145" s="199">
        <f>'H1 passenger'!E63</f>
        <v>422.52328929369799</v>
      </c>
      <c r="G145" s="199">
        <f>'H1 passenger'!F63</f>
        <v>85.752108000000007</v>
      </c>
      <c r="H145" s="209">
        <f>'H1 passenger'!G63</f>
        <v>22.207000000000001</v>
      </c>
      <c r="I145" s="209">
        <f>'H1 passenger'!I63</f>
        <v>5.1467330000000002</v>
      </c>
      <c r="L145" s="197">
        <f>B145</f>
        <v>2012</v>
      </c>
      <c r="N145" s="210">
        <f>'H1 passenger'!F63</f>
        <v>85.752108000000007</v>
      </c>
      <c r="P145" s="370">
        <f>'S1 Numbers'!M$43</f>
        <v>83.25</v>
      </c>
      <c r="Q145" s="210">
        <f>'H1 passenger'!G63</f>
        <v>22.207000000000001</v>
      </c>
      <c r="R145" s="311"/>
      <c r="S145" s="311"/>
      <c r="T145" s="313">
        <f>'H1 passenger'!I63</f>
        <v>5.1467330000000002</v>
      </c>
      <c r="U145" s="369">
        <f>'H1 passenger'!H63</f>
        <v>9.6975620000000013</v>
      </c>
    </row>
    <row r="146" spans="2:21">
      <c r="B146" s="197">
        <v>2013</v>
      </c>
      <c r="E146" s="199">
        <f>'H1 passenger'!E64</f>
        <v>424.19715104849598</v>
      </c>
      <c r="G146" s="199">
        <f>'H1 passenger'!F64</f>
        <v>86.7</v>
      </c>
      <c r="H146" s="209">
        <f>'H1 passenger'!G64</f>
        <v>23.25</v>
      </c>
      <c r="I146" s="209">
        <f>'H1 passenger'!I64</f>
        <v>0</v>
      </c>
      <c r="L146" s="197">
        <f>B146</f>
        <v>2013</v>
      </c>
      <c r="N146" s="210">
        <f>'H1 passenger'!F64</f>
        <v>86.7</v>
      </c>
      <c r="P146" s="370">
        <f>'S1 Numbers'!N$43</f>
        <v>86.34</v>
      </c>
      <c r="Q146" s="210">
        <f>'H1 passenger'!G64</f>
        <v>23.25</v>
      </c>
      <c r="U146" s="369">
        <f>'H1 passenger'!H64</f>
        <v>10.2216</v>
      </c>
    </row>
    <row r="147" spans="2:21">
      <c r="B147" s="197">
        <v>2014</v>
      </c>
      <c r="E147" s="199">
        <f>'H1 passenger'!E65</f>
        <v>413.93054260802</v>
      </c>
      <c r="H147" s="209">
        <f>'H1 passenger'!G65</f>
        <v>24.076000000000001</v>
      </c>
      <c r="I147" s="209">
        <f>'H1 passenger'!I65</f>
        <v>0</v>
      </c>
      <c r="L147" s="197">
        <f>B147</f>
        <v>2014</v>
      </c>
      <c r="P147" s="370">
        <f>'S1 Numbers'!N$43</f>
        <v>86.34</v>
      </c>
      <c r="Q147" s="210">
        <f>'H1 passenger'!G65</f>
        <v>24.076000000000001</v>
      </c>
      <c r="U147" s="369">
        <f>'H1 passenger'!H65</f>
        <v>10.244899999999999</v>
      </c>
    </row>
  </sheetData>
  <phoneticPr fontId="3" type="noConversion"/>
  <pageMargins left="0.94488188976377963" right="0.15748031496062992" top="0.74803149606299213" bottom="0.70866141732283472" header="0.51181102362204722" footer="0.51181102362204722"/>
  <pageSetup paperSize="9" scale="43" orientation="portrait" verticalDpi="300" r:id="rId1"/>
  <headerFooter alignWithMargins="0"/>
  <colBreaks count="1" manualBreakCount="1">
    <brk id="19" max="10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L18" sqref="L18"/>
    </sheetView>
  </sheetViews>
  <sheetFormatPr defaultRowHeight="12.75"/>
  <cols>
    <col min="1" max="1" width="18.28515625" customWidth="1"/>
  </cols>
  <sheetData>
    <row r="1" spans="1:2" ht="20.25">
      <c r="A1" s="683" t="s">
        <v>678</v>
      </c>
      <c r="B1" s="684"/>
    </row>
    <row r="2" spans="1:2" ht="15">
      <c r="A2" s="686" t="s">
        <v>679</v>
      </c>
      <c r="B2" s="685" t="s">
        <v>680</v>
      </c>
    </row>
    <row r="3" spans="1:2" ht="15">
      <c r="A3" s="686" t="s">
        <v>681</v>
      </c>
      <c r="B3" s="681" t="s">
        <v>689</v>
      </c>
    </row>
    <row r="4" spans="1:2" ht="15">
      <c r="A4" s="686" t="s">
        <v>682</v>
      </c>
      <c r="B4" s="681" t="s">
        <v>690</v>
      </c>
    </row>
    <row r="5" spans="1:2" ht="15">
      <c r="A5" s="686" t="s">
        <v>683</v>
      </c>
      <c r="B5" s="681" t="s">
        <v>685</v>
      </c>
    </row>
    <row r="6" spans="1:2" ht="15">
      <c r="A6" s="686" t="s">
        <v>684</v>
      </c>
      <c r="B6" s="681" t="s">
        <v>686</v>
      </c>
    </row>
    <row r="7" spans="1:2" ht="15">
      <c r="A7" s="686" t="s">
        <v>687</v>
      </c>
      <c r="B7" s="681" t="s">
        <v>688</v>
      </c>
    </row>
    <row r="8" spans="1:2" ht="15">
      <c r="A8" s="686" t="s">
        <v>691</v>
      </c>
      <c r="B8" s="681" t="s">
        <v>692</v>
      </c>
    </row>
    <row r="9" spans="1:2" ht="15">
      <c r="A9" s="686" t="s">
        <v>693</v>
      </c>
      <c r="B9" s="681" t="s">
        <v>694</v>
      </c>
    </row>
    <row r="10" spans="1:2" ht="15">
      <c r="A10" s="686" t="s">
        <v>695</v>
      </c>
      <c r="B10" s="681" t="s">
        <v>696</v>
      </c>
    </row>
    <row r="11" spans="1:2" ht="15">
      <c r="A11" s="686" t="s">
        <v>725</v>
      </c>
      <c r="B11" s="681" t="s">
        <v>697</v>
      </c>
    </row>
    <row r="12" spans="1:2" ht="15">
      <c r="A12" s="686" t="s">
        <v>726</v>
      </c>
      <c r="B12" s="681" t="s">
        <v>698</v>
      </c>
    </row>
    <row r="13" spans="1:2" ht="15">
      <c r="A13" s="686" t="s">
        <v>700</v>
      </c>
      <c r="B13" s="681" t="s">
        <v>699</v>
      </c>
    </row>
    <row r="14" spans="1:2" ht="15">
      <c r="A14" s="686" t="s">
        <v>702</v>
      </c>
      <c r="B14" s="681" t="s">
        <v>701</v>
      </c>
    </row>
    <row r="15" spans="1:2" ht="15">
      <c r="A15" s="686" t="s">
        <v>703</v>
      </c>
      <c r="B15" s="681" t="s">
        <v>714</v>
      </c>
    </row>
    <row r="16" spans="1:2" ht="15">
      <c r="A16" s="686" t="s">
        <v>704</v>
      </c>
      <c r="B16" s="681" t="s">
        <v>715</v>
      </c>
    </row>
    <row r="17" spans="1:2" ht="15">
      <c r="A17" s="686" t="s">
        <v>705</v>
      </c>
      <c r="B17" s="681" t="s">
        <v>716</v>
      </c>
    </row>
    <row r="18" spans="1:2" ht="15">
      <c r="A18" s="686" t="s">
        <v>706</v>
      </c>
      <c r="B18" s="681" t="s">
        <v>717</v>
      </c>
    </row>
    <row r="19" spans="1:2" ht="15">
      <c r="A19" s="686" t="s">
        <v>707</v>
      </c>
      <c r="B19" s="681" t="s">
        <v>718</v>
      </c>
    </row>
    <row r="20" spans="1:2" ht="15">
      <c r="A20" s="686" t="s">
        <v>708</v>
      </c>
      <c r="B20" s="681" t="s">
        <v>719</v>
      </c>
    </row>
    <row r="21" spans="1:2" ht="15">
      <c r="A21" s="686" t="s">
        <v>709</v>
      </c>
      <c r="B21" s="681" t="s">
        <v>720</v>
      </c>
    </row>
    <row r="22" spans="1:2" ht="15">
      <c r="A22" s="686" t="s">
        <v>710</v>
      </c>
      <c r="B22" s="681" t="s">
        <v>721</v>
      </c>
    </row>
    <row r="23" spans="1:2" ht="15">
      <c r="A23" s="686" t="s">
        <v>711</v>
      </c>
      <c r="B23" s="681" t="s">
        <v>722</v>
      </c>
    </row>
    <row r="24" spans="1:2" ht="15">
      <c r="A24" s="686" t="s">
        <v>712</v>
      </c>
      <c r="B24" s="681" t="s">
        <v>723</v>
      </c>
    </row>
    <row r="25" spans="1:2" ht="15">
      <c r="A25" s="686" t="s">
        <v>713</v>
      </c>
      <c r="B25" s="681" t="s">
        <v>724</v>
      </c>
    </row>
  </sheetData>
  <hyperlinks>
    <hyperlink ref="A2" location="Tool!A1" display="Time series"/>
    <hyperlink ref="A3" location="'S1 Numbers'!A1" display="Table S1"/>
    <hyperlink ref="A4" location="'S2 Index'!A1" display="Table S2"/>
    <hyperlink ref="A5" location="'S3 SHS'!A1" display="Table S3"/>
    <hyperlink ref="A6" location="'S4 Cross Border'!A1" display="Table S4"/>
    <hyperlink ref="A7" location="'SGB1'!A1" display="Table SGB1"/>
    <hyperlink ref="A8" location="'SGB2 index'!A1" display="Table SGB2"/>
    <hyperlink ref="A9" location="'SGB3 rel. to pop.'!A1" display="Table SGB3"/>
    <hyperlink ref="A10" location="'H1 passenger'!A1" display="Table H1"/>
    <hyperlink ref="A11" location="'H2 a freight tonnes'!A1" display="Table H2a"/>
    <hyperlink ref="A12" location="'H2 b freight tonne km'!A1" display="Table H2b"/>
    <hyperlink ref="A13" location="'H3 traffic'!A1" display="Table H3"/>
    <hyperlink ref="A14" location="'H4 other'!A1" display="Table H4"/>
    <hyperlink ref="A15" location="'Figs1,2'!A1" display="Figure 1"/>
    <hyperlink ref="A16" location="'Figs1,2'!A1" display="Figure 2"/>
    <hyperlink ref="A17" location="'Figs 3,4'!A1" display="Figure 3"/>
    <hyperlink ref="A18" location="'Figs 3,4'!A1" display="Figure 4"/>
    <hyperlink ref="A19" location="'Figs 5,6'!A1" display="Figure 5"/>
    <hyperlink ref="A20" location="'Figs 5,6'!A1" display="Figure 6"/>
    <hyperlink ref="A21" location="'Figs 7, 8, 9'!A1" display="Figure 7"/>
    <hyperlink ref="A22" location="'Figs 7, 8, 9'!A1" display="Figure 8"/>
    <hyperlink ref="A23" location="'Figs 7, 8, 9'!A1" display="Figure 9"/>
    <hyperlink ref="A24" location="'Figs 10,11'!A1" display="Figure 10"/>
    <hyperlink ref="A25" location="'Figs 10,11'!A1" display="Figure 11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N82"/>
  <sheetViews>
    <sheetView zoomScale="75" zoomScaleNormal="75" workbookViewId="0"/>
  </sheetViews>
  <sheetFormatPr defaultColWidth="11.42578125" defaultRowHeight="15"/>
  <cols>
    <col min="1" max="1" width="22.42578125" style="194" customWidth="1"/>
    <col min="2" max="2" width="11.42578125" style="194" hidden="1" customWidth="1"/>
    <col min="3" max="3" width="11.42578125" style="194" customWidth="1"/>
    <col min="4" max="4" width="12.140625" style="194" customWidth="1"/>
    <col min="5" max="5" width="11.42578125" style="194" customWidth="1"/>
    <col min="6" max="6" width="9.7109375" style="194" customWidth="1"/>
    <col min="7" max="16384" width="11.42578125" style="194"/>
  </cols>
  <sheetData>
    <row r="1" spans="1:1" ht="15.75">
      <c r="A1" s="213" t="s">
        <v>411</v>
      </c>
    </row>
    <row r="15" spans="1:1" ht="13.5" customHeight="1"/>
    <row r="19" spans="1:1" ht="15.75">
      <c r="A19" s="213" t="s">
        <v>412</v>
      </c>
    </row>
    <row r="35" spans="1:1" ht="13.5" customHeight="1"/>
    <row r="36" spans="1:1" ht="13.5" customHeight="1"/>
    <row r="37" spans="1:1" ht="13.5" customHeight="1"/>
    <row r="39" spans="1:1" ht="15.75">
      <c r="A39" s="213" t="s">
        <v>413</v>
      </c>
    </row>
    <row r="55" spans="1:14" ht="3.75" customHeight="1">
      <c r="A55" s="214"/>
    </row>
    <row r="56" spans="1:14" ht="30" customHeight="1">
      <c r="A56" s="214"/>
    </row>
    <row r="60" spans="1:14">
      <c r="A60" s="194" t="s">
        <v>303</v>
      </c>
    </row>
    <row r="61" spans="1:14">
      <c r="B61" s="194">
        <v>2002</v>
      </c>
      <c r="C61" s="194">
        <v>2003</v>
      </c>
      <c r="D61" s="194">
        <v>2004</v>
      </c>
      <c r="E61" s="194">
        <v>2005</v>
      </c>
      <c r="F61" s="194">
        <v>2006</v>
      </c>
      <c r="G61" s="194">
        <v>2007</v>
      </c>
      <c r="H61" s="194">
        <v>2008</v>
      </c>
      <c r="I61" s="194">
        <v>2009</v>
      </c>
      <c r="J61" s="194">
        <v>2010</v>
      </c>
      <c r="K61" s="194">
        <v>2011</v>
      </c>
      <c r="L61" s="194">
        <v>2012</v>
      </c>
      <c r="M61" s="194">
        <v>2013</v>
      </c>
      <c r="N61" s="194">
        <v>2014</v>
      </c>
    </row>
    <row r="62" spans="1:14">
      <c r="A62" s="194" t="s">
        <v>123</v>
      </c>
      <c r="B62" s="215">
        <f>'SGB3 rel. to pop.'!D7</f>
        <v>45.992893801816031</v>
      </c>
      <c r="C62" s="215">
        <f>'SGB3 rel. to pop.'!E7</f>
        <v>47.015685113939028</v>
      </c>
      <c r="D62" s="215">
        <f>'SGB3 rel. to pop.'!F7</f>
        <v>48.151839977971406</v>
      </c>
      <c r="E62" s="215">
        <f>'SGB3 rel. to pop.'!G7</f>
        <v>49.534930139720558</v>
      </c>
      <c r="F62" s="215">
        <f>'SGB3 rel. to pop.'!H7</f>
        <v>49.956030468917419</v>
      </c>
      <c r="G62" s="215">
        <f>'SGB3 rel. to pop.'!I7</f>
        <v>50.812050290135396</v>
      </c>
      <c r="H62" s="215">
        <f>'SGB3 rel. to pop.'!J7</f>
        <v>51.225009129523919</v>
      </c>
      <c r="I62" s="215">
        <f>'SGB3 rel. to pop.'!K7</f>
        <v>51.298706015023214</v>
      </c>
      <c r="J62" s="215">
        <f>'SGB3 rel. to pop.'!L7</f>
        <v>51.018243320284292</v>
      </c>
      <c r="K62" s="215">
        <f>'SGB3 rel. to pop.'!M7</f>
        <v>50.774542915904078</v>
      </c>
      <c r="L62" s="215">
        <f>'SGB3 rel. to pop.'!N7</f>
        <v>51.132941884974407</v>
      </c>
      <c r="M62" s="215">
        <f>'SGB3 rel. to pop.'!O7</f>
        <v>51.785948908534642</v>
      </c>
      <c r="N62" s="215">
        <f>'SGB3 rel. to pop.'!P7</f>
        <v>52.759368688757561</v>
      </c>
    </row>
    <row r="63" spans="1:14">
      <c r="A63" s="194" t="s">
        <v>124</v>
      </c>
      <c r="B63" s="215">
        <f>'SGB3 rel. to pop.'!D8</f>
        <v>52.987660795666685</v>
      </c>
      <c r="C63" s="215">
        <f>'SGB3 rel. to pop.'!E8</f>
        <v>53.86857200797256</v>
      </c>
      <c r="D63" s="215">
        <f>'SGB3 rel. to pop.'!F8</f>
        <v>55.393264705143977</v>
      </c>
      <c r="E63" s="215">
        <f>'SGB3 rel. to pop.'!G8</f>
        <v>56.056395354474269</v>
      </c>
      <c r="F63" s="215">
        <f>'SGB3 rel. to pop.'!H8</f>
        <v>55.972022454692173</v>
      </c>
      <c r="G63" s="215">
        <f>'SGB3 rel. to pop.'!I8</f>
        <v>56.501770594655987</v>
      </c>
      <c r="H63" s="215">
        <f>'SGB3 rel. to pop.'!J8</f>
        <v>56.430337971994838</v>
      </c>
      <c r="I63" s="215">
        <f>'SGB3 rel. to pop.'!K8</f>
        <v>56.160125481680936</v>
      </c>
      <c r="J63" s="215">
        <f>'SGB3 rel. to pop.'!L8</f>
        <v>55.976308802697361</v>
      </c>
      <c r="K63" s="215">
        <f>'SGB3 rel. to pop.'!M8</f>
        <v>55.682663908198272</v>
      </c>
      <c r="L63" s="215">
        <f>'SGB3 rel. to pop.'!N8</f>
        <v>55.787884940410848</v>
      </c>
      <c r="M63" s="215">
        <f>'SGB3 rel. to pop.'!O8</f>
        <v>56.256867721716368</v>
      </c>
      <c r="N63" s="215">
        <f>'SGB3 rel. to pop.'!P8</f>
        <v>56.780168873687089</v>
      </c>
    </row>
    <row r="66" spans="1:14">
      <c r="A66" s="194" t="s">
        <v>304</v>
      </c>
    </row>
    <row r="67" spans="1:14">
      <c r="B67" s="194">
        <v>2002</v>
      </c>
      <c r="C67" s="194">
        <v>2003</v>
      </c>
      <c r="D67" s="194">
        <v>2004</v>
      </c>
      <c r="E67" s="194">
        <v>2005</v>
      </c>
      <c r="F67" s="194">
        <v>2006</v>
      </c>
      <c r="G67" s="194">
        <v>2007</v>
      </c>
      <c r="H67" s="194">
        <v>2008</v>
      </c>
      <c r="I67" s="194">
        <v>2009</v>
      </c>
      <c r="J67" s="194">
        <v>2010</v>
      </c>
      <c r="K67" s="194">
        <v>2011</v>
      </c>
      <c r="L67" s="194">
        <v>2012</v>
      </c>
      <c r="M67" s="194">
        <v>2013</v>
      </c>
      <c r="N67" s="194">
        <v>2014</v>
      </c>
    </row>
    <row r="68" spans="1:14">
      <c r="A68" s="194" t="s">
        <v>305</v>
      </c>
      <c r="B68" s="215">
        <f>'SGB3 rel. to pop.'!D30</f>
        <v>92.921437031188304</v>
      </c>
      <c r="C68" s="215">
        <f>'SGB3 rel. to pop.'!E30</f>
        <v>94.225510506066882</v>
      </c>
      <c r="D68" s="215">
        <f>'SGB3 rel. to pop.'!F30</f>
        <v>90.474598273115276</v>
      </c>
      <c r="E68" s="215">
        <f>'SGB3 rel. to pop.'!G30</f>
        <v>91.190168682243353</v>
      </c>
      <c r="F68" s="215">
        <f>'SGB3 rel. to pop.'!H30</f>
        <v>92.731487794899778</v>
      </c>
      <c r="G68" s="215">
        <f>'SGB3 rel. to pop.'!I30</f>
        <v>94.390715667311412</v>
      </c>
      <c r="H68" s="215">
        <f>'SGB3 rel. to pop.'!J30</f>
        <v>93.025043725614552</v>
      </c>
      <c r="I68" s="215">
        <f>'SGB3 rel. to pop.'!K30</f>
        <v>87.731034614575961</v>
      </c>
      <c r="J68" s="215">
        <f>'SGB3 rel. to pop.'!L30</f>
        <v>82.094941279312835</v>
      </c>
      <c r="K68" s="215">
        <f>'SGB3 rel. to pop.'!M30</f>
        <v>82.478010216949187</v>
      </c>
      <c r="L68" s="215">
        <f>'SGB3 rel. to pop.'!N30</f>
        <v>79.517330866775438</v>
      </c>
      <c r="M68" s="291">
        <f>'SGB3 rel. to pop.'!O30</f>
        <v>79.621065572103532</v>
      </c>
      <c r="N68" s="291">
        <f>'SGB3 rel. to pop.'!P30</f>
        <v>77.404918581797432</v>
      </c>
    </row>
    <row r="69" spans="1:14">
      <c r="A69" s="194" t="s">
        <v>306</v>
      </c>
      <c r="B69" s="215">
        <f>'SGB3 rel. to pop.'!D31</f>
        <v>78.899714180149687</v>
      </c>
      <c r="C69" s="215">
        <f>'SGB3 rel. to pop.'!E31</f>
        <v>80.801994927202088</v>
      </c>
      <c r="D69" s="215">
        <f>'SGB3 rel. to pop.'!F31</f>
        <v>79.520818639611207</v>
      </c>
      <c r="E69" s="215">
        <f>'SGB3 rel. to pop.'!G31</f>
        <v>80.445707045771044</v>
      </c>
      <c r="F69" s="215">
        <f>'SGB3 rel. to pop.'!H31</f>
        <v>83.152864143114044</v>
      </c>
      <c r="G69" s="215">
        <f>'SGB3 rel. to pop.'!I31</f>
        <v>86.672700510458881</v>
      </c>
      <c r="H69" s="215">
        <f>'SGB3 rel. to pop.'!J31</f>
        <v>87.751408868937801</v>
      </c>
      <c r="I69" s="215">
        <f>'SGB3 rel. to pop.'!K31</f>
        <v>86.16248229844723</v>
      </c>
      <c r="J69" s="215">
        <f>'SGB3 rel. to pop.'!L31</f>
        <v>85.112494256588221</v>
      </c>
      <c r="K69" s="215">
        <f>'SGB3 rel. to pop.'!M31</f>
        <v>84.836991049429031</v>
      </c>
      <c r="L69" s="215">
        <f>'SGB3 rel. to pop.'!N31</f>
        <v>82.75508199588775</v>
      </c>
      <c r="M69" s="291">
        <f>'SGB3 rel. to pop.'!O31</f>
        <v>83.595701960544019</v>
      </c>
      <c r="N69" s="291">
        <f>'SGB3 rel. to pop.'!P31</f>
        <v>82.2706849264776</v>
      </c>
    </row>
    <row r="70" spans="1:14">
      <c r="A70" s="194" t="s">
        <v>307</v>
      </c>
      <c r="B70" s="215">
        <f>'SGB3 rel. to pop.'!D34</f>
        <v>10.338774180813264</v>
      </c>
      <c r="C70" s="215">
        <f>'SGB3 rel. to pop.'!E34</f>
        <v>11.027510900660944</v>
      </c>
      <c r="D70" s="215">
        <f>'SGB3 rel. to pop.'!F34</f>
        <v>12.048154318195229</v>
      </c>
      <c r="E70" s="215">
        <f>'SGB3 rel. to pop.'!G34</f>
        <v>13.059351688779302</v>
      </c>
      <c r="F70" s="215">
        <f>'SGB3 rel. to pop.'!H34</f>
        <v>13.595157701973465</v>
      </c>
      <c r="G70" s="215">
        <f>'SGB3 rel. to pop.'!I34</f>
        <v>14.070462282398454</v>
      </c>
      <c r="H70" s="215">
        <f>'SGB3 rel. to pop.'!J34</f>
        <v>14.656456534561508</v>
      </c>
      <c r="I70" s="215">
        <f>'SGB3 rel. to pop.'!K34</f>
        <v>14.616848625726853</v>
      </c>
      <c r="J70" s="215">
        <f>'SGB3 rel. to pop.'!L34</f>
        <v>15.097542162409184</v>
      </c>
      <c r="K70" s="291">
        <f>'SGB3 rel. to pop.'!M34</f>
        <v>15.719315458782244</v>
      </c>
      <c r="L70" s="291">
        <f>'SGB3 rel. to pop.'!N34</f>
        <v>16.138231707317075</v>
      </c>
      <c r="M70" s="291">
        <f>'SGB3 rel. to pop.'!O34</f>
        <v>16.273438819753366</v>
      </c>
      <c r="N70" s="291" t="str">
        <f>'SGB3 rel. to pop.'!P34</f>
        <v>..</v>
      </c>
    </row>
    <row r="71" spans="1:14">
      <c r="A71" s="194" t="s">
        <v>308</v>
      </c>
      <c r="B71" s="215">
        <f>'SGB3 rel. to pop.'!D35</f>
        <v>13.444427229085562</v>
      </c>
      <c r="C71" s="215">
        <f>'SGB3 rel. to pop.'!E35</f>
        <v>13.660818910697964</v>
      </c>
      <c r="D71" s="215">
        <f>'SGB3 rel. to pop.'!F35</f>
        <v>13.882816191585729</v>
      </c>
      <c r="E71" s="215">
        <f>'SGB3 rel. to pop.'!G35</f>
        <v>14.098783971377756</v>
      </c>
      <c r="F71" s="215">
        <f>'SGB3 rel. to pop.'!H35</f>
        <v>16.654868291313068</v>
      </c>
      <c r="G71" s="215">
        <f>'SGB3 rel. to pop.'!I35</f>
        <v>17.093651733440577</v>
      </c>
      <c r="H71" s="215">
        <f>'SGB3 rel. to pop.'!J35</f>
        <v>17.889407910317363</v>
      </c>
      <c r="I71" s="215">
        <f>'SGB3 rel. to pop.'!K35</f>
        <v>17.619347813514558</v>
      </c>
      <c r="J71" s="215">
        <f>'SGB3 rel. to pop.'!L35</f>
        <v>19.037586369781994</v>
      </c>
      <c r="K71" s="291">
        <f>'SGB3 rel. to pop.'!M35</f>
        <v>20.003997994040329</v>
      </c>
      <c r="L71" s="291">
        <f>'SGB3 rel. to pop.'!N35</f>
        <v>20.507354488253622</v>
      </c>
      <c r="M71" s="291">
        <f>'SGB3 rel. to pop.'!O35</f>
        <v>21.404738900000993</v>
      </c>
      <c r="N71" s="291" t="str">
        <f>'SGB3 rel. to pop.'!P35</f>
        <v>..</v>
      </c>
    </row>
    <row r="72" spans="1:14">
      <c r="A72" s="194" t="s">
        <v>309</v>
      </c>
      <c r="B72" s="215">
        <f>'SGB3 rel. to pop.'!D38</f>
        <v>3.90505329648638</v>
      </c>
      <c r="C72" s="215">
        <f>'SGB3 rel. to pop.'!E38</f>
        <v>4.1598105948505477</v>
      </c>
      <c r="D72" s="215">
        <f>'SGB3 rel. to pop.'!F38</f>
        <v>4.4362055740219892</v>
      </c>
      <c r="E72" s="215">
        <f>'SGB3 rel. to pop.'!G38</f>
        <v>4.6563735274548943</v>
      </c>
      <c r="F72" s="215">
        <f>'SGB3 rel. to pop.'!H38</f>
        <v>4.760670939588163</v>
      </c>
      <c r="G72" s="215">
        <f>'SGB3 rel. to pop.'!I38</f>
        <v>4.8611218568665384</v>
      </c>
      <c r="H72" s="215">
        <f>'SGB3 rel. to pop.'!J38</f>
        <v>4.6796978608083952</v>
      </c>
      <c r="I72" s="215">
        <f>'SGB3 rel. to pop.'!K38</f>
        <v>4.2997763718725501</v>
      </c>
      <c r="J72" s="215">
        <f>'SGB3 rel. to pop.'!L38</f>
        <v>3.9730530956634107</v>
      </c>
      <c r="K72" s="215">
        <f>'SGB3 rel. to pop.'!M38</f>
        <v>4.1632860997377312</v>
      </c>
      <c r="L72" s="215">
        <f>'SGB3 rel. to pop.'!N38</f>
        <v>4.1792758205359828</v>
      </c>
      <c r="M72" s="215">
        <f>'SGB3 rel. to pop.'!O38</f>
        <v>4.3639844585843797</v>
      </c>
      <c r="N72" s="215">
        <f>'SGB3 rel. to pop.'!P38</f>
        <v>4.5022065973520835</v>
      </c>
    </row>
    <row r="73" spans="1:14">
      <c r="A73" s="194" t="s">
        <v>310</v>
      </c>
      <c r="B73" s="215">
        <f>'SGB3 rel. to pop.'!D39</f>
        <v>3.1802888392900837</v>
      </c>
      <c r="C73" s="215">
        <f>'SGB3 rel. to pop.'!E39</f>
        <v>3.3536417581520577</v>
      </c>
      <c r="D73" s="215">
        <f>'SGB3 rel. to pop.'!F39</f>
        <v>3.5979764860143297</v>
      </c>
      <c r="E73" s="215">
        <f>'SGB3 rel. to pop.'!G39</f>
        <v>3.7775968315308712</v>
      </c>
      <c r="F73" s="215">
        <f>'SGB3 rel. to pop.'!H39</f>
        <v>3.8666832316606685</v>
      </c>
      <c r="G73" s="215">
        <f>'SGB3 rel. to pop.'!I39</f>
        <v>3.9257278424372846</v>
      </c>
      <c r="H73" s="215">
        <f>'SGB3 rel. to pop.'!J39</f>
        <v>3.8075968577265069</v>
      </c>
      <c r="I73" s="215">
        <f>'SGB3 rel. to pop.'!K39</f>
        <v>3.5030243740789304</v>
      </c>
      <c r="J73" s="215">
        <f>'SGB3 rel. to pop.'!L39</f>
        <v>3.3565459840824623</v>
      </c>
      <c r="K73" s="215">
        <f>'SGB3 rel. to pop.'!M39</f>
        <v>3.4650943756232206</v>
      </c>
      <c r="L73" s="215">
        <f>'SGB3 rel. to pop.'!N39</f>
        <v>3.4635098672742166</v>
      </c>
      <c r="M73" s="215">
        <f>'SGB3 rel. to pop.'!O39</f>
        <v>3.5625874747335082</v>
      </c>
      <c r="N73" s="215">
        <f>'SGB3 rel. to pop.'!P39</f>
        <v>3.6899997696478608</v>
      </c>
    </row>
    <row r="77" spans="1:14">
      <c r="A77" s="194" t="s">
        <v>304</v>
      </c>
    </row>
    <row r="78" spans="1:14">
      <c r="B78" s="194">
        <v>2002</v>
      </c>
      <c r="C78" s="194">
        <v>2003</v>
      </c>
      <c r="D78" s="194">
        <v>2004</v>
      </c>
      <c r="E78" s="194">
        <v>2005</v>
      </c>
      <c r="F78" s="194">
        <v>2006</v>
      </c>
      <c r="G78" s="194">
        <v>2007</v>
      </c>
      <c r="H78" s="194">
        <v>2008</v>
      </c>
      <c r="I78" s="194">
        <v>2009</v>
      </c>
      <c r="J78" s="194">
        <v>2010</v>
      </c>
      <c r="K78" s="194">
        <v>2011</v>
      </c>
      <c r="L78" s="194">
        <v>2012</v>
      </c>
      <c r="M78" s="194">
        <v>2013</v>
      </c>
      <c r="N78" s="194">
        <v>2014</v>
      </c>
    </row>
    <row r="79" spans="1:14">
      <c r="A79" s="194" t="s">
        <v>307</v>
      </c>
      <c r="B79" s="215">
        <f t="shared" ref="B79:J79" si="0">B70</f>
        <v>10.338774180813264</v>
      </c>
      <c r="C79" s="215">
        <f t="shared" si="0"/>
        <v>11.027510900660944</v>
      </c>
      <c r="D79" s="215">
        <f t="shared" si="0"/>
        <v>12.048154318195229</v>
      </c>
      <c r="E79" s="215">
        <f t="shared" si="0"/>
        <v>13.059351688779302</v>
      </c>
      <c r="F79" s="215">
        <f t="shared" si="0"/>
        <v>13.595157701973465</v>
      </c>
      <c r="G79" s="215">
        <f t="shared" si="0"/>
        <v>14.070462282398454</v>
      </c>
      <c r="H79" s="215">
        <f t="shared" si="0"/>
        <v>14.656456534561508</v>
      </c>
      <c r="I79" s="215">
        <f t="shared" si="0"/>
        <v>14.616848625726853</v>
      </c>
      <c r="J79" s="215">
        <f t="shared" si="0"/>
        <v>15.097542162409184</v>
      </c>
      <c r="K79" s="291">
        <f t="shared" ref="K79:M82" si="1">K70</f>
        <v>15.719315458782244</v>
      </c>
      <c r="L79" s="291">
        <f t="shared" si="1"/>
        <v>16.138231707317075</v>
      </c>
      <c r="M79" s="291">
        <f t="shared" si="1"/>
        <v>16.273438819753366</v>
      </c>
      <c r="N79" s="291" t="str">
        <f t="shared" ref="N79" si="2">N70</f>
        <v>..</v>
      </c>
    </row>
    <row r="80" spans="1:14">
      <c r="A80" s="194" t="s">
        <v>308</v>
      </c>
      <c r="B80" s="215">
        <f t="shared" ref="B80:J80" si="3">B71</f>
        <v>13.444427229085562</v>
      </c>
      <c r="C80" s="215">
        <f t="shared" si="3"/>
        <v>13.660818910697964</v>
      </c>
      <c r="D80" s="215">
        <f t="shared" si="3"/>
        <v>13.882816191585729</v>
      </c>
      <c r="E80" s="215">
        <f t="shared" si="3"/>
        <v>14.098783971377756</v>
      </c>
      <c r="F80" s="215">
        <f t="shared" si="3"/>
        <v>16.654868291313068</v>
      </c>
      <c r="G80" s="215">
        <f t="shared" si="3"/>
        <v>17.093651733440577</v>
      </c>
      <c r="H80" s="215">
        <f t="shared" si="3"/>
        <v>17.889407910317363</v>
      </c>
      <c r="I80" s="215">
        <f t="shared" si="3"/>
        <v>17.619347813514558</v>
      </c>
      <c r="J80" s="215">
        <f t="shared" si="3"/>
        <v>19.037586369781994</v>
      </c>
      <c r="K80" s="291">
        <f t="shared" si="1"/>
        <v>20.003997994040329</v>
      </c>
      <c r="L80" s="291">
        <f t="shared" si="1"/>
        <v>20.507354488253622</v>
      </c>
      <c r="M80" s="291">
        <f t="shared" si="1"/>
        <v>21.404738900000993</v>
      </c>
      <c r="N80" s="291" t="str">
        <f t="shared" ref="N80" si="4">N71</f>
        <v>..</v>
      </c>
    </row>
    <row r="81" spans="1:14">
      <c r="A81" s="194" t="s">
        <v>311</v>
      </c>
      <c r="B81" s="215">
        <f t="shared" ref="B81:J81" si="5">B72</f>
        <v>3.90505329648638</v>
      </c>
      <c r="C81" s="215">
        <f t="shared" si="5"/>
        <v>4.1598105948505477</v>
      </c>
      <c r="D81" s="215">
        <f t="shared" si="5"/>
        <v>4.4362055740219892</v>
      </c>
      <c r="E81" s="215">
        <f t="shared" si="5"/>
        <v>4.6563735274548943</v>
      </c>
      <c r="F81" s="215">
        <f t="shared" si="5"/>
        <v>4.760670939588163</v>
      </c>
      <c r="G81" s="215">
        <f t="shared" si="5"/>
        <v>4.8611218568665384</v>
      </c>
      <c r="H81" s="215">
        <f t="shared" si="5"/>
        <v>4.6796978608083952</v>
      </c>
      <c r="I81" s="215">
        <f t="shared" si="5"/>
        <v>4.2997763718725501</v>
      </c>
      <c r="J81" s="215">
        <f t="shared" si="5"/>
        <v>3.9730530956634107</v>
      </c>
      <c r="K81" s="215">
        <f t="shared" si="1"/>
        <v>4.1632860997377312</v>
      </c>
      <c r="L81" s="215">
        <f t="shared" si="1"/>
        <v>4.1792758205359828</v>
      </c>
      <c r="M81" s="215">
        <f t="shared" si="1"/>
        <v>4.3639844585843797</v>
      </c>
      <c r="N81" s="215">
        <f t="shared" ref="N81" si="6">N72</f>
        <v>4.5022065973520835</v>
      </c>
    </row>
    <row r="82" spans="1:14">
      <c r="A82" s="194" t="s">
        <v>312</v>
      </c>
      <c r="B82" s="215">
        <f t="shared" ref="B82:J82" si="7">B73</f>
        <v>3.1802888392900837</v>
      </c>
      <c r="C82" s="215">
        <f t="shared" si="7"/>
        <v>3.3536417581520577</v>
      </c>
      <c r="D82" s="215">
        <f t="shared" si="7"/>
        <v>3.5979764860143297</v>
      </c>
      <c r="E82" s="215">
        <f t="shared" si="7"/>
        <v>3.7775968315308712</v>
      </c>
      <c r="F82" s="215">
        <f t="shared" si="7"/>
        <v>3.8666832316606685</v>
      </c>
      <c r="G82" s="215">
        <f t="shared" si="7"/>
        <v>3.9257278424372846</v>
      </c>
      <c r="H82" s="215">
        <f t="shared" si="7"/>
        <v>3.8075968577265069</v>
      </c>
      <c r="I82" s="215">
        <f t="shared" si="7"/>
        <v>3.5030243740789304</v>
      </c>
      <c r="J82" s="215">
        <f t="shared" si="7"/>
        <v>3.3565459840824623</v>
      </c>
      <c r="K82" s="215">
        <f t="shared" si="1"/>
        <v>3.4650943756232206</v>
      </c>
      <c r="L82" s="215">
        <f t="shared" si="1"/>
        <v>3.4635098672742166</v>
      </c>
      <c r="M82" s="215">
        <f t="shared" si="1"/>
        <v>3.5625874747335082</v>
      </c>
      <c r="N82" s="215">
        <f t="shared" ref="N82" si="8">N73</f>
        <v>3.6899997696478608</v>
      </c>
    </row>
  </sheetData>
  <phoneticPr fontId="3" type="noConversion"/>
  <pageMargins left="0.74803149606299213" right="0.74803149606299213" top="0.55118110236220474" bottom="0.47244094488188981" header="0.51181102362204722" footer="0.51181102362204722"/>
  <pageSetup paperSize="9" scale="92" orientation="portrait" horizontalDpi="96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O109"/>
  <sheetViews>
    <sheetView zoomScale="50" zoomScaleNormal="50" workbookViewId="0">
      <selection activeCell="W30" sqref="W30"/>
    </sheetView>
  </sheetViews>
  <sheetFormatPr defaultColWidth="11.42578125" defaultRowHeight="15"/>
  <cols>
    <col min="1" max="4" width="11.42578125" style="194" customWidth="1"/>
    <col min="5" max="5" width="14.28515625" style="194" customWidth="1"/>
    <col min="6" max="15" width="11.42578125" style="194" customWidth="1"/>
    <col min="16" max="16" width="8.85546875" style="194" customWidth="1"/>
    <col min="17" max="17" width="1.7109375" style="194" customWidth="1"/>
    <col min="18" max="18" width="46" style="194" customWidth="1"/>
    <col min="19" max="16384" width="11.42578125" style="194"/>
  </cols>
  <sheetData>
    <row r="1" spans="1:1" s="193" customFormat="1" ht="30">
      <c r="A1" s="192" t="s">
        <v>414</v>
      </c>
    </row>
    <row r="15" spans="1:1" ht="124.5" customHeight="1"/>
    <row r="16" spans="1:1" ht="66" customHeight="1"/>
    <row r="17" spans="1:1" ht="19.5" customHeight="1"/>
    <row r="18" spans="1:1" ht="28.5" customHeight="1"/>
    <row r="19" spans="1:1" ht="66" customHeight="1"/>
    <row r="20" spans="1:1" ht="66" customHeight="1"/>
    <row r="21" spans="1:1" ht="15" customHeight="1"/>
    <row r="22" spans="1:1" ht="15" customHeight="1"/>
    <row r="23" spans="1:1" ht="15" customHeight="1"/>
    <row r="24" spans="1:1" ht="15" customHeight="1"/>
    <row r="25" spans="1:1" ht="15" customHeight="1"/>
    <row r="26" spans="1:1" ht="15" customHeight="1"/>
    <row r="27" spans="1:1" ht="15" customHeight="1"/>
    <row r="28" spans="1:1" ht="15" customHeight="1"/>
    <row r="29" spans="1:1" ht="15" customHeight="1"/>
    <row r="30" spans="1:1" ht="15" customHeight="1"/>
    <row r="31" spans="1:1" ht="15" customHeight="1"/>
    <row r="32" spans="1:1" ht="16.5" customHeight="1">
      <c r="A32" s="376" t="s">
        <v>313</v>
      </c>
    </row>
    <row r="33" spans="1:1" ht="15" customHeight="1">
      <c r="A33" s="217"/>
    </row>
    <row r="34" spans="1:1" ht="15" customHeight="1">
      <c r="A34" s="217"/>
    </row>
    <row r="35" spans="1:1" ht="15" customHeight="1"/>
    <row r="36" spans="1:1" ht="15" hidden="1" customHeight="1"/>
    <row r="37" spans="1:1" s="193" customFormat="1" ht="40.5" customHeight="1">
      <c r="A37" s="192" t="s">
        <v>415</v>
      </c>
    </row>
    <row r="38" spans="1:1" ht="15" customHeight="1"/>
    <row r="39" spans="1:1" ht="15" customHeight="1"/>
    <row r="40" spans="1:1" ht="15" customHeight="1"/>
    <row r="41" spans="1:1" ht="15" customHeight="1"/>
    <row r="42" spans="1:1" ht="15" customHeight="1"/>
    <row r="43" spans="1:1" ht="15" customHeight="1"/>
    <row r="44" spans="1:1" ht="15" customHeight="1"/>
    <row r="45" spans="1:1" ht="12" customHeight="1"/>
    <row r="46" spans="1:1" ht="409.5" customHeight="1"/>
    <row r="47" spans="1:1" ht="16.5" customHeight="1"/>
    <row r="48" spans="1:1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3.5" customHeight="1"/>
    <row r="58" ht="13.5" customHeight="1"/>
    <row r="59" ht="13.5" customHeight="1"/>
    <row r="60" ht="13.5" customHeight="1"/>
    <row r="61" ht="13.5" customHeight="1"/>
    <row r="63" ht="6" customHeight="1"/>
    <row r="64" ht="103.5" customHeight="1"/>
    <row r="65" spans="1:15" ht="21" customHeight="1">
      <c r="A65" s="376" t="s">
        <v>314</v>
      </c>
    </row>
    <row r="66" spans="1:15" ht="16.5" customHeight="1">
      <c r="A66" s="216"/>
    </row>
    <row r="67" spans="1:15" ht="16.5" customHeight="1">
      <c r="A67" s="217"/>
    </row>
    <row r="68" spans="1:15">
      <c r="A68" s="194" t="s">
        <v>11</v>
      </c>
    </row>
    <row r="69" spans="1:15">
      <c r="B69" s="194" t="s">
        <v>110</v>
      </c>
      <c r="C69" s="194" t="s">
        <v>110</v>
      </c>
      <c r="D69" s="194" t="s">
        <v>315</v>
      </c>
      <c r="E69" s="194" t="s">
        <v>315</v>
      </c>
      <c r="I69" s="194" t="s">
        <v>204</v>
      </c>
      <c r="J69" s="194" t="s">
        <v>204</v>
      </c>
      <c r="K69" s="194" t="s">
        <v>316</v>
      </c>
      <c r="L69" s="194" t="s">
        <v>102</v>
      </c>
      <c r="M69" s="194" t="s">
        <v>315</v>
      </c>
      <c r="N69" s="194" t="s">
        <v>315</v>
      </c>
      <c r="O69" s="194" t="s">
        <v>315</v>
      </c>
    </row>
    <row r="70" spans="1:15">
      <c r="A70" s="218">
        <v>1975</v>
      </c>
      <c r="B70" s="197">
        <f>'H2 a freight tonnes'!D28</f>
        <v>164.6</v>
      </c>
      <c r="D70" s="197"/>
      <c r="H70" s="209">
        <v>1975</v>
      </c>
      <c r="I70" s="197">
        <f>'H2 a freight tonnes'!I28</f>
        <v>6.3</v>
      </c>
      <c r="K70" s="197"/>
      <c r="L70" s="197">
        <f>'H2 a freight tonnes'!E28</f>
        <v>16.100000000000001</v>
      </c>
      <c r="M70" s="197"/>
    </row>
    <row r="71" spans="1:15">
      <c r="A71" s="218">
        <v>1976</v>
      </c>
      <c r="B71" s="197">
        <f>'H2 a freight tonnes'!D29</f>
        <v>172</v>
      </c>
      <c r="D71" s="197"/>
      <c r="H71" s="209">
        <v>1976</v>
      </c>
      <c r="I71" s="197">
        <f>'H2 a freight tonnes'!I29</f>
        <v>11.9</v>
      </c>
      <c r="K71" s="197"/>
      <c r="L71" s="197">
        <f>'H2 a freight tonnes'!E29</f>
        <v>16.2</v>
      </c>
      <c r="M71" s="197"/>
    </row>
    <row r="72" spans="1:15">
      <c r="A72" s="218">
        <v>1977</v>
      </c>
      <c r="B72" s="197">
        <f>'H2 a freight tonnes'!D30</f>
        <v>144.69999999999999</v>
      </c>
      <c r="D72" s="197"/>
      <c r="H72" s="209">
        <v>1977</v>
      </c>
      <c r="I72" s="197">
        <f>'H2 a freight tonnes'!I30</f>
        <v>23.2</v>
      </c>
      <c r="K72" s="197"/>
      <c r="L72" s="197">
        <f>'H2 a freight tonnes'!E30</f>
        <v>14</v>
      </c>
      <c r="M72" s="197"/>
    </row>
    <row r="73" spans="1:15">
      <c r="A73" s="218">
        <v>1978</v>
      </c>
      <c r="B73" s="197">
        <f>'H2 a freight tonnes'!D31</f>
        <v>149.5</v>
      </c>
      <c r="D73" s="197"/>
      <c r="H73" s="209">
        <v>1978</v>
      </c>
      <c r="I73" s="197">
        <f>'H2 a freight tonnes'!I31</f>
        <v>26.4</v>
      </c>
      <c r="K73" s="197"/>
      <c r="L73" s="197">
        <f>'H2 a freight tonnes'!E31</f>
        <v>13.8</v>
      </c>
      <c r="M73" s="197"/>
    </row>
    <row r="74" spans="1:15">
      <c r="A74" s="218">
        <v>1979</v>
      </c>
      <c r="B74" s="197">
        <f>'H2 a freight tonnes'!D32</f>
        <v>156.9</v>
      </c>
      <c r="D74" s="197"/>
      <c r="H74" s="209">
        <v>1979</v>
      </c>
      <c r="I74" s="197">
        <f>'H2 a freight tonnes'!I32</f>
        <v>27.9</v>
      </c>
      <c r="K74" s="197"/>
      <c r="L74" s="197">
        <f>'H2 a freight tonnes'!E32</f>
        <v>12</v>
      </c>
      <c r="M74" s="197"/>
    </row>
    <row r="75" spans="1:15">
      <c r="A75" s="218">
        <v>1980</v>
      </c>
      <c r="B75" s="197">
        <f>'H2 a freight tonnes'!D33</f>
        <v>134.69999999999999</v>
      </c>
      <c r="D75" s="197"/>
      <c r="H75" s="209">
        <v>1980</v>
      </c>
      <c r="I75" s="197">
        <f>'H2 a freight tonnes'!I33</f>
        <v>26.7</v>
      </c>
      <c r="K75" s="197">
        <f>'H2 a freight tonnes'!H33</f>
        <v>8.1199999999999992</v>
      </c>
      <c r="L75" s="197">
        <f>'H2 a freight tonnes'!E33</f>
        <v>11.7</v>
      </c>
      <c r="M75" s="197"/>
    </row>
    <row r="76" spans="1:15">
      <c r="A76" s="218">
        <v>1981</v>
      </c>
      <c r="B76" s="197">
        <f>'H2 a freight tonnes'!D34</f>
        <v>144.1</v>
      </c>
      <c r="D76" s="197"/>
      <c r="H76" s="209">
        <v>1981</v>
      </c>
      <c r="I76" s="197">
        <f>'H2 a freight tonnes'!I34</f>
        <v>24.1</v>
      </c>
      <c r="K76" s="197">
        <f>'H2 a freight tonnes'!H34</f>
        <v>7.31</v>
      </c>
      <c r="L76" s="197">
        <f>'H2 a freight tonnes'!E34</f>
        <v>12.2</v>
      </c>
      <c r="M76" s="197"/>
    </row>
    <row r="77" spans="1:15">
      <c r="A77" s="218">
        <v>1982</v>
      </c>
      <c r="B77" s="197">
        <f>'H2 a freight tonnes'!D35</f>
        <v>135.4</v>
      </c>
      <c r="E77" s="197"/>
      <c r="H77" s="209">
        <v>1982</v>
      </c>
      <c r="I77" s="197">
        <f>'H2 a freight tonnes'!I35</f>
        <v>22.4</v>
      </c>
      <c r="K77" s="197">
        <f>'H2 a freight tonnes'!H35</f>
        <v>10.4</v>
      </c>
      <c r="L77" s="197">
        <f>'H2 a freight tonnes'!E35</f>
        <v>10.4</v>
      </c>
      <c r="N77" s="197"/>
    </row>
    <row r="78" spans="1:15">
      <c r="A78" s="218">
        <v>1983</v>
      </c>
      <c r="B78" s="197">
        <f>'H2 a freight tonnes'!D36</f>
        <v>129.1</v>
      </c>
      <c r="E78" s="197"/>
      <c r="H78" s="209">
        <v>1983</v>
      </c>
      <c r="I78" s="197">
        <f>'H2 a freight tonnes'!I36</f>
        <v>26.5</v>
      </c>
      <c r="K78" s="197">
        <f>'H2 a freight tonnes'!H36</f>
        <v>12.1</v>
      </c>
      <c r="L78" s="197">
        <f>'H2 a freight tonnes'!E36</f>
        <v>10.3</v>
      </c>
    </row>
    <row r="79" spans="1:15">
      <c r="A79" s="218">
        <v>1984</v>
      </c>
      <c r="B79" s="197">
        <f>'H2 a freight tonnes'!D37</f>
        <v>128.30000000000001</v>
      </c>
      <c r="E79" s="197"/>
      <c r="H79" s="209">
        <v>1984</v>
      </c>
      <c r="I79" s="197">
        <f>'H2 a freight tonnes'!I37</f>
        <v>26.9</v>
      </c>
      <c r="K79" s="197">
        <f>'H2 a freight tonnes'!H37</f>
        <v>10.02</v>
      </c>
      <c r="L79" s="197">
        <f>'H2 a freight tonnes'!E37</f>
        <v>6.4</v>
      </c>
    </row>
    <row r="80" spans="1:15">
      <c r="A80" s="218">
        <v>1985</v>
      </c>
      <c r="B80" s="197">
        <f>'H2 a freight tonnes'!D38</f>
        <v>130.5</v>
      </c>
      <c r="E80" s="197"/>
      <c r="H80" s="209">
        <v>1985</v>
      </c>
      <c r="I80" s="197">
        <f>'H2 a freight tonnes'!I38</f>
        <v>29.8</v>
      </c>
      <c r="K80" s="197">
        <f>'H2 a freight tonnes'!H38</f>
        <v>10.65</v>
      </c>
      <c r="L80" s="197">
        <f>'H2 a freight tonnes'!E38</f>
        <v>12</v>
      </c>
    </row>
    <row r="81" spans="1:14">
      <c r="A81" s="218">
        <v>1986</v>
      </c>
      <c r="B81" s="197">
        <f>'H2 a freight tonnes'!D39</f>
        <v>128</v>
      </c>
      <c r="E81" s="197"/>
      <c r="H81" s="209">
        <v>1986</v>
      </c>
      <c r="I81" s="197">
        <f>'H2 a freight tonnes'!I39</f>
        <v>28.2</v>
      </c>
      <c r="K81" s="197">
        <f>'H2 a freight tonnes'!H39</f>
        <v>11.02</v>
      </c>
      <c r="L81" s="197">
        <f>'H2 a freight tonnes'!E39</f>
        <v>9.6999999999999993</v>
      </c>
    </row>
    <row r="82" spans="1:14">
      <c r="A82" s="218">
        <v>1987</v>
      </c>
      <c r="B82" s="197">
        <f>'H2 a freight tonnes'!D40</f>
        <v>134.9</v>
      </c>
      <c r="D82" s="197">
        <f>'H2 a freight tonnes'!G40</f>
        <v>24.1</v>
      </c>
      <c r="E82" s="197"/>
      <c r="H82" s="209">
        <v>1987</v>
      </c>
      <c r="I82" s="197">
        <f>'H2 a freight tonnes'!I40</f>
        <v>28.5</v>
      </c>
      <c r="K82" s="197">
        <f>'H2 a freight tonnes'!H40</f>
        <v>10.28</v>
      </c>
      <c r="L82" s="197">
        <f>'H2 a freight tonnes'!E40</f>
        <v>10.5</v>
      </c>
      <c r="M82" s="197">
        <f>'H2 a freight tonnes'!G40</f>
        <v>24.1</v>
      </c>
      <c r="N82" s="197"/>
    </row>
    <row r="83" spans="1:14">
      <c r="A83" s="218">
        <v>1988</v>
      </c>
      <c r="B83" s="197">
        <f>'H2 a freight tonnes'!D41</f>
        <v>155.69999999999999</v>
      </c>
      <c r="D83" s="197">
        <f>'H2 a freight tonnes'!G41</f>
        <v>28.3</v>
      </c>
      <c r="E83" s="197"/>
      <c r="H83" s="209">
        <v>1988</v>
      </c>
      <c r="I83" s="197">
        <f>'H2 a freight tonnes'!I41</f>
        <v>25.2</v>
      </c>
      <c r="K83" s="197">
        <f>'H2 a freight tonnes'!H41</f>
        <v>10.220000000000001</v>
      </c>
      <c r="L83" s="197">
        <f>'H2 a freight tonnes'!E41</f>
        <v>9.6999999999999993</v>
      </c>
      <c r="M83" s="197">
        <f>'H2 a freight tonnes'!G41</f>
        <v>28.3</v>
      </c>
      <c r="N83" s="197"/>
    </row>
    <row r="84" spans="1:14">
      <c r="A84" s="218">
        <v>1989</v>
      </c>
      <c r="B84" s="197">
        <f>'H2 a freight tonnes'!D42</f>
        <v>154.80000000000001</v>
      </c>
      <c r="D84" s="197">
        <f>'H2 a freight tonnes'!G42</f>
        <v>28.3</v>
      </c>
      <c r="E84" s="197"/>
      <c r="H84" s="209">
        <v>1989</v>
      </c>
      <c r="I84" s="197">
        <f>'H2 a freight tonnes'!I42</f>
        <v>21.3</v>
      </c>
      <c r="K84" s="197">
        <f>'H2 a freight tonnes'!H42</f>
        <v>10.37</v>
      </c>
      <c r="L84" s="197">
        <f>'H2 a freight tonnes'!E42</f>
        <v>9.4</v>
      </c>
      <c r="M84" s="197">
        <f>'H2 a freight tonnes'!G42</f>
        <v>28.3</v>
      </c>
      <c r="N84" s="197"/>
    </row>
    <row r="85" spans="1:14">
      <c r="A85" s="218">
        <v>1990</v>
      </c>
      <c r="B85" s="197">
        <f>'H2 a freight tonnes'!D43</f>
        <v>160.6</v>
      </c>
      <c r="D85" s="197">
        <f>'H2 a freight tonnes'!G43</f>
        <v>25.2</v>
      </c>
      <c r="E85" s="197"/>
      <c r="H85" s="209">
        <v>1990</v>
      </c>
      <c r="I85" s="197"/>
      <c r="J85" s="197">
        <f>'H2 a freight tonnes'!I43</f>
        <v>26.9</v>
      </c>
      <c r="K85" s="197">
        <f>'H2 a freight tonnes'!H43</f>
        <v>11.92</v>
      </c>
      <c r="L85" s="197">
        <f>'H2 a freight tonnes'!E43</f>
        <v>9.8000000000000007</v>
      </c>
      <c r="M85" s="197">
        <f>'H2 a freight tonnes'!G43</f>
        <v>25.2</v>
      </c>
      <c r="N85" s="197"/>
    </row>
    <row r="86" spans="1:14">
      <c r="A86" s="218">
        <v>1991</v>
      </c>
      <c r="B86" s="197">
        <f>'H2 a freight tonnes'!D44</f>
        <v>148.80000000000001</v>
      </c>
      <c r="D86" s="197">
        <f>'H2 a freight tonnes'!G44</f>
        <v>26.7</v>
      </c>
      <c r="E86" s="197"/>
      <c r="H86" s="209">
        <v>1991</v>
      </c>
      <c r="J86" s="197">
        <f>'H2 a freight tonnes'!I44</f>
        <v>21.4</v>
      </c>
      <c r="K86" s="197">
        <f>'H2 a freight tonnes'!H44</f>
        <v>11.34</v>
      </c>
      <c r="L86" s="197">
        <f>'H2 a freight tonnes'!E44</f>
        <v>9</v>
      </c>
      <c r="M86" s="197">
        <f>'H2 a freight tonnes'!G44</f>
        <v>26.7</v>
      </c>
      <c r="N86" s="197"/>
    </row>
    <row r="87" spans="1:14">
      <c r="A87" s="218">
        <v>1992</v>
      </c>
      <c r="B87" s="197">
        <f>'H2 a freight tonnes'!D45</f>
        <v>157.1</v>
      </c>
      <c r="D87" s="197">
        <f>'H2 a freight tonnes'!G45</f>
        <v>25.7</v>
      </c>
      <c r="E87" s="197"/>
      <c r="H87" s="209">
        <v>1992</v>
      </c>
      <c r="J87" s="197">
        <f>'H2 a freight tonnes'!I45</f>
        <v>24</v>
      </c>
      <c r="K87" s="197">
        <f>'H2 a freight tonnes'!H45</f>
        <v>10.66</v>
      </c>
      <c r="L87" s="197">
        <f>'H2 a freight tonnes'!E45</f>
        <v>6.96</v>
      </c>
      <c r="M87" s="197">
        <f>'H2 a freight tonnes'!G45</f>
        <v>25.7</v>
      </c>
      <c r="N87" s="197"/>
    </row>
    <row r="88" spans="1:14">
      <c r="A88" s="218">
        <v>1993</v>
      </c>
      <c r="B88" s="197">
        <f>'H2 a freight tonnes'!D46</f>
        <v>158.9</v>
      </c>
      <c r="D88" s="197">
        <f>'H2 a freight tonnes'!G46</f>
        <v>24.5</v>
      </c>
      <c r="E88" s="197"/>
      <c r="H88" s="209">
        <v>1993</v>
      </c>
      <c r="J88" s="197">
        <f>'H2 a freight tonnes'!I46</f>
        <v>26.9</v>
      </c>
      <c r="K88" s="197">
        <f>'H2 a freight tonnes'!H46</f>
        <v>11.35</v>
      </c>
      <c r="L88" s="197">
        <f>'H2 a freight tonnes'!E46</f>
        <v>5.01</v>
      </c>
      <c r="M88" s="197">
        <f>'H2 a freight tonnes'!G46</f>
        <v>24.5</v>
      </c>
      <c r="N88" s="197"/>
    </row>
    <row r="89" spans="1:14">
      <c r="A89" s="218">
        <v>1994</v>
      </c>
      <c r="B89" s="197">
        <f>'H2 a freight tonnes'!D47</f>
        <v>155.80000000000001</v>
      </c>
      <c r="D89" s="197">
        <f>'H2 a freight tonnes'!G47</f>
        <v>27.5</v>
      </c>
      <c r="E89" s="197"/>
      <c r="H89" s="209">
        <v>1994</v>
      </c>
      <c r="J89" s="197">
        <f>'H2 a freight tonnes'!I47</f>
        <v>24.084</v>
      </c>
      <c r="K89" s="197">
        <f>'H2 a freight tonnes'!H47</f>
        <v>11.16</v>
      </c>
      <c r="L89" s="197">
        <f>'H2 a freight tonnes'!E47</f>
        <v>5.4</v>
      </c>
      <c r="M89" s="197">
        <f>'H2 a freight tonnes'!G47</f>
        <v>27.5</v>
      </c>
      <c r="N89" s="197"/>
    </row>
    <row r="90" spans="1:14">
      <c r="A90" s="218">
        <v>1995</v>
      </c>
      <c r="B90" s="197">
        <f>'H2 a freight tonnes'!D48</f>
        <v>157.69999999999999</v>
      </c>
      <c r="D90" s="197">
        <f>'H2 a freight tonnes'!G48</f>
        <v>31.9</v>
      </c>
      <c r="E90" s="197"/>
      <c r="H90" s="209">
        <v>1995</v>
      </c>
      <c r="J90" s="197">
        <f>'H2 a freight tonnes'!I48</f>
        <v>25.622</v>
      </c>
      <c r="K90" s="197">
        <f>'H2 a freight tonnes'!H48</f>
        <v>11.22</v>
      </c>
      <c r="L90" s="197"/>
      <c r="M90" s="197">
        <f>'H2 a freight tonnes'!G48</f>
        <v>31.9</v>
      </c>
      <c r="N90" s="197"/>
    </row>
    <row r="91" spans="1:14">
      <c r="A91" s="218">
        <v>1996</v>
      </c>
      <c r="B91" s="197">
        <f>'H2 a freight tonnes'!D49</f>
        <v>162.4</v>
      </c>
      <c r="D91" s="197">
        <f>'H2 a freight tonnes'!G49</f>
        <v>36.200000000000003</v>
      </c>
      <c r="E91" s="197"/>
      <c r="H91" s="209">
        <v>1996</v>
      </c>
      <c r="J91" s="197">
        <f>'H2 a freight tonnes'!I49</f>
        <v>25.602</v>
      </c>
      <c r="K91" s="197">
        <f>'H2 a freight tonnes'!H49</f>
        <v>11.08</v>
      </c>
      <c r="L91" s="197">
        <f>'H2 a freight tonnes'!E49</f>
        <v>5.43</v>
      </c>
      <c r="M91" s="197">
        <f>'H2 a freight tonnes'!G49</f>
        <v>36.200000000000003</v>
      </c>
      <c r="N91" s="197"/>
    </row>
    <row r="92" spans="1:14">
      <c r="A92" s="218">
        <v>1997</v>
      </c>
      <c r="B92" s="197">
        <f>'H2 a freight tonnes'!D50</f>
        <v>157.4</v>
      </c>
      <c r="D92" s="197">
        <f>'H2 a freight tonnes'!G50</f>
        <v>34.5</v>
      </c>
      <c r="E92" s="197"/>
      <c r="H92" s="209">
        <v>1997</v>
      </c>
      <c r="J92" s="197">
        <f>'H2 a freight tonnes'!I50</f>
        <v>25.715</v>
      </c>
      <c r="K92" s="197">
        <f>'H2 a freight tonnes'!H50</f>
        <v>11.62</v>
      </c>
      <c r="L92" s="197">
        <f>'H2 a freight tonnes'!E50</f>
        <v>7.04</v>
      </c>
      <c r="M92" s="197">
        <f>'H2 a freight tonnes'!G50</f>
        <v>34.5</v>
      </c>
      <c r="N92" s="197"/>
    </row>
    <row r="93" spans="1:14">
      <c r="A93" s="218">
        <v>1998</v>
      </c>
      <c r="B93" s="197">
        <f>'H2 a freight tonnes'!D51</f>
        <v>155.6</v>
      </c>
      <c r="D93" s="197">
        <f>'H2 a freight tonnes'!G51</f>
        <v>39.700000000000003</v>
      </c>
      <c r="E93" s="197"/>
      <c r="H93" s="209">
        <v>1998</v>
      </c>
      <c r="J93" s="197">
        <f>'H2 a freight tonnes'!I51</f>
        <v>28.061</v>
      </c>
      <c r="K93" s="197">
        <f>'H2 a freight tonnes'!H51</f>
        <v>10.37</v>
      </c>
      <c r="L93" s="197">
        <f>'H2 a freight tonnes'!E51</f>
        <v>7.69</v>
      </c>
      <c r="M93" s="197">
        <f>'H2 a freight tonnes'!G51</f>
        <v>39.700000000000003</v>
      </c>
      <c r="N93" s="197"/>
    </row>
    <row r="94" spans="1:14">
      <c r="A94" s="218">
        <v>1999</v>
      </c>
      <c r="B94" s="197">
        <f>'H2 a freight tonnes'!D52</f>
        <v>155.80000000000001</v>
      </c>
      <c r="D94" s="197">
        <f>'H2 a freight tonnes'!G52</f>
        <v>35.299999999999997</v>
      </c>
      <c r="E94" s="197"/>
      <c r="H94" s="209">
        <v>1999</v>
      </c>
      <c r="J94" s="197">
        <f>'H2 a freight tonnes'!I52</f>
        <v>28.024999999999999</v>
      </c>
      <c r="K94" s="197">
        <f>'H2 a freight tonnes'!H52</f>
        <v>9.4700000000000006</v>
      </c>
      <c r="L94" s="197">
        <f>'H2 a freight tonnes'!E52</f>
        <v>8.24</v>
      </c>
      <c r="M94" s="197">
        <f>'H2 a freight tonnes'!G52</f>
        <v>35.299999999999997</v>
      </c>
      <c r="N94" s="197"/>
    </row>
    <row r="95" spans="1:14">
      <c r="A95" s="218">
        <v>2000</v>
      </c>
      <c r="B95" s="197">
        <f>'H2 a freight tonnes'!D53</f>
        <v>158.5</v>
      </c>
      <c r="D95" s="197"/>
      <c r="E95" s="197">
        <f>'H2 a freight tonnes'!G53</f>
        <v>24.68</v>
      </c>
      <c r="F95" s="197"/>
      <c r="H95" s="209">
        <v>2000</v>
      </c>
      <c r="J95" s="197">
        <f>'H2 a freight tonnes'!I53</f>
        <v>28.149000000000001</v>
      </c>
      <c r="K95" s="197">
        <f>'H2 a freight tonnes'!H53</f>
        <v>12.24</v>
      </c>
      <c r="L95" s="197">
        <f>'H2 a freight tonnes'!E53</f>
        <v>8.25</v>
      </c>
      <c r="M95" s="197"/>
      <c r="N95" s="197">
        <f>'H2 a freight tonnes'!G53</f>
        <v>24.68</v>
      </c>
    </row>
    <row r="96" spans="1:14">
      <c r="A96" s="218">
        <v>2001</v>
      </c>
      <c r="B96" s="197">
        <f>'H2 a freight tonnes'!D54</f>
        <v>150.80000000000001</v>
      </c>
      <c r="D96" s="197"/>
      <c r="E96" s="197">
        <f>'H2 a freight tonnes'!G54</f>
        <v>20.6</v>
      </c>
      <c r="F96" s="197"/>
      <c r="H96" s="209">
        <v>2001</v>
      </c>
      <c r="J96" s="197">
        <f>'H2 a freight tonnes'!I54</f>
        <v>28.132000000000001</v>
      </c>
      <c r="K96" s="197">
        <f>'H2 a freight tonnes'!H54</f>
        <v>11.41</v>
      </c>
      <c r="L96" s="197">
        <f>'H2 a freight tonnes'!E54</f>
        <v>9.5701609999999988</v>
      </c>
      <c r="M96" s="197"/>
      <c r="N96" s="197">
        <f>'H2 a freight tonnes'!G54</f>
        <v>20.6</v>
      </c>
    </row>
    <row r="97" spans="1:14">
      <c r="A97" s="218">
        <v>2002</v>
      </c>
      <c r="B97" s="197">
        <f>'H2 a freight tonnes'!D55</f>
        <v>154.4</v>
      </c>
      <c r="D97" s="197"/>
      <c r="E97" s="197">
        <f>'H2 a freight tonnes'!G55</f>
        <v>19.2</v>
      </c>
      <c r="F97" s="197"/>
      <c r="H97" s="209">
        <v>2002</v>
      </c>
      <c r="J97" s="197">
        <f>'H2 a freight tonnes'!I55</f>
        <v>28.042000000000002</v>
      </c>
      <c r="K97" s="197">
        <f>'H2 a freight tonnes'!H55</f>
        <v>10.01</v>
      </c>
      <c r="L97" s="197">
        <f>'H2 a freight tonnes'!E55</f>
        <v>9.1199959999999987</v>
      </c>
      <c r="M97" s="197"/>
      <c r="N97" s="197">
        <f>'H2 a freight tonnes'!G55</f>
        <v>19.2</v>
      </c>
    </row>
    <row r="98" spans="1:14">
      <c r="A98" s="218">
        <v>2003</v>
      </c>
      <c r="B98" s="197">
        <f>'H2 a freight tonnes'!D56</f>
        <v>153.4</v>
      </c>
      <c r="D98" s="197"/>
      <c r="E98" s="197">
        <f>'H2 a freight tonnes'!G56</f>
        <v>19.510000000000002</v>
      </c>
      <c r="F98" s="197"/>
      <c r="H98" s="209">
        <v>2003</v>
      </c>
      <c r="J98" s="197">
        <f>'H2 a freight tonnes'!I56</f>
        <v>27.701000000000001</v>
      </c>
      <c r="K98" s="197">
        <f>'H2 a freight tonnes'!H56</f>
        <v>10.06</v>
      </c>
      <c r="L98" s="197">
        <f>'H2 a freight tonnes'!E56</f>
        <v>8.3285319999999992</v>
      </c>
      <c r="N98" s="197">
        <f>'H2 a freight tonnes'!G56</f>
        <v>19.510000000000002</v>
      </c>
    </row>
    <row r="99" spans="1:14">
      <c r="A99" s="218">
        <v>2004</v>
      </c>
      <c r="B99" s="197"/>
      <c r="C99" s="197">
        <f>'H2 a freight tonnes'!D57</f>
        <v>173.7</v>
      </c>
      <c r="D99" s="219"/>
      <c r="E99" s="197">
        <f>'H2 a freight tonnes'!G57</f>
        <v>20.49</v>
      </c>
      <c r="H99" s="209">
        <v>2004</v>
      </c>
      <c r="J99" s="197">
        <f>'H2 a freight tonnes'!I57</f>
        <v>27.649038999999998</v>
      </c>
      <c r="K99" s="197">
        <f>'H2 a freight tonnes'!H57</f>
        <v>9.9700000000000006</v>
      </c>
      <c r="L99" s="197">
        <f>'H2 a freight tonnes'!E57</f>
        <v>11.25</v>
      </c>
      <c r="N99" s="197">
        <f>'H2 a freight tonnes'!G57</f>
        <v>20.49</v>
      </c>
    </row>
    <row r="100" spans="1:14">
      <c r="A100" s="218">
        <v>2005</v>
      </c>
      <c r="B100" s="197"/>
      <c r="C100" s="197">
        <f>'H2 a freight tonnes'!D58</f>
        <v>165.6</v>
      </c>
      <c r="D100" s="219"/>
      <c r="E100" s="197">
        <f>'H2 a freight tonnes'!G58</f>
        <v>25.531185557834668</v>
      </c>
      <c r="H100" s="209">
        <v>2005</v>
      </c>
      <c r="J100" s="197">
        <f>'H2 a freight tonnes'!I58</f>
        <v>27.6</v>
      </c>
      <c r="K100" s="197">
        <f>'H2 a freight tonnes'!H58</f>
        <v>10.193762099703264</v>
      </c>
      <c r="L100" s="197">
        <f>'H2 a freight tonnes'!E58</f>
        <v>14.31</v>
      </c>
      <c r="N100" s="197">
        <f>'H2 a freight tonnes'!G58</f>
        <v>25.531185557834668</v>
      </c>
    </row>
    <row r="101" spans="1:14">
      <c r="A101" s="218">
        <v>2006</v>
      </c>
      <c r="B101" s="219"/>
      <c r="C101" s="197">
        <f>'H2 a freight tonnes'!D59</f>
        <v>170.03526122401001</v>
      </c>
      <c r="E101" s="197">
        <f>'H2 a freight tonnes'!G59</f>
        <v>20.58</v>
      </c>
      <c r="H101" s="209">
        <v>2006</v>
      </c>
      <c r="J101" s="197">
        <f>'H2 a freight tonnes'!I59</f>
        <v>27.8</v>
      </c>
      <c r="K101" s="197">
        <f>'H2 a freight tonnes'!H59</f>
        <v>10.16</v>
      </c>
      <c r="L101" s="197">
        <f>'H2 a freight tonnes'!E59</f>
        <v>12.96</v>
      </c>
      <c r="N101" s="197">
        <f>'H2 a freight tonnes'!G59</f>
        <v>20.58</v>
      </c>
    </row>
    <row r="102" spans="1:14">
      <c r="A102" s="218">
        <v>2007</v>
      </c>
      <c r="B102" s="219"/>
      <c r="C102" s="197">
        <f>'H2 a freight tonnes'!D60</f>
        <v>176.82849159656521</v>
      </c>
      <c r="E102" s="197">
        <f>'H2 a freight tonnes'!G60</f>
        <v>22.79</v>
      </c>
      <c r="H102" s="209">
        <v>2007</v>
      </c>
      <c r="J102" s="197">
        <f>'H2 a freight tonnes'!I60</f>
        <v>27.5</v>
      </c>
      <c r="K102" s="197">
        <f>'H2 a freight tonnes'!H60</f>
        <v>10.5</v>
      </c>
      <c r="L102" s="197">
        <f>'H2 a freight tonnes'!E60</f>
        <v>11.35</v>
      </c>
      <c r="N102" s="197">
        <f>'H2 a freight tonnes'!G60</f>
        <v>22.79</v>
      </c>
    </row>
    <row r="103" spans="1:14">
      <c r="A103" s="218">
        <v>2008</v>
      </c>
      <c r="B103" s="219"/>
      <c r="C103" s="197">
        <f>'H2 a freight tonnes'!D61</f>
        <v>157.03148290364607</v>
      </c>
      <c r="E103" s="197">
        <f>'H2 a freight tonnes'!G61</f>
        <v>23.28</v>
      </c>
      <c r="H103" s="209">
        <v>2008</v>
      </c>
      <c r="J103" s="197">
        <f>'H2 a freight tonnes'!I61</f>
        <v>27.6</v>
      </c>
      <c r="K103" s="197">
        <f>'H2 a freight tonnes'!H61</f>
        <v>12.19</v>
      </c>
      <c r="L103" s="197">
        <f>'H2 a freight tonnes'!E61</f>
        <v>10.36</v>
      </c>
      <c r="N103" s="197">
        <f>'H2 a freight tonnes'!G61</f>
        <v>23.28</v>
      </c>
    </row>
    <row r="104" spans="1:14">
      <c r="A104" s="218">
        <v>2009</v>
      </c>
      <c r="C104" s="197">
        <f>'H2 a freight tonnes'!D62</f>
        <v>131.92345982339137</v>
      </c>
      <c r="E104" s="197">
        <f>'H2 a freight tonnes'!G62</f>
        <v>19.84</v>
      </c>
      <c r="H104" s="209">
        <v>2009</v>
      </c>
      <c r="J104" s="197">
        <f>'H2 a freight tonnes'!I62</f>
        <v>27.6</v>
      </c>
      <c r="K104" s="197">
        <f>'H2 a freight tonnes'!H62</f>
        <v>10.1</v>
      </c>
      <c r="L104" s="197">
        <f>'H2 a freight tonnes'!E62</f>
        <v>9.69</v>
      </c>
      <c r="N104" s="197">
        <f>'H2 a freight tonnes'!G62</f>
        <v>19.84</v>
      </c>
    </row>
    <row r="105" spans="1:14">
      <c r="A105" s="218">
        <v>2010</v>
      </c>
      <c r="C105" s="197">
        <f>'H2 a freight tonnes'!D63</f>
        <v>131.93396436893246</v>
      </c>
      <c r="E105" s="197">
        <f>'H2 a freight tonnes'!G63</f>
        <v>17.95</v>
      </c>
      <c r="H105" s="209">
        <v>2010</v>
      </c>
      <c r="J105" s="197">
        <f>'H2 a freight tonnes'!I63</f>
        <v>27.6</v>
      </c>
      <c r="K105" s="197">
        <f>'H2 a freight tonnes'!H63</f>
        <v>10.89</v>
      </c>
      <c r="L105" s="197">
        <f>'H2 a freight tonnes'!E63</f>
        <v>8.33</v>
      </c>
      <c r="N105" s="197">
        <f>'H2 a freight tonnes'!G63</f>
        <v>17.95</v>
      </c>
    </row>
    <row r="106" spans="1:14">
      <c r="A106" s="218">
        <v>2011</v>
      </c>
      <c r="C106" s="371">
        <f>'H2 a freight tonnes'!D64</f>
        <v>144.19999999999999</v>
      </c>
      <c r="E106" s="197">
        <f>'H2 a freight tonnes'!G64</f>
        <v>16.329999999999998</v>
      </c>
      <c r="H106" s="209">
        <v>2011</v>
      </c>
      <c r="J106" s="197">
        <f>'H2 a freight tonnes'!I64</f>
        <v>27.8</v>
      </c>
      <c r="K106" s="197">
        <f>'H2 a freight tonnes'!H64</f>
        <v>10.7</v>
      </c>
      <c r="L106" s="197">
        <f>'H2 a freight tonnes'!E64</f>
        <v>9.8699999999999992</v>
      </c>
      <c r="N106" s="197">
        <f>'H2 a freight tonnes'!G64</f>
        <v>16.329999999999998</v>
      </c>
    </row>
    <row r="107" spans="1:14">
      <c r="A107" s="218">
        <v>2012</v>
      </c>
      <c r="C107" s="371">
        <f>'H2 a freight tonnes'!D65</f>
        <v>150.6</v>
      </c>
      <c r="E107" s="197">
        <f>'H2 a freight tonnes'!G65</f>
        <v>12.54</v>
      </c>
      <c r="H107" s="209">
        <v>2012</v>
      </c>
      <c r="J107" s="197">
        <f>'H2 a freight tonnes'!I65</f>
        <v>28.2</v>
      </c>
      <c r="K107" s="197">
        <f>'H2 a freight tonnes'!H65</f>
        <v>10.79</v>
      </c>
      <c r="L107" s="197">
        <f>'H2 a freight tonnes'!E65</f>
        <v>8.43</v>
      </c>
      <c r="N107" s="197">
        <f>'H2 a freight tonnes'!G65</f>
        <v>12.54</v>
      </c>
    </row>
    <row r="108" spans="1:14">
      <c r="A108" s="218">
        <v>2013</v>
      </c>
      <c r="C108" s="371">
        <f>'H2 a freight tonnes'!D66</f>
        <v>135.80000000000001</v>
      </c>
      <c r="E108" s="371">
        <f>'H2 a freight tonnes'!G66</f>
        <v>11.39</v>
      </c>
      <c r="H108" s="209">
        <v>2013</v>
      </c>
      <c r="J108" s="371" t="str">
        <f>'H2 a freight tonnes'!I66</f>
        <v>..</v>
      </c>
      <c r="K108" s="371">
        <f>'H2 a freight tonnes'!H66</f>
        <v>10.69</v>
      </c>
      <c r="L108" s="197" t="str">
        <f>'H2 a freight tonnes'!E66</f>
        <v>..</v>
      </c>
      <c r="N108" s="371">
        <f>'H2 a freight tonnes'!G66</f>
        <v>11.39</v>
      </c>
    </row>
    <row r="109" spans="1:14">
      <c r="A109" s="218">
        <v>2014</v>
      </c>
      <c r="C109" s="371">
        <f>'H2 a freight tonnes'!D67</f>
        <v>137.6</v>
      </c>
      <c r="E109" s="371">
        <f>'H2 a freight tonnes'!G67</f>
        <v>11.81</v>
      </c>
      <c r="H109" s="209">
        <v>2014</v>
      </c>
      <c r="J109" s="371" t="str">
        <f>'H2 a freight tonnes'!I67</f>
        <v>..</v>
      </c>
      <c r="K109" s="371">
        <f>'H2 a freight tonnes'!H67</f>
        <v>9.41</v>
      </c>
      <c r="N109" s="371">
        <f>'H2 a freight tonnes'!G67</f>
        <v>11.81</v>
      </c>
    </row>
  </sheetData>
  <phoneticPr fontId="3" type="noConversion"/>
  <pageMargins left="0.75" right="0.75" top="1" bottom="1" header="0.5" footer="0.5"/>
  <pageSetup paperSize="9" scale="38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96"/>
  <sheetViews>
    <sheetView zoomScale="70" zoomScaleNormal="70" workbookViewId="0">
      <selection activeCell="W50" sqref="W50"/>
    </sheetView>
  </sheetViews>
  <sheetFormatPr defaultColWidth="11.42578125" defaultRowHeight="15"/>
  <cols>
    <col min="1" max="1" width="20" style="9" customWidth="1"/>
    <col min="2" max="2" width="5.85546875" style="9" customWidth="1"/>
    <col min="3" max="3" width="30.85546875" style="9" customWidth="1"/>
    <col min="4" max="4" width="15.28515625" style="9" customWidth="1"/>
    <col min="5" max="8" width="8.7109375" style="9" hidden="1" customWidth="1"/>
    <col min="9" max="9" width="8.7109375" style="9" customWidth="1"/>
    <col min="10" max="10" width="9.5703125" style="9" customWidth="1"/>
    <col min="11" max="11" width="8.140625" style="9" customWidth="1"/>
    <col min="12" max="12" width="8.28515625" style="9" customWidth="1"/>
    <col min="13" max="14" width="11.42578125" style="9" customWidth="1"/>
    <col min="15" max="15" width="9.85546875" style="9" customWidth="1"/>
    <col min="16" max="16" width="10.42578125" style="9" customWidth="1"/>
    <col min="17" max="17" width="10.7109375" style="9" customWidth="1"/>
    <col min="18" max="18" width="10.140625" style="9" customWidth="1"/>
    <col min="19" max="16384" width="11.42578125" style="9"/>
  </cols>
  <sheetData>
    <row r="1" spans="1:20">
      <c r="A1" s="13" t="s">
        <v>317</v>
      </c>
    </row>
    <row r="2" spans="1:20" ht="3" customHeight="1">
      <c r="A2" s="13"/>
    </row>
    <row r="3" spans="1:20">
      <c r="A3" s="239" t="s">
        <v>318</v>
      </c>
    </row>
    <row r="5" spans="1:20" ht="15.75">
      <c r="A5" s="240" t="s">
        <v>319</v>
      </c>
      <c r="E5" s="13">
        <v>1999</v>
      </c>
      <c r="F5" s="13">
        <v>2000</v>
      </c>
      <c r="G5" s="13">
        <v>2001</v>
      </c>
      <c r="H5" s="13">
        <v>2002</v>
      </c>
      <c r="I5" s="13">
        <v>2003</v>
      </c>
      <c r="J5" s="13">
        <v>2004</v>
      </c>
      <c r="K5" s="13">
        <v>2005</v>
      </c>
      <c r="L5" s="13">
        <v>2006</v>
      </c>
      <c r="M5" s="13">
        <v>2007</v>
      </c>
      <c r="N5" s="13">
        <v>2008</v>
      </c>
      <c r="O5" s="13">
        <v>2009</v>
      </c>
      <c r="P5" s="13">
        <v>2010</v>
      </c>
      <c r="Q5" s="13">
        <v>2011</v>
      </c>
      <c r="R5" s="13">
        <v>2012</v>
      </c>
      <c r="S5" s="13">
        <v>2013</v>
      </c>
      <c r="T5" s="13">
        <v>2014</v>
      </c>
    </row>
    <row r="6" spans="1:20" ht="6" customHeight="1"/>
    <row r="7" spans="1:20">
      <c r="A7" s="241" t="s">
        <v>102</v>
      </c>
    </row>
    <row r="8" spans="1:20">
      <c r="A8" s="2" t="s">
        <v>321</v>
      </c>
      <c r="B8" s="9" t="s">
        <v>320</v>
      </c>
      <c r="D8" s="9" t="s">
        <v>5</v>
      </c>
      <c r="E8" s="242">
        <v>2.7469999999999999</v>
      </c>
      <c r="F8" s="242">
        <v>2.4910000000000001</v>
      </c>
      <c r="G8" s="242">
        <v>2.6459999999999999</v>
      </c>
      <c r="H8" s="242">
        <v>2.4380000000000002</v>
      </c>
      <c r="I8" s="242">
        <v>2.5129999999999999</v>
      </c>
      <c r="J8" s="242">
        <v>2.4540000000000002</v>
      </c>
      <c r="K8" s="242">
        <v>2.6</v>
      </c>
      <c r="L8" s="243">
        <v>2.7872789999999998</v>
      </c>
      <c r="M8" s="243">
        <v>2.9161029999999997</v>
      </c>
      <c r="N8" s="243">
        <v>3.0645146437300039</v>
      </c>
      <c r="O8" s="243">
        <v>3.3205910948800001</v>
      </c>
      <c r="P8" s="243">
        <v>3.666655886950001</v>
      </c>
      <c r="Q8" s="295">
        <v>3.7953920000000005</v>
      </c>
      <c r="R8" s="295">
        <v>3.871464</v>
      </c>
      <c r="S8" s="679">
        <v>3.9883299999999999</v>
      </c>
    </row>
    <row r="9" spans="1:20">
      <c r="A9" s="2" t="s">
        <v>384</v>
      </c>
      <c r="B9" s="9" t="s">
        <v>322</v>
      </c>
      <c r="D9" s="9" t="s">
        <v>5</v>
      </c>
      <c r="E9" s="242">
        <v>2.7290000000000001</v>
      </c>
      <c r="F9" s="242">
        <v>2.4780000000000002</v>
      </c>
      <c r="G9" s="242">
        <v>2.6269999999999998</v>
      </c>
      <c r="H9" s="242">
        <v>2.4159999999999999</v>
      </c>
      <c r="I9" s="242">
        <v>2.4940000000000002</v>
      </c>
      <c r="J9" s="242">
        <v>2.4262870000000003</v>
      </c>
      <c r="K9" s="242">
        <v>2.6</v>
      </c>
      <c r="L9" s="243">
        <v>2.7886199999999999</v>
      </c>
      <c r="M9" s="243">
        <v>2.8915959999999998</v>
      </c>
      <c r="N9" s="243">
        <v>3.0645147037299862</v>
      </c>
      <c r="O9" s="243">
        <v>3.320591094880029</v>
      </c>
      <c r="P9" s="243">
        <v>3.666655886950001</v>
      </c>
      <c r="Q9" s="296">
        <v>3.7953920000000005</v>
      </c>
      <c r="R9" s="296">
        <v>3.871464</v>
      </c>
      <c r="S9" s="679">
        <v>3.9883299999999999</v>
      </c>
    </row>
    <row r="10" spans="1:20">
      <c r="B10" s="9" t="s">
        <v>323</v>
      </c>
      <c r="D10" s="9" t="s">
        <v>5</v>
      </c>
      <c r="E10" s="244">
        <f t="shared" ref="E10:S10" si="0">E8+E9</f>
        <v>5.476</v>
      </c>
      <c r="F10" s="244">
        <f t="shared" si="0"/>
        <v>4.9690000000000003</v>
      </c>
      <c r="G10" s="244">
        <f t="shared" si="0"/>
        <v>5.2729999999999997</v>
      </c>
      <c r="H10" s="244">
        <f t="shared" si="0"/>
        <v>4.8540000000000001</v>
      </c>
      <c r="I10" s="244">
        <f t="shared" si="0"/>
        <v>5.0069999999999997</v>
      </c>
      <c r="J10" s="244">
        <f t="shared" si="0"/>
        <v>4.8802870000000009</v>
      </c>
      <c r="K10" s="244">
        <f t="shared" si="0"/>
        <v>5.2</v>
      </c>
      <c r="L10" s="244">
        <f t="shared" si="0"/>
        <v>5.5758989999999997</v>
      </c>
      <c r="M10" s="244">
        <f t="shared" si="0"/>
        <v>5.8076989999999995</v>
      </c>
      <c r="N10" s="244">
        <f t="shared" si="0"/>
        <v>6.1290293474599906</v>
      </c>
      <c r="O10" s="244">
        <f t="shared" si="0"/>
        <v>6.6411821897600287</v>
      </c>
      <c r="P10" s="244">
        <f t="shared" si="0"/>
        <v>7.333311773900002</v>
      </c>
      <c r="Q10" s="244">
        <f t="shared" si="0"/>
        <v>7.5907840000000011</v>
      </c>
      <c r="R10" s="244">
        <f t="shared" si="0"/>
        <v>7.742928</v>
      </c>
      <c r="S10" s="244">
        <f t="shared" si="0"/>
        <v>7.9766599999999999</v>
      </c>
    </row>
    <row r="11" spans="1:20" ht="6" customHeight="1"/>
    <row r="12" spans="1:20">
      <c r="A12" s="241" t="s">
        <v>103</v>
      </c>
    </row>
    <row r="13" spans="1:20">
      <c r="A13" s="9" t="s">
        <v>324</v>
      </c>
      <c r="B13" s="9" t="s">
        <v>325</v>
      </c>
      <c r="D13" s="9" t="s">
        <v>3</v>
      </c>
      <c r="E13" s="245">
        <v>9079</v>
      </c>
      <c r="F13" s="245">
        <v>9508</v>
      </c>
      <c r="G13" s="245">
        <v>10213</v>
      </c>
      <c r="H13" s="245">
        <v>11513</v>
      </c>
      <c r="I13" s="245">
        <v>12384.663</v>
      </c>
      <c r="J13" s="245">
        <v>12876.352999999999</v>
      </c>
      <c r="K13" s="245">
        <v>13161.129000000001</v>
      </c>
      <c r="L13" s="245">
        <v>12961.695</v>
      </c>
      <c r="M13" s="245">
        <v>12873.272999999999</v>
      </c>
      <c r="N13" s="245">
        <v>12067.626</v>
      </c>
      <c r="O13" s="245">
        <v>10889.736000000001</v>
      </c>
      <c r="P13" s="245">
        <v>9829.8240000000005</v>
      </c>
      <c r="Q13" s="245">
        <v>10120.880999999999</v>
      </c>
      <c r="R13" s="245">
        <v>10051.195</v>
      </c>
      <c r="S13" s="245">
        <v>10304.102999999999</v>
      </c>
      <c r="T13" s="245">
        <v>10565.861000000001</v>
      </c>
    </row>
    <row r="14" spans="1:20" ht="6" customHeight="1"/>
    <row r="15" spans="1:20">
      <c r="A15" s="9" t="s">
        <v>324</v>
      </c>
      <c r="B15" s="9" t="s">
        <v>326</v>
      </c>
    </row>
    <row r="16" spans="1:20">
      <c r="C16" s="9" t="s">
        <v>327</v>
      </c>
      <c r="D16" s="9" t="s">
        <v>3</v>
      </c>
      <c r="E16" s="245">
        <v>627</v>
      </c>
      <c r="F16" s="245">
        <v>659</v>
      </c>
      <c r="G16" s="245">
        <v>852</v>
      </c>
      <c r="H16" s="245">
        <v>1009</v>
      </c>
      <c r="I16" s="245">
        <v>946.73599999999999</v>
      </c>
      <c r="J16" s="245">
        <v>994.93100000000004</v>
      </c>
      <c r="K16" s="245">
        <v>1024.691</v>
      </c>
      <c r="L16" s="245">
        <v>1124.4849999999999</v>
      </c>
      <c r="M16" s="245">
        <v>1156.77</v>
      </c>
      <c r="N16" s="245">
        <v>1195.1020000000001</v>
      </c>
      <c r="O16" s="245">
        <v>1019.543</v>
      </c>
      <c r="P16" s="245">
        <v>849.41600000000005</v>
      </c>
      <c r="Q16" s="245">
        <v>852.85299999999995</v>
      </c>
      <c r="R16" s="245">
        <v>816.58199999999999</v>
      </c>
      <c r="S16" s="245">
        <v>843.94500000000005</v>
      </c>
      <c r="T16" s="245">
        <v>958.21400000000006</v>
      </c>
    </row>
    <row r="17" spans="1:23">
      <c r="C17" s="9" t="s">
        <v>328</v>
      </c>
      <c r="D17" s="9" t="s">
        <v>3</v>
      </c>
      <c r="E17" s="245">
        <v>4102</v>
      </c>
      <c r="F17" s="245">
        <v>4415</v>
      </c>
      <c r="G17" s="245">
        <v>4716</v>
      </c>
      <c r="H17" s="245">
        <v>4993</v>
      </c>
      <c r="I17" s="245">
        <v>5608.4629999999997</v>
      </c>
      <c r="J17" s="245">
        <v>6233.7610000000004</v>
      </c>
      <c r="K17" s="245">
        <v>7009.2380000000003</v>
      </c>
      <c r="L17" s="245">
        <v>7437.3620000000001</v>
      </c>
      <c r="M17" s="245">
        <v>8039.3429999999998</v>
      </c>
      <c r="N17" s="245">
        <v>8098.1480000000001</v>
      </c>
      <c r="O17" s="245">
        <v>7681.9989999999998</v>
      </c>
      <c r="P17" s="245">
        <v>7396.8519999999999</v>
      </c>
      <c r="Q17" s="245">
        <v>8203.7800000000007</v>
      </c>
      <c r="R17" s="245">
        <v>8434.8150000000005</v>
      </c>
      <c r="S17" s="245">
        <v>8974.2170000000006</v>
      </c>
      <c r="T17" s="245">
        <v>9087.9629999999997</v>
      </c>
    </row>
    <row r="18" spans="1:23">
      <c r="C18" s="9" t="s">
        <v>329</v>
      </c>
      <c r="D18" s="9" t="s">
        <v>3</v>
      </c>
      <c r="E18" s="245">
        <v>508</v>
      </c>
      <c r="F18" s="245">
        <v>492</v>
      </c>
      <c r="G18" s="245">
        <v>459</v>
      </c>
      <c r="H18" s="245">
        <v>418</v>
      </c>
      <c r="I18" s="245">
        <v>395.15899999999999</v>
      </c>
      <c r="J18" s="245">
        <v>594.72400000000005</v>
      </c>
      <c r="K18" s="245">
        <v>657.13699999999994</v>
      </c>
      <c r="L18" s="245">
        <v>749.51099999999997</v>
      </c>
      <c r="M18" s="245">
        <v>777.31100000000004</v>
      </c>
      <c r="N18" s="245">
        <v>644.64499999999998</v>
      </c>
      <c r="O18" s="245">
        <v>567.86</v>
      </c>
      <c r="P18" s="245">
        <v>476.06099999999998</v>
      </c>
      <c r="Q18" s="245">
        <v>523.74900000000002</v>
      </c>
      <c r="R18" s="245">
        <v>485.41199999999998</v>
      </c>
      <c r="S18" s="245">
        <v>473.07499999999999</v>
      </c>
      <c r="T18" s="245">
        <v>559.15700000000004</v>
      </c>
    </row>
    <row r="19" spans="1:23">
      <c r="C19" s="9" t="s">
        <v>330</v>
      </c>
      <c r="D19" s="9" t="s">
        <v>3</v>
      </c>
      <c r="E19" s="246">
        <v>190</v>
      </c>
      <c r="F19" s="245">
        <v>195</v>
      </c>
      <c r="G19" s="245">
        <v>211</v>
      </c>
      <c r="H19" s="245">
        <v>205</v>
      </c>
      <c r="I19" s="245">
        <v>184.267</v>
      </c>
      <c r="J19" s="245">
        <v>300.59199999999998</v>
      </c>
      <c r="K19" s="245">
        <v>283.22899999999998</v>
      </c>
      <c r="L19" s="245">
        <v>359.42599999999999</v>
      </c>
      <c r="M19" s="245">
        <v>381.38299999999998</v>
      </c>
      <c r="N19" s="245">
        <v>414.54199999999997</v>
      </c>
      <c r="O19" s="245">
        <v>470.50299999999999</v>
      </c>
      <c r="P19" s="245">
        <v>546.69399999999996</v>
      </c>
      <c r="Q19" s="245">
        <v>481.75700000000001</v>
      </c>
      <c r="R19" s="245">
        <v>476.84899999999999</v>
      </c>
      <c r="S19" s="245">
        <v>567.76400000000001</v>
      </c>
      <c r="T19" s="245">
        <v>641.24800000000005</v>
      </c>
    </row>
    <row r="20" spans="1:23">
      <c r="C20" s="9" t="s">
        <v>331</v>
      </c>
      <c r="D20" s="9" t="s">
        <v>3</v>
      </c>
      <c r="E20" s="247">
        <f t="shared" ref="E20:Q20" si="1">E16+E17+E18+E19</f>
        <v>5427</v>
      </c>
      <c r="F20" s="247">
        <f t="shared" si="1"/>
        <v>5761</v>
      </c>
      <c r="G20" s="247">
        <f t="shared" si="1"/>
        <v>6238</v>
      </c>
      <c r="H20" s="247">
        <f t="shared" si="1"/>
        <v>6625</v>
      </c>
      <c r="I20" s="248">
        <f t="shared" si="1"/>
        <v>7134.6249999999991</v>
      </c>
      <c r="J20" s="248">
        <f t="shared" si="1"/>
        <v>8124.0080000000007</v>
      </c>
      <c r="K20" s="248">
        <f t="shared" si="1"/>
        <v>8974.2950000000001</v>
      </c>
      <c r="L20" s="248">
        <f t="shared" si="1"/>
        <v>9670.7839999999997</v>
      </c>
      <c r="M20" s="248">
        <f t="shared" si="1"/>
        <v>10354.806999999999</v>
      </c>
      <c r="N20" s="248">
        <f t="shared" si="1"/>
        <v>10352.437</v>
      </c>
      <c r="O20" s="248">
        <f t="shared" si="1"/>
        <v>9739.9050000000007</v>
      </c>
      <c r="P20" s="248">
        <f t="shared" si="1"/>
        <v>9269.0229999999992</v>
      </c>
      <c r="Q20" s="248">
        <f t="shared" si="1"/>
        <v>10062.138999999999</v>
      </c>
      <c r="R20" s="248">
        <f>R16+R17+R18+R19</f>
        <v>10213.658000000001</v>
      </c>
      <c r="S20" s="248">
        <f>S16+S17+S18+S19</f>
        <v>10859.001</v>
      </c>
      <c r="T20" s="248">
        <f>T16+T17+T18+T19</f>
        <v>11246.581999999999</v>
      </c>
    </row>
    <row r="21" spans="1:23" ht="6" customHeight="1"/>
    <row r="22" spans="1:23">
      <c r="A22" s="9" t="s">
        <v>332</v>
      </c>
      <c r="D22" s="9" t="s">
        <v>3</v>
      </c>
      <c r="E22" s="247">
        <f t="shared" ref="E22:P22" si="2">E13+E20</f>
        <v>14506</v>
      </c>
      <c r="F22" s="247">
        <f t="shared" si="2"/>
        <v>15269</v>
      </c>
      <c r="G22" s="247">
        <f t="shared" si="2"/>
        <v>16451</v>
      </c>
      <c r="H22" s="247">
        <f t="shared" si="2"/>
        <v>18138</v>
      </c>
      <c r="I22" s="248">
        <f t="shared" si="2"/>
        <v>19519.288</v>
      </c>
      <c r="J22" s="248">
        <f t="shared" si="2"/>
        <v>21000.361000000001</v>
      </c>
      <c r="K22" s="248">
        <f t="shared" si="2"/>
        <v>22135.423999999999</v>
      </c>
      <c r="L22" s="248">
        <f t="shared" si="2"/>
        <v>22632.478999999999</v>
      </c>
      <c r="M22" s="248">
        <f t="shared" si="2"/>
        <v>23228.079999999998</v>
      </c>
      <c r="N22" s="248">
        <f t="shared" si="2"/>
        <v>22420.063000000002</v>
      </c>
      <c r="O22" s="248">
        <f t="shared" si="2"/>
        <v>20629.641000000003</v>
      </c>
      <c r="P22" s="248">
        <f t="shared" si="2"/>
        <v>19098.847000000002</v>
      </c>
      <c r="Q22" s="248">
        <f>Q13+Q20</f>
        <v>20183.019999999997</v>
      </c>
      <c r="R22" s="248">
        <f>R13+R20</f>
        <v>20264.853000000003</v>
      </c>
      <c r="S22" s="248">
        <f>S13+S20</f>
        <v>21163.103999999999</v>
      </c>
      <c r="T22" s="248">
        <f>T13+T20</f>
        <v>21812.442999999999</v>
      </c>
    </row>
    <row r="23" spans="1:23" ht="6" customHeight="1"/>
    <row r="24" spans="1:23">
      <c r="A24" s="241" t="s">
        <v>104</v>
      </c>
    </row>
    <row r="25" spans="1:23">
      <c r="A25" s="9" t="s">
        <v>386</v>
      </c>
      <c r="B25" s="9" t="s">
        <v>333</v>
      </c>
      <c r="D25" s="9" t="s">
        <v>3</v>
      </c>
      <c r="E25" s="663">
        <v>2621</v>
      </c>
      <c r="F25" s="663">
        <v>2470</v>
      </c>
      <c r="G25" s="663">
        <v>2326</v>
      </c>
      <c r="H25" s="664">
        <v>2284</v>
      </c>
      <c r="I25" s="664">
        <v>2430</v>
      </c>
      <c r="J25" s="664">
        <v>2337</v>
      </c>
      <c r="K25" s="664">
        <v>2051</v>
      </c>
      <c r="L25" s="664">
        <v>2015</v>
      </c>
      <c r="M25" s="664">
        <v>2094</v>
      </c>
      <c r="N25" s="664">
        <v>1938</v>
      </c>
      <c r="O25" s="664">
        <v>1916</v>
      </c>
      <c r="P25" s="664">
        <v>1920</v>
      </c>
      <c r="Q25" s="664">
        <v>1857.7449999999999</v>
      </c>
      <c r="R25" s="664">
        <v>1809.415</v>
      </c>
      <c r="S25" s="664">
        <v>1831</v>
      </c>
      <c r="T25" s="664">
        <v>1794.16</v>
      </c>
    </row>
    <row r="26" spans="1:23" ht="6" customHeight="1">
      <c r="N26" s="23"/>
      <c r="O26" s="23"/>
      <c r="P26" s="23"/>
      <c r="Q26" s="23"/>
    </row>
    <row r="27" spans="1:23">
      <c r="A27" s="9" t="s">
        <v>334</v>
      </c>
      <c r="D27" s="9" t="s">
        <v>3</v>
      </c>
      <c r="E27" s="9">
        <v>6</v>
      </c>
      <c r="F27" s="9">
        <v>5.681</v>
      </c>
      <c r="G27" s="9">
        <v>6.1050000000000004</v>
      </c>
      <c r="H27" s="249">
        <v>111.875</v>
      </c>
      <c r="I27" s="249">
        <v>207.58699999999999</v>
      </c>
      <c r="J27" s="249">
        <v>207</v>
      </c>
      <c r="K27" s="249">
        <v>194.32300000000001</v>
      </c>
      <c r="L27" s="249">
        <v>121</v>
      </c>
      <c r="M27" s="249">
        <v>111</v>
      </c>
      <c r="N27" s="250">
        <v>75</v>
      </c>
      <c r="O27" s="251">
        <v>31</v>
      </c>
      <c r="P27" s="251">
        <v>54.015999999999998</v>
      </c>
      <c r="Q27" s="694">
        <v>0.56299999999999994</v>
      </c>
      <c r="R27" s="694">
        <v>0.70599999999999996</v>
      </c>
      <c r="S27" s="694">
        <v>0.68600000000000005</v>
      </c>
      <c r="T27" s="695">
        <v>0.67300000000000004</v>
      </c>
      <c r="U27" s="249"/>
      <c r="V27" s="249"/>
      <c r="W27" s="249"/>
    </row>
    <row r="28" spans="1:23" ht="6" customHeight="1"/>
    <row r="29" spans="1:23">
      <c r="A29" s="9" t="s">
        <v>332</v>
      </c>
      <c r="D29" s="9" t="s">
        <v>3</v>
      </c>
      <c r="E29" s="247">
        <f t="shared" ref="E29:T29" si="3">E25+E27</f>
        <v>2627</v>
      </c>
      <c r="F29" s="247">
        <f t="shared" si="3"/>
        <v>2475.681</v>
      </c>
      <c r="G29" s="247">
        <f t="shared" si="3"/>
        <v>2332.105</v>
      </c>
      <c r="H29" s="247">
        <f t="shared" si="3"/>
        <v>2395.875</v>
      </c>
      <c r="I29" s="247">
        <f t="shared" si="3"/>
        <v>2637.587</v>
      </c>
      <c r="J29" s="247">
        <f t="shared" si="3"/>
        <v>2544</v>
      </c>
      <c r="K29" s="247">
        <f t="shared" si="3"/>
        <v>2245.3229999999999</v>
      </c>
      <c r="L29" s="247">
        <f t="shared" si="3"/>
        <v>2136</v>
      </c>
      <c r="M29" s="247">
        <f t="shared" si="3"/>
        <v>2205</v>
      </c>
      <c r="N29" s="247">
        <f t="shared" si="3"/>
        <v>2013</v>
      </c>
      <c r="O29" s="247">
        <f t="shared" si="3"/>
        <v>1947</v>
      </c>
      <c r="P29" s="247">
        <f t="shared" si="3"/>
        <v>1974.0160000000001</v>
      </c>
      <c r="Q29" s="247">
        <f t="shared" si="3"/>
        <v>1858.308</v>
      </c>
      <c r="R29" s="247">
        <f t="shared" si="3"/>
        <v>1810.1209999999999</v>
      </c>
      <c r="S29" s="247">
        <f t="shared" si="3"/>
        <v>1831.6859999999999</v>
      </c>
      <c r="T29" s="247">
        <f t="shared" si="3"/>
        <v>1794.8330000000001</v>
      </c>
    </row>
    <row r="31" spans="1:23" ht="15.75">
      <c r="A31" s="240" t="s">
        <v>335</v>
      </c>
      <c r="E31" s="13">
        <f t="shared" ref="E31:T31" si="4">E5</f>
        <v>1999</v>
      </c>
      <c r="F31" s="13">
        <f t="shared" si="4"/>
        <v>2000</v>
      </c>
      <c r="G31" s="13">
        <f t="shared" si="4"/>
        <v>2001</v>
      </c>
      <c r="H31" s="13">
        <f t="shared" si="4"/>
        <v>2002</v>
      </c>
      <c r="I31" s="13">
        <f t="shared" si="4"/>
        <v>2003</v>
      </c>
      <c r="J31" s="13">
        <f t="shared" si="4"/>
        <v>2004</v>
      </c>
      <c r="K31" s="13">
        <f t="shared" si="4"/>
        <v>2005</v>
      </c>
      <c r="L31" s="13">
        <f t="shared" si="4"/>
        <v>2006</v>
      </c>
      <c r="M31" s="13">
        <f t="shared" si="4"/>
        <v>2007</v>
      </c>
      <c r="N31" s="13">
        <f t="shared" si="4"/>
        <v>2008</v>
      </c>
      <c r="O31" s="13">
        <f t="shared" si="4"/>
        <v>2009</v>
      </c>
      <c r="P31" s="13">
        <f t="shared" si="4"/>
        <v>2010</v>
      </c>
      <c r="Q31" s="13">
        <f t="shared" si="4"/>
        <v>2011</v>
      </c>
      <c r="R31" s="13">
        <f t="shared" si="4"/>
        <v>2012</v>
      </c>
      <c r="S31" s="13">
        <f t="shared" si="4"/>
        <v>2013</v>
      </c>
      <c r="T31" s="13">
        <f t="shared" si="4"/>
        <v>2014</v>
      </c>
    </row>
    <row r="32" spans="1:23" ht="6" customHeight="1"/>
    <row r="33" spans="1:20">
      <c r="A33" s="241" t="s">
        <v>363</v>
      </c>
    </row>
    <row r="34" spans="1:20">
      <c r="A34" s="9" t="s">
        <v>336</v>
      </c>
      <c r="B34" s="9" t="s">
        <v>320</v>
      </c>
    </row>
    <row r="35" spans="1:20">
      <c r="C35" s="9" t="s">
        <v>337</v>
      </c>
      <c r="D35" s="9" t="s">
        <v>12</v>
      </c>
      <c r="E35" s="252">
        <v>15.7</v>
      </c>
      <c r="F35" s="252">
        <v>15.5</v>
      </c>
      <c r="G35" s="252">
        <v>15.4</v>
      </c>
      <c r="H35" s="252">
        <v>15.2</v>
      </c>
      <c r="I35" s="252">
        <v>14.8</v>
      </c>
      <c r="J35" s="252">
        <v>14.3</v>
      </c>
      <c r="K35" s="252">
        <v>12.5</v>
      </c>
      <c r="L35" s="252">
        <v>14.2</v>
      </c>
      <c r="M35" s="253">
        <v>16.399999999999999</v>
      </c>
      <c r="N35" s="253">
        <v>12.3</v>
      </c>
      <c r="O35" s="254">
        <v>12.6</v>
      </c>
      <c r="P35" s="254">
        <v>14.8</v>
      </c>
      <c r="Q35" s="254">
        <v>13.6</v>
      </c>
      <c r="R35" s="254">
        <v>13.7</v>
      </c>
      <c r="S35" s="254">
        <v>13.2</v>
      </c>
      <c r="T35" s="254">
        <v>13.9</v>
      </c>
    </row>
    <row r="36" spans="1:20">
      <c r="C36" s="9" t="s">
        <v>338</v>
      </c>
      <c r="D36" s="9" t="s">
        <v>12</v>
      </c>
      <c r="E36" s="252">
        <v>0.7</v>
      </c>
      <c r="F36" s="252">
        <v>0.54679999999999995</v>
      </c>
      <c r="G36" s="252">
        <v>0.5</v>
      </c>
      <c r="H36" s="252">
        <v>0.6</v>
      </c>
      <c r="I36" s="252">
        <v>0.6</v>
      </c>
      <c r="J36" s="252">
        <v>0.5</v>
      </c>
      <c r="K36" s="252">
        <v>0.4</v>
      </c>
      <c r="L36" s="252">
        <v>0.4</v>
      </c>
      <c r="M36" s="253">
        <v>0.6</v>
      </c>
      <c r="N36" s="253">
        <v>0.5</v>
      </c>
      <c r="O36" s="254">
        <v>0.5</v>
      </c>
      <c r="P36" s="254">
        <v>0.4</v>
      </c>
      <c r="Q36" s="254">
        <v>0.3</v>
      </c>
      <c r="R36" s="254">
        <v>0.3</v>
      </c>
      <c r="S36" s="254">
        <v>0.3</v>
      </c>
      <c r="T36" s="254">
        <v>0.2</v>
      </c>
    </row>
    <row r="37" spans="1:20">
      <c r="C37" s="9" t="s">
        <v>339</v>
      </c>
      <c r="D37" s="9" t="s">
        <v>12</v>
      </c>
      <c r="E37" s="255">
        <f t="shared" ref="E37:T37" si="5">E35+E36</f>
        <v>16.399999999999999</v>
      </c>
      <c r="F37" s="255">
        <f t="shared" si="5"/>
        <v>16.046800000000001</v>
      </c>
      <c r="G37" s="255">
        <f t="shared" si="5"/>
        <v>15.9</v>
      </c>
      <c r="H37" s="255">
        <f t="shared" si="5"/>
        <v>15.799999999999999</v>
      </c>
      <c r="I37" s="255">
        <f t="shared" si="5"/>
        <v>15.4</v>
      </c>
      <c r="J37" s="255">
        <f t="shared" si="5"/>
        <v>14.8</v>
      </c>
      <c r="K37" s="255">
        <f t="shared" si="5"/>
        <v>12.9</v>
      </c>
      <c r="L37" s="255">
        <f t="shared" si="5"/>
        <v>14.6</v>
      </c>
      <c r="M37" s="255">
        <f t="shared" si="5"/>
        <v>17</v>
      </c>
      <c r="N37" s="255">
        <f t="shared" si="5"/>
        <v>12.8</v>
      </c>
      <c r="O37" s="255">
        <f t="shared" si="5"/>
        <v>13.1</v>
      </c>
      <c r="P37" s="255">
        <f t="shared" si="5"/>
        <v>15.200000000000001</v>
      </c>
      <c r="Q37" s="255">
        <f t="shared" si="5"/>
        <v>13.9</v>
      </c>
      <c r="R37" s="255">
        <f t="shared" si="5"/>
        <v>14</v>
      </c>
      <c r="S37" s="255">
        <f t="shared" si="5"/>
        <v>13.5</v>
      </c>
      <c r="T37" s="255">
        <f t="shared" si="5"/>
        <v>14.1</v>
      </c>
    </row>
    <row r="38" spans="1:20" ht="6" customHeight="1"/>
    <row r="39" spans="1:20">
      <c r="B39" s="9" t="s">
        <v>340</v>
      </c>
    </row>
    <row r="40" spans="1:20">
      <c r="C40" s="9" t="s">
        <v>341</v>
      </c>
      <c r="D40" s="9" t="s">
        <v>12</v>
      </c>
      <c r="E40" s="252">
        <v>19.2</v>
      </c>
      <c r="F40" s="252">
        <v>20.3</v>
      </c>
      <c r="G40" s="252">
        <v>19.3</v>
      </c>
      <c r="H40" s="252">
        <v>18.3</v>
      </c>
      <c r="I40" s="252">
        <v>20.9</v>
      </c>
      <c r="J40" s="252">
        <v>17.600000000000001</v>
      </c>
      <c r="K40" s="252">
        <v>17.399999999999999</v>
      </c>
      <c r="L40" s="252">
        <v>18.899999999999999</v>
      </c>
      <c r="M40" s="253">
        <v>21.9</v>
      </c>
      <c r="N40" s="253">
        <v>17.7</v>
      </c>
      <c r="O40" s="254">
        <v>16</v>
      </c>
      <c r="P40" s="254">
        <v>17.899999999999999</v>
      </c>
      <c r="Q40" s="254">
        <v>17.5</v>
      </c>
      <c r="R40" s="254">
        <v>19.8</v>
      </c>
      <c r="S40" s="254">
        <v>16.399999999999999</v>
      </c>
      <c r="T40" s="254">
        <v>18.399999999999999</v>
      </c>
    </row>
    <row r="41" spans="1:20">
      <c r="C41" s="9" t="s">
        <v>338</v>
      </c>
      <c r="D41" s="9" t="s">
        <v>12</v>
      </c>
      <c r="E41" s="252">
        <v>0.3</v>
      </c>
      <c r="F41" s="252">
        <v>0.24410000000000001</v>
      </c>
      <c r="G41" s="252">
        <v>0.2</v>
      </c>
      <c r="H41" s="252">
        <v>0.2</v>
      </c>
      <c r="I41" s="252">
        <v>0.2</v>
      </c>
      <c r="J41" s="252">
        <v>0.3</v>
      </c>
      <c r="K41" s="252">
        <v>0.3</v>
      </c>
      <c r="L41" s="252">
        <v>0.2</v>
      </c>
      <c r="M41" s="253">
        <v>0.3</v>
      </c>
      <c r="N41" s="253">
        <v>0.3</v>
      </c>
      <c r="O41" s="254">
        <v>0.2</v>
      </c>
      <c r="P41" s="254">
        <v>0.2</v>
      </c>
      <c r="Q41" s="254">
        <v>0.1</v>
      </c>
      <c r="R41" s="254">
        <v>0.1</v>
      </c>
      <c r="S41" s="254">
        <v>0.1</v>
      </c>
      <c r="T41" s="254">
        <v>0.1</v>
      </c>
    </row>
    <row r="42" spans="1:20">
      <c r="C42" s="9" t="s">
        <v>342</v>
      </c>
      <c r="D42" s="9" t="s">
        <v>12</v>
      </c>
      <c r="E42" s="255">
        <f t="shared" ref="E42:P42" si="6">E40+E41</f>
        <v>19.5</v>
      </c>
      <c r="F42" s="255">
        <f t="shared" si="6"/>
        <v>20.5441</v>
      </c>
      <c r="G42" s="255">
        <f t="shared" si="6"/>
        <v>19.5</v>
      </c>
      <c r="H42" s="255">
        <f t="shared" si="6"/>
        <v>18.5</v>
      </c>
      <c r="I42" s="255">
        <f t="shared" si="6"/>
        <v>21.099999999999998</v>
      </c>
      <c r="J42" s="255">
        <f t="shared" si="6"/>
        <v>17.900000000000002</v>
      </c>
      <c r="K42" s="255">
        <f t="shared" si="6"/>
        <v>17.7</v>
      </c>
      <c r="L42" s="255">
        <f t="shared" si="6"/>
        <v>19.099999999999998</v>
      </c>
      <c r="M42" s="255">
        <f t="shared" si="6"/>
        <v>22.2</v>
      </c>
      <c r="N42" s="255">
        <f t="shared" si="6"/>
        <v>18</v>
      </c>
      <c r="O42" s="255">
        <f t="shared" si="6"/>
        <v>16.2</v>
      </c>
      <c r="P42" s="255">
        <f t="shared" si="6"/>
        <v>18.099999999999998</v>
      </c>
      <c r="Q42" s="255">
        <f t="shared" ref="Q42:T42" si="7">Q40+Q41</f>
        <v>17.600000000000001</v>
      </c>
      <c r="R42" s="255">
        <f t="shared" si="7"/>
        <v>19.900000000000002</v>
      </c>
      <c r="S42" s="255">
        <f t="shared" si="7"/>
        <v>16.5</v>
      </c>
      <c r="T42" s="255">
        <f t="shared" si="7"/>
        <v>18.5</v>
      </c>
    </row>
    <row r="43" spans="1:20" ht="6" customHeight="1"/>
    <row r="44" spans="1:20">
      <c r="B44" s="9" t="s">
        <v>343</v>
      </c>
    </row>
    <row r="45" spans="1:20">
      <c r="C45" s="9" t="s">
        <v>344</v>
      </c>
      <c r="D45" s="9" t="s">
        <v>12</v>
      </c>
      <c r="E45" s="255">
        <f t="shared" ref="E45:O45" si="8">E35+E40</f>
        <v>34.9</v>
      </c>
      <c r="F45" s="255">
        <f t="shared" si="8"/>
        <v>35.799999999999997</v>
      </c>
      <c r="G45" s="255">
        <f t="shared" si="8"/>
        <v>34.700000000000003</v>
      </c>
      <c r="H45" s="255">
        <f t="shared" si="8"/>
        <v>33.5</v>
      </c>
      <c r="I45" s="255">
        <f t="shared" si="8"/>
        <v>35.700000000000003</v>
      </c>
      <c r="J45" s="255">
        <f t="shared" si="8"/>
        <v>31.900000000000002</v>
      </c>
      <c r="K45" s="255">
        <f t="shared" si="8"/>
        <v>29.9</v>
      </c>
      <c r="L45" s="255">
        <f t="shared" si="8"/>
        <v>33.099999999999994</v>
      </c>
      <c r="M45" s="255">
        <f t="shared" si="8"/>
        <v>38.299999999999997</v>
      </c>
      <c r="N45" s="255">
        <f t="shared" si="8"/>
        <v>30</v>
      </c>
      <c r="O45" s="255">
        <f t="shared" si="8"/>
        <v>28.6</v>
      </c>
      <c r="P45" s="255">
        <f>P35+P40</f>
        <v>32.700000000000003</v>
      </c>
      <c r="Q45" s="255">
        <f t="shared" ref="Q45:S45" si="9">Q35+Q40</f>
        <v>31.1</v>
      </c>
      <c r="R45" s="255">
        <f t="shared" si="9"/>
        <v>33.5</v>
      </c>
      <c r="S45" s="255">
        <f t="shared" si="9"/>
        <v>29.599999999999998</v>
      </c>
      <c r="T45" s="255">
        <f t="shared" ref="T45" si="10">T35+T40</f>
        <v>32.299999999999997</v>
      </c>
    </row>
    <row r="46" spans="1:20">
      <c r="C46" s="9" t="s">
        <v>345</v>
      </c>
      <c r="D46" s="9" t="s">
        <v>12</v>
      </c>
      <c r="E46" s="255">
        <f t="shared" ref="E46:O46" si="11">E36+E41</f>
        <v>1</v>
      </c>
      <c r="F46" s="255">
        <f t="shared" si="11"/>
        <v>0.79089999999999994</v>
      </c>
      <c r="G46" s="255">
        <f t="shared" si="11"/>
        <v>0.7</v>
      </c>
      <c r="H46" s="255">
        <f t="shared" si="11"/>
        <v>0.8</v>
      </c>
      <c r="I46" s="255">
        <f t="shared" si="11"/>
        <v>0.8</v>
      </c>
      <c r="J46" s="255">
        <f t="shared" si="11"/>
        <v>0.8</v>
      </c>
      <c r="K46" s="255">
        <f t="shared" si="11"/>
        <v>0.7</v>
      </c>
      <c r="L46" s="255">
        <f t="shared" si="11"/>
        <v>0.60000000000000009</v>
      </c>
      <c r="M46" s="255">
        <f t="shared" si="11"/>
        <v>0.89999999999999991</v>
      </c>
      <c r="N46" s="255">
        <f t="shared" si="11"/>
        <v>0.8</v>
      </c>
      <c r="O46" s="255">
        <f t="shared" si="11"/>
        <v>0.7</v>
      </c>
      <c r="P46" s="255">
        <f>P36+P41</f>
        <v>0.60000000000000009</v>
      </c>
      <c r="Q46" s="255">
        <f t="shared" ref="Q46:S46" si="12">Q36+Q41</f>
        <v>0.4</v>
      </c>
      <c r="R46" s="255">
        <f t="shared" si="12"/>
        <v>0.4</v>
      </c>
      <c r="S46" s="255">
        <f t="shared" si="12"/>
        <v>0.4</v>
      </c>
      <c r="T46" s="255">
        <f t="shared" ref="T46" si="13">T36+T41</f>
        <v>0.30000000000000004</v>
      </c>
    </row>
    <row r="47" spans="1:20" ht="6" customHeight="1"/>
    <row r="48" spans="1:20">
      <c r="A48" s="241" t="s">
        <v>102</v>
      </c>
    </row>
    <row r="49" spans="1:20">
      <c r="A49" s="9" t="s">
        <v>346</v>
      </c>
      <c r="B49" s="9" t="s">
        <v>320</v>
      </c>
    </row>
    <row r="50" spans="1:20">
      <c r="C50" s="9" t="s">
        <v>337</v>
      </c>
      <c r="D50" s="9" t="s">
        <v>12</v>
      </c>
      <c r="E50" s="252">
        <v>4.45</v>
      </c>
      <c r="F50" s="252">
        <v>3.09</v>
      </c>
      <c r="G50" s="252">
        <v>4.9048790000000002</v>
      </c>
      <c r="H50" s="252">
        <v>4.362222</v>
      </c>
      <c r="I50" s="252">
        <v>4.133661</v>
      </c>
      <c r="J50" s="252">
        <v>6.38</v>
      </c>
      <c r="K50" s="252">
        <v>8.9700000000000006</v>
      </c>
      <c r="L50" s="252">
        <v>7.13</v>
      </c>
      <c r="M50" s="253">
        <v>4.55</v>
      </c>
      <c r="N50" s="253">
        <v>3.84</v>
      </c>
      <c r="O50" s="253">
        <v>3.25</v>
      </c>
      <c r="P50" s="253">
        <v>3.11</v>
      </c>
      <c r="Q50" s="253">
        <v>4.47</v>
      </c>
      <c r="R50" s="253">
        <v>2.9</v>
      </c>
      <c r="S50" s="3" t="s">
        <v>7</v>
      </c>
      <c r="T50" s="3" t="s">
        <v>7</v>
      </c>
    </row>
    <row r="51" spans="1:20">
      <c r="C51" s="9" t="s">
        <v>338</v>
      </c>
      <c r="D51" s="9" t="s">
        <v>12</v>
      </c>
      <c r="E51" s="252">
        <v>0.91</v>
      </c>
      <c r="F51" s="252">
        <v>0.88</v>
      </c>
      <c r="G51" s="252">
        <v>0.64</v>
      </c>
      <c r="H51" s="252">
        <v>0.49</v>
      </c>
      <c r="I51" s="252">
        <v>0.43487100000000001</v>
      </c>
      <c r="J51" s="252">
        <v>0.51</v>
      </c>
      <c r="K51" s="252">
        <v>0.54</v>
      </c>
      <c r="L51" s="252">
        <v>0.53</v>
      </c>
      <c r="M51" s="253">
        <v>0.5</v>
      </c>
      <c r="N51" s="253">
        <v>0.39</v>
      </c>
      <c r="O51" s="253">
        <v>0.36</v>
      </c>
      <c r="P51" s="288">
        <v>0.36</v>
      </c>
      <c r="Q51" s="288">
        <v>0.37</v>
      </c>
      <c r="R51" s="253">
        <v>0.43</v>
      </c>
      <c r="S51" s="3" t="s">
        <v>7</v>
      </c>
      <c r="T51" s="3" t="s">
        <v>7</v>
      </c>
    </row>
    <row r="52" spans="1:20">
      <c r="C52" s="9" t="s">
        <v>339</v>
      </c>
      <c r="D52" s="9" t="s">
        <v>12</v>
      </c>
      <c r="E52" s="255">
        <f t="shared" ref="E52:S52" si="14">E50+E51</f>
        <v>5.36</v>
      </c>
      <c r="F52" s="255">
        <f t="shared" si="14"/>
        <v>3.9699999999999998</v>
      </c>
      <c r="G52" s="255">
        <f t="shared" si="14"/>
        <v>5.5448789999999999</v>
      </c>
      <c r="H52" s="255">
        <f t="shared" si="14"/>
        <v>4.8522220000000003</v>
      </c>
      <c r="I52" s="255">
        <f t="shared" si="14"/>
        <v>4.5685320000000003</v>
      </c>
      <c r="J52" s="255">
        <f t="shared" si="14"/>
        <v>6.89</v>
      </c>
      <c r="K52" s="255">
        <f t="shared" si="14"/>
        <v>9.5100000000000016</v>
      </c>
      <c r="L52" s="255">
        <f t="shared" si="14"/>
        <v>7.66</v>
      </c>
      <c r="M52" s="255">
        <f t="shared" si="14"/>
        <v>5.05</v>
      </c>
      <c r="N52" s="255">
        <f t="shared" si="14"/>
        <v>4.2299999999999995</v>
      </c>
      <c r="O52" s="255">
        <f t="shared" si="14"/>
        <v>3.61</v>
      </c>
      <c r="P52" s="255">
        <f t="shared" si="14"/>
        <v>3.4699999999999998</v>
      </c>
      <c r="Q52" s="255">
        <f t="shared" si="14"/>
        <v>4.84</v>
      </c>
      <c r="R52" s="255">
        <f t="shared" si="14"/>
        <v>3.33</v>
      </c>
      <c r="S52" s="255" t="e">
        <f t="shared" si="14"/>
        <v>#VALUE!</v>
      </c>
      <c r="T52" s="255" t="e">
        <f t="shared" ref="T52" si="15">T50+T51</f>
        <v>#VALUE!</v>
      </c>
    </row>
    <row r="53" spans="1:20" ht="6" customHeight="1"/>
    <row r="54" spans="1:20">
      <c r="B54" s="9" t="s">
        <v>340</v>
      </c>
    </row>
    <row r="55" spans="1:20">
      <c r="C55" s="9" t="s">
        <v>341</v>
      </c>
      <c r="D55" s="9" t="s">
        <v>12</v>
      </c>
      <c r="E55" s="252">
        <v>1.1384650000000001</v>
      </c>
      <c r="F55" s="252">
        <v>1.0511280000000001</v>
      </c>
      <c r="G55" s="252">
        <v>1.1499999999999999</v>
      </c>
      <c r="H55" s="252">
        <v>1.08</v>
      </c>
      <c r="I55" s="252">
        <v>1.0401050000000001</v>
      </c>
      <c r="J55" s="252">
        <v>0.91</v>
      </c>
      <c r="K55" s="252">
        <v>2.08</v>
      </c>
      <c r="L55" s="252">
        <v>2.06</v>
      </c>
      <c r="M55" s="253">
        <v>2.0099999999999998</v>
      </c>
      <c r="N55" s="253">
        <v>2.0099999999999998</v>
      </c>
      <c r="O55" s="253">
        <v>1.27</v>
      </c>
      <c r="P55" s="253">
        <v>1.62</v>
      </c>
      <c r="Q55" s="253">
        <v>3.33</v>
      </c>
      <c r="R55" s="253">
        <v>1.65</v>
      </c>
      <c r="S55" s="3" t="s">
        <v>7</v>
      </c>
      <c r="T55" s="3" t="s">
        <v>7</v>
      </c>
    </row>
    <row r="56" spans="1:20">
      <c r="C56" s="9" t="s">
        <v>338</v>
      </c>
      <c r="D56" s="9" t="s">
        <v>12</v>
      </c>
      <c r="E56" s="252">
        <v>0.89</v>
      </c>
      <c r="F56" s="252">
        <v>0.82</v>
      </c>
      <c r="G56" s="252">
        <v>0.59</v>
      </c>
      <c r="H56" s="252">
        <v>0.64</v>
      </c>
      <c r="I56" s="252">
        <v>0.52403</v>
      </c>
      <c r="J56" s="252">
        <v>0.54</v>
      </c>
      <c r="K56" s="252">
        <v>0.48</v>
      </c>
      <c r="L56" s="252">
        <v>0.45</v>
      </c>
      <c r="M56" s="253">
        <v>0.41</v>
      </c>
      <c r="N56" s="253">
        <v>0.495</v>
      </c>
      <c r="O56" s="253">
        <v>0.42</v>
      </c>
      <c r="P56" s="288">
        <v>0.42</v>
      </c>
      <c r="Q56" s="288">
        <v>0.41</v>
      </c>
      <c r="R56" s="288">
        <v>0.4</v>
      </c>
      <c r="S56" s="3" t="s">
        <v>7</v>
      </c>
      <c r="T56" s="3" t="s">
        <v>7</v>
      </c>
    </row>
    <row r="57" spans="1:20">
      <c r="C57" s="9" t="s">
        <v>342</v>
      </c>
      <c r="D57" s="9" t="s">
        <v>12</v>
      </c>
      <c r="E57" s="255">
        <f t="shared" ref="E57:S57" si="16">E55+E56</f>
        <v>2.0284650000000002</v>
      </c>
      <c r="F57" s="255">
        <f t="shared" si="16"/>
        <v>1.8711280000000001</v>
      </c>
      <c r="G57" s="255">
        <f t="shared" si="16"/>
        <v>1.7399999999999998</v>
      </c>
      <c r="H57" s="255">
        <f t="shared" si="16"/>
        <v>1.7200000000000002</v>
      </c>
      <c r="I57" s="255">
        <f t="shared" si="16"/>
        <v>1.5641350000000001</v>
      </c>
      <c r="J57" s="255">
        <f t="shared" si="16"/>
        <v>1.4500000000000002</v>
      </c>
      <c r="K57" s="255">
        <f t="shared" si="16"/>
        <v>2.56</v>
      </c>
      <c r="L57" s="255">
        <f t="shared" si="16"/>
        <v>2.5100000000000002</v>
      </c>
      <c r="M57" s="255">
        <f t="shared" si="16"/>
        <v>2.42</v>
      </c>
      <c r="N57" s="255">
        <f t="shared" si="16"/>
        <v>2.5049999999999999</v>
      </c>
      <c r="O57" s="255">
        <f t="shared" si="16"/>
        <v>1.69</v>
      </c>
      <c r="P57" s="255">
        <f t="shared" si="16"/>
        <v>2.04</v>
      </c>
      <c r="Q57" s="255">
        <f t="shared" si="16"/>
        <v>3.74</v>
      </c>
      <c r="R57" s="255">
        <f t="shared" si="16"/>
        <v>2.0499999999999998</v>
      </c>
      <c r="S57" s="255" t="e">
        <f t="shared" si="16"/>
        <v>#VALUE!</v>
      </c>
      <c r="T57" s="255" t="e">
        <f t="shared" ref="T57" si="17">T55+T56</f>
        <v>#VALUE!</v>
      </c>
    </row>
    <row r="58" spans="1:20" ht="6" customHeight="1"/>
    <row r="59" spans="1:20">
      <c r="B59" s="9" t="s">
        <v>343</v>
      </c>
    </row>
    <row r="60" spans="1:20">
      <c r="C60" s="9" t="s">
        <v>344</v>
      </c>
      <c r="D60" s="9" t="s">
        <v>12</v>
      </c>
      <c r="E60" s="255">
        <f t="shared" ref="E60:O60" si="18">E50+E55</f>
        <v>5.5884650000000002</v>
      </c>
      <c r="F60" s="255">
        <f t="shared" si="18"/>
        <v>4.1411280000000001</v>
      </c>
      <c r="G60" s="255">
        <f t="shared" si="18"/>
        <v>6.0548789999999997</v>
      </c>
      <c r="H60" s="255">
        <f t="shared" si="18"/>
        <v>5.4422220000000001</v>
      </c>
      <c r="I60" s="255">
        <f t="shared" si="18"/>
        <v>5.1737660000000005</v>
      </c>
      <c r="J60" s="255">
        <f t="shared" si="18"/>
        <v>7.29</v>
      </c>
      <c r="K60" s="255">
        <f t="shared" si="18"/>
        <v>11.05</v>
      </c>
      <c r="L60" s="255">
        <f t="shared" si="18"/>
        <v>9.19</v>
      </c>
      <c r="M60" s="255">
        <f t="shared" si="18"/>
        <v>6.56</v>
      </c>
      <c r="N60" s="255">
        <f t="shared" si="18"/>
        <v>5.85</v>
      </c>
      <c r="O60" s="255">
        <f t="shared" si="18"/>
        <v>4.5199999999999996</v>
      </c>
      <c r="P60" s="255">
        <f t="shared" ref="P60:R61" si="19">P50+P55</f>
        <v>4.7300000000000004</v>
      </c>
      <c r="Q60" s="255">
        <f t="shared" si="19"/>
        <v>7.8</v>
      </c>
      <c r="R60" s="255">
        <f t="shared" si="19"/>
        <v>4.55</v>
      </c>
      <c r="S60" s="255" t="e">
        <f t="shared" ref="S60:T60" si="20">S50+S55</f>
        <v>#VALUE!</v>
      </c>
      <c r="T60" s="255" t="e">
        <f t="shared" si="20"/>
        <v>#VALUE!</v>
      </c>
    </row>
    <row r="61" spans="1:20">
      <c r="C61" s="9" t="s">
        <v>345</v>
      </c>
      <c r="D61" s="9" t="s">
        <v>12</v>
      </c>
      <c r="E61" s="255">
        <f t="shared" ref="E61:O61" si="21">E51+E56</f>
        <v>1.8</v>
      </c>
      <c r="F61" s="255">
        <f t="shared" si="21"/>
        <v>1.7</v>
      </c>
      <c r="G61" s="255">
        <f t="shared" si="21"/>
        <v>1.23</v>
      </c>
      <c r="H61" s="255">
        <f t="shared" si="21"/>
        <v>1.1299999999999999</v>
      </c>
      <c r="I61" s="255">
        <f t="shared" si="21"/>
        <v>0.958901</v>
      </c>
      <c r="J61" s="255">
        <f t="shared" si="21"/>
        <v>1.05</v>
      </c>
      <c r="K61" s="255">
        <f t="shared" si="21"/>
        <v>1.02</v>
      </c>
      <c r="L61" s="255">
        <f t="shared" si="21"/>
        <v>0.98</v>
      </c>
      <c r="M61" s="255">
        <f t="shared" si="21"/>
        <v>0.90999999999999992</v>
      </c>
      <c r="N61" s="255">
        <f t="shared" si="21"/>
        <v>0.88500000000000001</v>
      </c>
      <c r="O61" s="255">
        <f t="shared" si="21"/>
        <v>0.78</v>
      </c>
      <c r="P61" s="255">
        <f t="shared" si="19"/>
        <v>0.78</v>
      </c>
      <c r="Q61" s="255">
        <f t="shared" si="19"/>
        <v>0.78</v>
      </c>
      <c r="R61" s="255">
        <f t="shared" si="19"/>
        <v>0.83000000000000007</v>
      </c>
      <c r="S61" s="255" t="e">
        <f t="shared" ref="S61:T61" si="22">S51+S56</f>
        <v>#VALUE!</v>
      </c>
      <c r="T61" s="255" t="e">
        <f t="shared" si="22"/>
        <v>#VALUE!</v>
      </c>
    </row>
    <row r="62" spans="1:20" ht="6" customHeight="1"/>
    <row r="63" spans="1:20">
      <c r="A63" s="241" t="s">
        <v>203</v>
      </c>
      <c r="B63" s="256" t="s">
        <v>347</v>
      </c>
    </row>
    <row r="64" spans="1:20">
      <c r="A64" s="2" t="s">
        <v>383</v>
      </c>
      <c r="B64" s="9" t="s">
        <v>320</v>
      </c>
    </row>
    <row r="65" spans="2:20">
      <c r="C65" s="9" t="s">
        <v>348</v>
      </c>
      <c r="D65" s="9" t="s">
        <v>12</v>
      </c>
      <c r="E65" s="257">
        <v>35.28</v>
      </c>
      <c r="F65" s="9">
        <v>7.23</v>
      </c>
      <c r="G65" s="9">
        <v>7.48</v>
      </c>
      <c r="H65" s="9">
        <v>7.05</v>
      </c>
      <c r="I65" s="9">
        <v>6.69</v>
      </c>
      <c r="J65" s="9">
        <v>7.02</v>
      </c>
      <c r="K65" s="114">
        <v>8.26</v>
      </c>
      <c r="L65" s="114">
        <v>7.85</v>
      </c>
      <c r="M65" s="253">
        <v>7.1</v>
      </c>
      <c r="N65" s="253">
        <v>7.05</v>
      </c>
      <c r="O65" s="254">
        <v>6.16</v>
      </c>
      <c r="P65" s="254">
        <v>6.32</v>
      </c>
      <c r="Q65" s="254">
        <v>5.12</v>
      </c>
      <c r="R65" s="254">
        <v>2.1242000000000001</v>
      </c>
      <c r="S65" s="254">
        <v>5.7</v>
      </c>
      <c r="T65" s="254">
        <v>6.4</v>
      </c>
    </row>
    <row r="66" spans="2:20">
      <c r="B66" s="256" t="s">
        <v>349</v>
      </c>
      <c r="C66" s="9" t="s">
        <v>350</v>
      </c>
      <c r="D66" s="9" t="s">
        <v>12</v>
      </c>
      <c r="E66" s="257"/>
      <c r="F66" s="9">
        <v>17.46</v>
      </c>
      <c r="G66" s="9">
        <v>14.83</v>
      </c>
      <c r="H66" s="9">
        <v>12.42</v>
      </c>
      <c r="I66" s="9">
        <v>13.07</v>
      </c>
      <c r="J66" s="9">
        <v>13.46</v>
      </c>
      <c r="K66" s="114">
        <v>17.28</v>
      </c>
      <c r="L66" s="114">
        <v>12.23</v>
      </c>
      <c r="M66" s="253">
        <v>14.85</v>
      </c>
      <c r="N66" s="253">
        <v>16.23</v>
      </c>
      <c r="O66" s="254">
        <v>13.67</v>
      </c>
      <c r="P66" s="254">
        <v>12.03</v>
      </c>
      <c r="Q66" s="254">
        <v>12.55</v>
      </c>
      <c r="R66" s="254">
        <v>7.1980000000000004</v>
      </c>
      <c r="S66" s="254">
        <v>6.1</v>
      </c>
      <c r="T66" s="254">
        <v>5.4</v>
      </c>
    </row>
    <row r="67" spans="2:20">
      <c r="B67" s="256" t="s">
        <v>351</v>
      </c>
      <c r="C67" s="9" t="s">
        <v>352</v>
      </c>
      <c r="E67" s="257"/>
      <c r="O67" s="258"/>
      <c r="P67" s="258"/>
      <c r="Q67" s="254"/>
      <c r="R67" s="254"/>
      <c r="S67" s="254"/>
      <c r="T67" s="254"/>
    </row>
    <row r="68" spans="2:20">
      <c r="B68" s="256"/>
      <c r="C68" s="9" t="s">
        <v>348</v>
      </c>
      <c r="D68" s="9" t="s">
        <v>12</v>
      </c>
      <c r="E68" s="259">
        <v>2.27</v>
      </c>
      <c r="F68" s="260">
        <v>0.19</v>
      </c>
      <c r="G68" s="260">
        <v>0.33</v>
      </c>
      <c r="H68" s="260">
        <v>0.24</v>
      </c>
      <c r="I68" s="261">
        <v>0.28999999999999998</v>
      </c>
      <c r="J68" s="261">
        <v>0.26</v>
      </c>
      <c r="K68" s="261">
        <v>0.42</v>
      </c>
      <c r="L68" s="261">
        <v>0.56000000000000005</v>
      </c>
      <c r="M68" s="253">
        <v>0.55000000000000004</v>
      </c>
      <c r="N68" s="253">
        <v>0.42</v>
      </c>
      <c r="O68" s="254">
        <v>0.38</v>
      </c>
      <c r="P68" s="282">
        <v>0.44</v>
      </c>
      <c r="Q68" s="254">
        <v>0.19</v>
      </c>
      <c r="R68" s="254">
        <v>0.16370000000000001</v>
      </c>
      <c r="S68" s="254">
        <v>0.2</v>
      </c>
      <c r="T68" s="254">
        <v>0.1</v>
      </c>
    </row>
    <row r="69" spans="2:20">
      <c r="B69" s="256"/>
      <c r="D69" s="9" t="s">
        <v>12</v>
      </c>
      <c r="E69" s="259"/>
      <c r="F69" s="260">
        <v>0.25</v>
      </c>
      <c r="G69" s="260">
        <v>0.18</v>
      </c>
      <c r="H69" s="260">
        <v>0</v>
      </c>
      <c r="I69" s="261">
        <v>0.25</v>
      </c>
      <c r="J69" s="261">
        <v>0.24</v>
      </c>
      <c r="K69" s="261">
        <v>2.25</v>
      </c>
      <c r="L69" s="261">
        <v>1.17</v>
      </c>
      <c r="M69" s="253">
        <v>1.31</v>
      </c>
      <c r="N69" s="253">
        <v>1.72</v>
      </c>
      <c r="O69" s="254">
        <v>1.83</v>
      </c>
      <c r="P69" s="282">
        <v>1.1200000000000001</v>
      </c>
      <c r="Q69" s="254">
        <v>0.63</v>
      </c>
      <c r="R69" s="254">
        <v>0.2175</v>
      </c>
      <c r="S69" s="254">
        <v>0.7</v>
      </c>
      <c r="T69" s="254">
        <v>0.5</v>
      </c>
    </row>
    <row r="70" spans="2:20">
      <c r="B70" s="256"/>
      <c r="C70" s="9" t="s">
        <v>350</v>
      </c>
      <c r="D70" s="9" t="s">
        <v>12</v>
      </c>
      <c r="E70" s="259"/>
      <c r="F70" s="260">
        <v>0.09</v>
      </c>
      <c r="G70" s="260">
        <v>0.15</v>
      </c>
      <c r="H70" s="260">
        <v>0.17</v>
      </c>
      <c r="I70" s="261">
        <v>0.19</v>
      </c>
      <c r="J70" s="261">
        <v>0</v>
      </c>
      <c r="K70" s="261">
        <v>0.02</v>
      </c>
      <c r="L70" s="261">
        <v>0.1</v>
      </c>
      <c r="M70" s="253">
        <v>0.02</v>
      </c>
      <c r="N70" s="253">
        <v>0.03</v>
      </c>
      <c r="O70" s="254">
        <v>0.04</v>
      </c>
      <c r="P70" s="282">
        <v>0.05</v>
      </c>
      <c r="Q70" s="254">
        <v>0.02</v>
      </c>
      <c r="R70" s="254">
        <v>6.6100000000000006E-2</v>
      </c>
      <c r="S70" s="254">
        <v>0.1</v>
      </c>
      <c r="T70" s="254">
        <v>0.1</v>
      </c>
    </row>
    <row r="71" spans="2:20">
      <c r="B71" s="256"/>
      <c r="D71" s="9" t="s">
        <v>12</v>
      </c>
      <c r="E71" s="259"/>
      <c r="F71" s="260">
        <v>2.5099999999999998</v>
      </c>
      <c r="G71" s="260">
        <v>2.1</v>
      </c>
      <c r="H71" s="260">
        <v>1.51</v>
      </c>
      <c r="I71" s="261">
        <v>1.48</v>
      </c>
      <c r="J71" s="261">
        <v>1.29</v>
      </c>
      <c r="K71" s="261">
        <v>0.36</v>
      </c>
      <c r="L71" s="261">
        <v>0.32</v>
      </c>
      <c r="M71" s="253">
        <v>0.41</v>
      </c>
      <c r="N71" s="253">
        <v>0.11</v>
      </c>
      <c r="O71" s="254">
        <v>0.02</v>
      </c>
      <c r="P71" s="282">
        <v>0.15</v>
      </c>
      <c r="Q71" s="254">
        <v>0.19</v>
      </c>
      <c r="R71" s="254">
        <v>0.1135</v>
      </c>
      <c r="S71" s="254">
        <v>0.1</v>
      </c>
      <c r="T71" s="254">
        <v>0.4</v>
      </c>
    </row>
    <row r="72" spans="2:20">
      <c r="B72" s="256" t="s">
        <v>353</v>
      </c>
      <c r="C72" s="9" t="s">
        <v>337</v>
      </c>
      <c r="E72" s="262">
        <f t="shared" ref="E72:T72" si="23">E65+E66-E68-E69-E70-E71</f>
        <v>33.01</v>
      </c>
      <c r="F72" s="255">
        <f t="shared" si="23"/>
        <v>21.65</v>
      </c>
      <c r="G72" s="255">
        <f t="shared" si="23"/>
        <v>19.550000000000004</v>
      </c>
      <c r="H72" s="255">
        <f t="shared" si="23"/>
        <v>17.549999999999997</v>
      </c>
      <c r="I72" s="255">
        <f t="shared" si="23"/>
        <v>17.55</v>
      </c>
      <c r="J72" s="255">
        <f t="shared" si="23"/>
        <v>18.690000000000001</v>
      </c>
      <c r="K72" s="255">
        <f t="shared" si="23"/>
        <v>22.49</v>
      </c>
      <c r="L72" s="255">
        <f t="shared" si="23"/>
        <v>17.93</v>
      </c>
      <c r="M72" s="255">
        <f t="shared" si="23"/>
        <v>19.66</v>
      </c>
      <c r="N72" s="255">
        <f t="shared" si="23"/>
        <v>21</v>
      </c>
      <c r="O72" s="255">
        <f t="shared" si="23"/>
        <v>17.559999999999999</v>
      </c>
      <c r="P72" s="255">
        <f t="shared" si="23"/>
        <v>16.59</v>
      </c>
      <c r="Q72" s="255">
        <f t="shared" si="23"/>
        <v>16.64</v>
      </c>
      <c r="R72" s="255">
        <f t="shared" si="23"/>
        <v>8.7614000000000001</v>
      </c>
      <c r="S72" s="255">
        <f t="shared" si="23"/>
        <v>10.700000000000003</v>
      </c>
      <c r="T72" s="255">
        <f t="shared" si="23"/>
        <v>10.700000000000001</v>
      </c>
    </row>
    <row r="73" spans="2:20" ht="6" customHeight="1">
      <c r="P73" s="283"/>
    </row>
    <row r="74" spans="2:20">
      <c r="B74" s="9" t="s">
        <v>354</v>
      </c>
      <c r="P74" s="283"/>
    </row>
    <row r="75" spans="2:20">
      <c r="C75" s="9" t="s">
        <v>348</v>
      </c>
      <c r="D75" s="9" t="s">
        <v>12</v>
      </c>
      <c r="E75" s="257">
        <v>8.25</v>
      </c>
      <c r="F75" s="9">
        <v>3.53</v>
      </c>
      <c r="G75" s="9">
        <v>2.84</v>
      </c>
      <c r="H75" s="9">
        <v>2.54</v>
      </c>
      <c r="I75" s="9">
        <v>2.93</v>
      </c>
      <c r="J75" s="9">
        <v>3.12</v>
      </c>
      <c r="K75" s="114">
        <v>4.04</v>
      </c>
      <c r="L75" s="114">
        <v>3.57</v>
      </c>
      <c r="M75" s="253">
        <v>3.68</v>
      </c>
      <c r="N75" s="253">
        <v>3.68</v>
      </c>
      <c r="O75" s="254">
        <v>3.39</v>
      </c>
      <c r="P75" s="282">
        <v>3.73</v>
      </c>
      <c r="Q75" s="254">
        <v>3.18</v>
      </c>
      <c r="R75" s="254">
        <v>0.91439999999999999</v>
      </c>
      <c r="S75" s="254">
        <v>3.1</v>
      </c>
      <c r="T75" s="254">
        <v>3.2</v>
      </c>
    </row>
    <row r="76" spans="2:20">
      <c r="B76" s="256" t="s">
        <v>349</v>
      </c>
      <c r="C76" s="9" t="s">
        <v>350</v>
      </c>
      <c r="D76" s="9" t="s">
        <v>12</v>
      </c>
      <c r="E76" s="257"/>
      <c r="F76" s="9">
        <v>5.73</v>
      </c>
      <c r="G76" s="9">
        <v>4.9800000000000004</v>
      </c>
      <c r="H76" s="9">
        <v>4.43</v>
      </c>
      <c r="I76" s="9">
        <v>3.9</v>
      </c>
      <c r="J76" s="9">
        <v>4.0199999999999996</v>
      </c>
      <c r="K76" s="114">
        <v>4.87</v>
      </c>
      <c r="L76" s="114">
        <v>4.21</v>
      </c>
      <c r="M76" s="253">
        <v>4.1100000000000003</v>
      </c>
      <c r="N76" s="253">
        <v>3.66</v>
      </c>
      <c r="O76" s="254">
        <v>3.75</v>
      </c>
      <c r="P76" s="282">
        <v>3.53</v>
      </c>
      <c r="Q76" s="254">
        <v>2.79</v>
      </c>
      <c r="R76" s="254">
        <v>1.7113</v>
      </c>
      <c r="S76" s="254">
        <v>2.8</v>
      </c>
      <c r="T76" s="254">
        <v>3.2</v>
      </c>
    </row>
    <row r="77" spans="2:20">
      <c r="B77" s="256" t="s">
        <v>351</v>
      </c>
      <c r="C77" s="9" t="s">
        <v>355</v>
      </c>
      <c r="E77" s="257"/>
      <c r="P77" s="283"/>
    </row>
    <row r="78" spans="2:20">
      <c r="B78" s="256"/>
      <c r="C78" s="9" t="s">
        <v>348</v>
      </c>
      <c r="D78" s="9" t="s">
        <v>12</v>
      </c>
      <c r="E78" s="263">
        <f t="shared" ref="E78:O78" si="24">E68</f>
        <v>2.27</v>
      </c>
      <c r="F78" s="244">
        <f t="shared" si="24"/>
        <v>0.19</v>
      </c>
      <c r="G78" s="244">
        <f t="shared" si="24"/>
        <v>0.33</v>
      </c>
      <c r="H78" s="244">
        <f t="shared" si="24"/>
        <v>0.24</v>
      </c>
      <c r="I78" s="244">
        <f t="shared" si="24"/>
        <v>0.28999999999999998</v>
      </c>
      <c r="J78" s="244">
        <f t="shared" si="24"/>
        <v>0.26</v>
      </c>
      <c r="K78" s="244">
        <f t="shared" si="24"/>
        <v>0.42</v>
      </c>
      <c r="L78" s="244">
        <f t="shared" si="24"/>
        <v>0.56000000000000005</v>
      </c>
      <c r="M78" s="244">
        <f t="shared" si="24"/>
        <v>0.55000000000000004</v>
      </c>
      <c r="N78" s="244">
        <f t="shared" si="24"/>
        <v>0.42</v>
      </c>
      <c r="O78" s="244">
        <f t="shared" si="24"/>
        <v>0.38</v>
      </c>
      <c r="P78" s="244">
        <f>P68</f>
        <v>0.44</v>
      </c>
      <c r="Q78" s="244">
        <f>Q68</f>
        <v>0.19</v>
      </c>
      <c r="R78" s="244">
        <f>R68</f>
        <v>0.16370000000000001</v>
      </c>
      <c r="S78" s="244">
        <f>S68</f>
        <v>0.2</v>
      </c>
      <c r="T78" s="244">
        <f>T68</f>
        <v>0.1</v>
      </c>
    </row>
    <row r="79" spans="2:20">
      <c r="B79" s="256"/>
      <c r="D79" s="9" t="s">
        <v>12</v>
      </c>
      <c r="E79" s="263">
        <f t="shared" ref="E79:O79" si="25">E70</f>
        <v>0</v>
      </c>
      <c r="F79" s="244">
        <f t="shared" si="25"/>
        <v>0.09</v>
      </c>
      <c r="G79" s="244">
        <f t="shared" si="25"/>
        <v>0.15</v>
      </c>
      <c r="H79" s="244">
        <f t="shared" si="25"/>
        <v>0.17</v>
      </c>
      <c r="I79" s="244">
        <f t="shared" si="25"/>
        <v>0.19</v>
      </c>
      <c r="J79" s="244">
        <f t="shared" si="25"/>
        <v>0</v>
      </c>
      <c r="K79" s="244">
        <f t="shared" si="25"/>
        <v>0.02</v>
      </c>
      <c r="L79" s="244">
        <f t="shared" si="25"/>
        <v>0.1</v>
      </c>
      <c r="M79" s="244">
        <f t="shared" si="25"/>
        <v>0.02</v>
      </c>
      <c r="N79" s="244">
        <f t="shared" si="25"/>
        <v>0.03</v>
      </c>
      <c r="O79" s="244">
        <f t="shared" si="25"/>
        <v>0.04</v>
      </c>
      <c r="P79" s="244">
        <f>P70</f>
        <v>0.05</v>
      </c>
      <c r="Q79" s="244">
        <f>Q70</f>
        <v>0.02</v>
      </c>
      <c r="R79" s="244">
        <f>R70</f>
        <v>6.6100000000000006E-2</v>
      </c>
      <c r="S79" s="244">
        <f>S70</f>
        <v>0.1</v>
      </c>
      <c r="T79" s="244">
        <f>T70</f>
        <v>0.1</v>
      </c>
    </row>
    <row r="80" spans="2:20">
      <c r="B80" s="256"/>
      <c r="C80" s="9" t="s">
        <v>350</v>
      </c>
      <c r="D80" s="9" t="s">
        <v>12</v>
      </c>
      <c r="E80" s="263">
        <f t="shared" ref="E80:O80" si="26">E69</f>
        <v>0</v>
      </c>
      <c r="F80" s="244">
        <f t="shared" si="26"/>
        <v>0.25</v>
      </c>
      <c r="G80" s="244">
        <f t="shared" si="26"/>
        <v>0.18</v>
      </c>
      <c r="H80" s="244">
        <f t="shared" si="26"/>
        <v>0</v>
      </c>
      <c r="I80" s="244">
        <f t="shared" si="26"/>
        <v>0.25</v>
      </c>
      <c r="J80" s="244">
        <f t="shared" si="26"/>
        <v>0.24</v>
      </c>
      <c r="K80" s="244">
        <f t="shared" si="26"/>
        <v>2.25</v>
      </c>
      <c r="L80" s="244">
        <f t="shared" si="26"/>
        <v>1.17</v>
      </c>
      <c r="M80" s="244">
        <f t="shared" si="26"/>
        <v>1.31</v>
      </c>
      <c r="N80" s="244">
        <f t="shared" si="26"/>
        <v>1.72</v>
      </c>
      <c r="O80" s="244">
        <f t="shared" si="26"/>
        <v>1.83</v>
      </c>
      <c r="P80" s="244">
        <f>P69</f>
        <v>1.1200000000000001</v>
      </c>
      <c r="Q80" s="244">
        <f>Q69</f>
        <v>0.63</v>
      </c>
      <c r="R80" s="244">
        <f>R69</f>
        <v>0.2175</v>
      </c>
      <c r="S80" s="244">
        <f>S69</f>
        <v>0.7</v>
      </c>
      <c r="T80" s="244">
        <f>T69</f>
        <v>0.5</v>
      </c>
    </row>
    <row r="81" spans="1:20">
      <c r="B81" s="256"/>
      <c r="D81" s="9" t="s">
        <v>12</v>
      </c>
      <c r="E81" s="263">
        <f t="shared" ref="E81:O81" si="27">E71</f>
        <v>0</v>
      </c>
      <c r="F81" s="244">
        <f t="shared" si="27"/>
        <v>2.5099999999999998</v>
      </c>
      <c r="G81" s="244">
        <f t="shared" si="27"/>
        <v>2.1</v>
      </c>
      <c r="H81" s="244">
        <f t="shared" si="27"/>
        <v>1.51</v>
      </c>
      <c r="I81" s="244">
        <f t="shared" si="27"/>
        <v>1.48</v>
      </c>
      <c r="J81" s="244">
        <f t="shared" si="27"/>
        <v>1.29</v>
      </c>
      <c r="K81" s="244">
        <f t="shared" si="27"/>
        <v>0.36</v>
      </c>
      <c r="L81" s="244">
        <f t="shared" si="27"/>
        <v>0.32</v>
      </c>
      <c r="M81" s="244">
        <f t="shared" si="27"/>
        <v>0.41</v>
      </c>
      <c r="N81" s="244">
        <f t="shared" si="27"/>
        <v>0.11</v>
      </c>
      <c r="O81" s="244">
        <f t="shared" si="27"/>
        <v>0.02</v>
      </c>
      <c r="P81" s="244">
        <f>P71</f>
        <v>0.15</v>
      </c>
      <c r="Q81" s="244">
        <f>Q71</f>
        <v>0.19</v>
      </c>
      <c r="R81" s="244">
        <f>R71</f>
        <v>0.1135</v>
      </c>
      <c r="S81" s="244">
        <f>S71</f>
        <v>0.1</v>
      </c>
      <c r="T81" s="244">
        <f>T71</f>
        <v>0.4</v>
      </c>
    </row>
    <row r="82" spans="1:20">
      <c r="B82" s="256" t="s">
        <v>353</v>
      </c>
      <c r="C82" s="9" t="s">
        <v>341</v>
      </c>
      <c r="E82" s="262">
        <f t="shared" ref="E82:P82" si="28">E75+E76-E78-E79-E80-E81</f>
        <v>5.98</v>
      </c>
      <c r="F82" s="255">
        <f t="shared" si="28"/>
        <v>6.2200000000000006</v>
      </c>
      <c r="G82" s="255">
        <f t="shared" si="28"/>
        <v>5.0600000000000005</v>
      </c>
      <c r="H82" s="255">
        <f t="shared" si="28"/>
        <v>5.05</v>
      </c>
      <c r="I82" s="255">
        <f t="shared" si="28"/>
        <v>4.6199999999999992</v>
      </c>
      <c r="J82" s="255">
        <f t="shared" si="28"/>
        <v>5.35</v>
      </c>
      <c r="K82" s="255">
        <f t="shared" si="28"/>
        <v>5.86</v>
      </c>
      <c r="L82" s="255">
        <f t="shared" si="28"/>
        <v>5.629999999999999</v>
      </c>
      <c r="M82" s="255">
        <f t="shared" si="28"/>
        <v>5.5000000000000018</v>
      </c>
      <c r="N82" s="255">
        <f t="shared" si="28"/>
        <v>5.0599999999999996</v>
      </c>
      <c r="O82" s="255">
        <f t="shared" si="28"/>
        <v>4.870000000000001</v>
      </c>
      <c r="P82" s="255">
        <f t="shared" si="28"/>
        <v>5.4999999999999991</v>
      </c>
      <c r="Q82" s="255">
        <f>Q75+Q76-Q78-Q79-Q80-Q81</f>
        <v>4.9400000000000004</v>
      </c>
      <c r="R82" s="255">
        <f>R75+R76-R78-R79-R80-R81</f>
        <v>2.0649000000000002</v>
      </c>
      <c r="S82" s="255">
        <f>S75+S76-S78-S79-S80-S81</f>
        <v>4.8000000000000007</v>
      </c>
      <c r="T82" s="255">
        <f>T75+T76-T78-T79-T80-T81</f>
        <v>5.3000000000000007</v>
      </c>
    </row>
    <row r="83" spans="1:20" ht="6" customHeight="1">
      <c r="S83" s="3"/>
    </row>
    <row r="84" spans="1:20">
      <c r="A84" s="241" t="s">
        <v>356</v>
      </c>
    </row>
    <row r="85" spans="1:20">
      <c r="A85" s="9" t="s">
        <v>357</v>
      </c>
      <c r="C85" s="9" t="s">
        <v>358</v>
      </c>
      <c r="D85" s="264" t="s">
        <v>359</v>
      </c>
      <c r="E85" s="249">
        <v>67222</v>
      </c>
      <c r="F85" s="265">
        <v>73194</v>
      </c>
      <c r="G85" s="266">
        <v>67003</v>
      </c>
      <c r="H85" s="266">
        <v>67783</v>
      </c>
      <c r="I85" s="267">
        <v>58903</v>
      </c>
      <c r="J85" s="267">
        <v>54454</v>
      </c>
      <c r="K85" s="267">
        <v>45002</v>
      </c>
      <c r="L85" s="267">
        <v>43994</v>
      </c>
      <c r="M85" s="268">
        <v>45581</v>
      </c>
      <c r="N85" s="268">
        <v>42416</v>
      </c>
      <c r="O85" s="251">
        <v>38321</v>
      </c>
      <c r="P85" s="251">
        <v>39891</v>
      </c>
      <c r="Q85" s="251">
        <v>33358</v>
      </c>
      <c r="R85" s="251">
        <v>32060</v>
      </c>
      <c r="S85" s="251">
        <v>31583</v>
      </c>
      <c r="T85" s="251">
        <v>30842</v>
      </c>
    </row>
    <row r="87" spans="1:20">
      <c r="C87" s="9" t="s">
        <v>360</v>
      </c>
      <c r="D87" s="264" t="s">
        <v>359</v>
      </c>
      <c r="E87" s="249">
        <v>6623</v>
      </c>
      <c r="F87" s="265">
        <v>10822</v>
      </c>
      <c r="G87" s="266">
        <v>17467</v>
      </c>
      <c r="H87" s="266">
        <v>11427</v>
      </c>
      <c r="I87" s="267">
        <v>9501</v>
      </c>
      <c r="J87" s="267">
        <v>14995</v>
      </c>
      <c r="K87" s="267">
        <v>17024</v>
      </c>
      <c r="L87" s="267">
        <v>17909</v>
      </c>
      <c r="M87" s="268">
        <v>14612</v>
      </c>
      <c r="N87" s="253">
        <v>16106</v>
      </c>
      <c r="O87" s="251">
        <v>13532</v>
      </c>
      <c r="P87" s="251">
        <v>13169</v>
      </c>
      <c r="Q87" s="251">
        <v>14216</v>
      </c>
      <c r="R87" s="251">
        <v>16254</v>
      </c>
      <c r="S87" s="251">
        <v>16501</v>
      </c>
      <c r="T87" s="251">
        <v>16554</v>
      </c>
    </row>
    <row r="88" spans="1:20" ht="6" customHeight="1"/>
    <row r="89" spans="1:20">
      <c r="A89" s="241" t="s">
        <v>361</v>
      </c>
      <c r="B89" s="9" t="s">
        <v>339</v>
      </c>
      <c r="D89" s="9" t="s">
        <v>12</v>
      </c>
      <c r="E89" s="255">
        <f t="shared" ref="E89:O89" si="29">E72+E85/1000</f>
        <v>100.232</v>
      </c>
      <c r="F89" s="255">
        <f t="shared" si="29"/>
        <v>94.843999999999994</v>
      </c>
      <c r="G89" s="255">
        <f t="shared" si="29"/>
        <v>86.552999999999997</v>
      </c>
      <c r="H89" s="255">
        <f t="shared" si="29"/>
        <v>85.332999999999998</v>
      </c>
      <c r="I89" s="255">
        <f t="shared" si="29"/>
        <v>76.453000000000003</v>
      </c>
      <c r="J89" s="255">
        <f t="shared" si="29"/>
        <v>73.144000000000005</v>
      </c>
      <c r="K89" s="255">
        <f t="shared" si="29"/>
        <v>67.492000000000004</v>
      </c>
      <c r="L89" s="255">
        <f t="shared" si="29"/>
        <v>61.923999999999999</v>
      </c>
      <c r="M89" s="255">
        <f t="shared" si="29"/>
        <v>65.241</v>
      </c>
      <c r="N89" s="255">
        <f t="shared" si="29"/>
        <v>63.415999999999997</v>
      </c>
      <c r="O89" s="255">
        <f t="shared" si="29"/>
        <v>55.881</v>
      </c>
      <c r="P89" s="255">
        <f>P72+P85/1000</f>
        <v>56.480999999999995</v>
      </c>
      <c r="Q89" s="255">
        <f>Q72+Q85/1000</f>
        <v>49.997999999999998</v>
      </c>
      <c r="R89" s="255">
        <f>R72+R85/1000</f>
        <v>40.821400000000004</v>
      </c>
      <c r="S89" s="255">
        <f>S72+S85/1000</f>
        <v>42.283000000000001</v>
      </c>
      <c r="T89" s="255">
        <f>T72+T85/1000</f>
        <v>41.542000000000002</v>
      </c>
    </row>
    <row r="90" spans="1:20">
      <c r="A90" s="9" t="s">
        <v>362</v>
      </c>
      <c r="B90" s="9" t="s">
        <v>342</v>
      </c>
      <c r="D90" s="9" t="s">
        <v>12</v>
      </c>
      <c r="E90" s="255">
        <f t="shared" ref="E90:O90" si="30">E82+E87/1000</f>
        <v>12.603000000000002</v>
      </c>
      <c r="F90" s="255">
        <f t="shared" si="30"/>
        <v>17.042000000000002</v>
      </c>
      <c r="G90" s="255">
        <f t="shared" si="30"/>
        <v>22.527000000000001</v>
      </c>
      <c r="H90" s="255">
        <f t="shared" si="30"/>
        <v>16.477</v>
      </c>
      <c r="I90" s="255">
        <f t="shared" si="30"/>
        <v>14.120999999999999</v>
      </c>
      <c r="J90" s="255">
        <f t="shared" si="30"/>
        <v>20.344999999999999</v>
      </c>
      <c r="K90" s="255">
        <f t="shared" si="30"/>
        <v>22.884</v>
      </c>
      <c r="L90" s="255">
        <f t="shared" si="30"/>
        <v>23.538999999999998</v>
      </c>
      <c r="M90" s="255">
        <f t="shared" si="30"/>
        <v>20.112000000000002</v>
      </c>
      <c r="N90" s="255">
        <f t="shared" si="30"/>
        <v>21.166</v>
      </c>
      <c r="O90" s="255">
        <f t="shared" si="30"/>
        <v>18.402000000000001</v>
      </c>
      <c r="P90" s="255">
        <f>P82+P87/1000</f>
        <v>18.669</v>
      </c>
      <c r="Q90" s="255">
        <f>Q82+Q87/1000</f>
        <v>19.155999999999999</v>
      </c>
      <c r="R90" s="255">
        <f>R82+R87/1000</f>
        <v>18.318900000000003</v>
      </c>
      <c r="S90" s="255">
        <f>S82+S87/1000</f>
        <v>21.301000000000002</v>
      </c>
      <c r="T90" s="255">
        <f>T82+T87/1000</f>
        <v>21.853999999999999</v>
      </c>
    </row>
    <row r="91" spans="1:20" ht="6" customHeight="1"/>
    <row r="92" spans="1:20">
      <c r="B92" s="9" t="s">
        <v>343</v>
      </c>
    </row>
    <row r="93" spans="1:20">
      <c r="C93" s="9" t="s">
        <v>344</v>
      </c>
      <c r="D93" s="9" t="s">
        <v>12</v>
      </c>
      <c r="E93" s="269">
        <f t="shared" ref="E93:P93" si="31">E72+E82</f>
        <v>38.989999999999995</v>
      </c>
      <c r="F93" s="269">
        <f t="shared" si="31"/>
        <v>27.869999999999997</v>
      </c>
      <c r="G93" s="269">
        <f t="shared" si="31"/>
        <v>24.610000000000007</v>
      </c>
      <c r="H93" s="269">
        <f t="shared" si="31"/>
        <v>22.599999999999998</v>
      </c>
      <c r="I93" s="269">
        <f t="shared" si="31"/>
        <v>22.17</v>
      </c>
      <c r="J93" s="269">
        <f t="shared" si="31"/>
        <v>24.04</v>
      </c>
      <c r="K93" s="269">
        <f t="shared" si="31"/>
        <v>28.349999999999998</v>
      </c>
      <c r="L93" s="269">
        <f t="shared" si="31"/>
        <v>23.56</v>
      </c>
      <c r="M93" s="269">
        <f t="shared" si="31"/>
        <v>25.160000000000004</v>
      </c>
      <c r="N93" s="269">
        <f t="shared" si="31"/>
        <v>26.06</v>
      </c>
      <c r="O93" s="269">
        <f t="shared" si="31"/>
        <v>22.43</v>
      </c>
      <c r="P93" s="269">
        <f t="shared" si="31"/>
        <v>22.09</v>
      </c>
      <c r="Q93" s="269">
        <f>Q72+Q82</f>
        <v>21.580000000000002</v>
      </c>
      <c r="R93" s="269">
        <f>R72+R82</f>
        <v>10.8263</v>
      </c>
      <c r="S93" s="269">
        <f>S72+S82</f>
        <v>15.500000000000004</v>
      </c>
      <c r="T93" s="269">
        <f>T72+T82</f>
        <v>16</v>
      </c>
    </row>
    <row r="94" spans="1:20">
      <c r="C94" s="9" t="s">
        <v>345</v>
      </c>
      <c r="D94" s="9" t="s">
        <v>12</v>
      </c>
      <c r="E94" s="255">
        <f t="shared" ref="E94:P94" si="32">(E85+E87)/1000</f>
        <v>73.844999999999999</v>
      </c>
      <c r="F94" s="255">
        <f t="shared" si="32"/>
        <v>84.016000000000005</v>
      </c>
      <c r="G94" s="255">
        <f t="shared" si="32"/>
        <v>84.47</v>
      </c>
      <c r="H94" s="255">
        <f t="shared" si="32"/>
        <v>79.209999999999994</v>
      </c>
      <c r="I94" s="255">
        <f t="shared" si="32"/>
        <v>68.403999999999996</v>
      </c>
      <c r="J94" s="255">
        <f t="shared" si="32"/>
        <v>69.448999999999998</v>
      </c>
      <c r="K94" s="255">
        <f t="shared" si="32"/>
        <v>62.026000000000003</v>
      </c>
      <c r="L94" s="255">
        <f t="shared" si="32"/>
        <v>61.902999999999999</v>
      </c>
      <c r="M94" s="255">
        <f t="shared" si="32"/>
        <v>60.192999999999998</v>
      </c>
      <c r="N94" s="255">
        <f t="shared" si="32"/>
        <v>58.521999999999998</v>
      </c>
      <c r="O94" s="255">
        <f t="shared" si="32"/>
        <v>51.853000000000002</v>
      </c>
      <c r="P94" s="255">
        <f t="shared" si="32"/>
        <v>53.06</v>
      </c>
      <c r="Q94" s="255">
        <f>(Q85+Q87)/1000</f>
        <v>47.573999999999998</v>
      </c>
      <c r="R94" s="255">
        <f>(R85+R87)/1000</f>
        <v>48.314</v>
      </c>
      <c r="S94" s="255">
        <f>(S85+S87)/1000</f>
        <v>48.084000000000003</v>
      </c>
      <c r="T94" s="255">
        <f>(T85+T87)/1000</f>
        <v>47.396000000000001</v>
      </c>
    </row>
    <row r="95" spans="1:20" ht="5.25" customHeight="1"/>
    <row r="96" spans="1:20" ht="118.5" customHeight="1"/>
  </sheetData>
  <phoneticPr fontId="3" type="noConversion"/>
  <pageMargins left="0.37" right="0.32" top="1" bottom="1" header="0.5" footer="0.5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76"/>
  <sheetViews>
    <sheetView zoomScaleNormal="100" zoomScaleSheetLayoutView="70" workbookViewId="0">
      <selection activeCell="L16" sqref="L16:L17"/>
    </sheetView>
  </sheetViews>
  <sheetFormatPr defaultColWidth="0" defaultRowHeight="12.75" zeroHeight="1"/>
  <cols>
    <col min="1" max="1" width="1.140625" style="404" customWidth="1"/>
    <col min="2" max="2" width="3.28515625" style="404" customWidth="1"/>
    <col min="3" max="3" width="34.28515625" style="404" customWidth="1"/>
    <col min="4" max="4" width="10.140625" style="404" bestFit="1" customWidth="1"/>
    <col min="5" max="5" width="10.140625" style="404" customWidth="1"/>
    <col min="6" max="6" width="10.28515625" style="404" customWidth="1"/>
    <col min="7" max="7" width="8.85546875" style="404" customWidth="1"/>
    <col min="8" max="8" width="10.140625" style="404" customWidth="1"/>
    <col min="9" max="9" width="9.5703125" style="404" customWidth="1"/>
    <col min="10" max="10" width="10.42578125" style="404" customWidth="1"/>
    <col min="11" max="11" width="9" style="404" customWidth="1"/>
    <col min="12" max="12" width="10" style="404" customWidth="1"/>
    <col min="13" max="13" width="9.7109375" style="404" customWidth="1"/>
    <col min="14" max="14" width="9" style="404" customWidth="1"/>
    <col min="15" max="15" width="11.42578125" style="404" customWidth="1"/>
    <col min="16" max="16" width="11.7109375" style="404" customWidth="1"/>
    <col min="17" max="17" width="4.42578125" style="404" customWidth="1"/>
    <col min="18" max="18" width="1.42578125" style="404" customWidth="1"/>
    <col min="19" max="16384" width="0" style="404" hidden="1"/>
  </cols>
  <sheetData>
    <row r="1" spans="1:18" s="395" customFormat="1" ht="5.25" customHeight="1">
      <c r="A1" s="393"/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</row>
    <row r="2" spans="1:18" s="395" customFormat="1" ht="3" customHeight="1">
      <c r="A2" s="396"/>
      <c r="B2" s="430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2"/>
      <c r="R2" s="399"/>
    </row>
    <row r="3" spans="1:18" s="395" customFormat="1" ht="28.5" customHeight="1">
      <c r="A3" s="396"/>
      <c r="B3" s="430"/>
      <c r="C3" s="433" t="s">
        <v>607</v>
      </c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  <c r="R3" s="399"/>
    </row>
    <row r="4" spans="1:18" s="395" customFormat="1" ht="7.5" customHeight="1">
      <c r="A4" s="393"/>
      <c r="B4" s="434"/>
      <c r="C4" s="430"/>
      <c r="D4" s="430"/>
      <c r="E4" s="430"/>
      <c r="F4" s="430"/>
      <c r="G4" s="430"/>
      <c r="H4" s="430"/>
      <c r="I4" s="431"/>
      <c r="J4" s="431"/>
      <c r="K4" s="430"/>
      <c r="L4" s="430"/>
      <c r="M4" s="430"/>
      <c r="N4" s="430"/>
      <c r="O4" s="430"/>
      <c r="P4" s="430"/>
      <c r="Q4" s="432"/>
      <c r="R4" s="393"/>
    </row>
    <row r="5" spans="1:18" s="395" customFormat="1">
      <c r="A5" s="396"/>
      <c r="B5" s="430"/>
      <c r="C5" s="435" t="s">
        <v>619</v>
      </c>
      <c r="D5" s="430"/>
      <c r="E5" s="435" t="s">
        <v>468</v>
      </c>
      <c r="F5" s="430"/>
      <c r="G5" s="430"/>
      <c r="H5" s="430"/>
      <c r="I5" s="431"/>
      <c r="J5" s="435" t="s">
        <v>479</v>
      </c>
      <c r="K5" s="430"/>
      <c r="L5" s="435" t="s">
        <v>480</v>
      </c>
      <c r="M5" s="431"/>
      <c r="N5" s="435" t="s">
        <v>481</v>
      </c>
      <c r="O5" s="431"/>
      <c r="P5" s="430"/>
      <c r="Q5" s="432"/>
      <c r="R5" s="399"/>
    </row>
    <row r="6" spans="1:18" s="395" customFormat="1">
      <c r="A6" s="396"/>
      <c r="B6" s="430"/>
      <c r="C6" s="431"/>
      <c r="D6" s="431"/>
      <c r="E6" s="431"/>
      <c r="F6" s="430"/>
      <c r="G6" s="430"/>
      <c r="H6" s="430"/>
      <c r="I6" s="431"/>
      <c r="J6" s="431"/>
      <c r="K6" s="431"/>
      <c r="L6" s="431"/>
      <c r="M6" s="431"/>
      <c r="N6" s="431"/>
      <c r="O6" s="431"/>
      <c r="P6" s="430" t="s">
        <v>139</v>
      </c>
      <c r="Q6" s="432"/>
      <c r="R6" s="399"/>
    </row>
    <row r="7" spans="1:18" s="395" customFormat="1" ht="6.75" customHeight="1">
      <c r="A7" s="396"/>
      <c r="B7" s="430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2"/>
      <c r="R7" s="399"/>
    </row>
    <row r="8" spans="1:18" s="395" customFormat="1" ht="4.5" customHeight="1">
      <c r="A8" s="396"/>
      <c r="B8" s="436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8"/>
      <c r="R8" s="399"/>
    </row>
    <row r="9" spans="1:18" s="395" customFormat="1" ht="27.75" customHeight="1">
      <c r="A9" s="396"/>
      <c r="B9" s="392"/>
      <c r="C9" s="391" t="str">
        <f>CONCATENATE(L!B54,": ",VLOOKUP(L!$D$54,L!D2:G40,4,FALSE))</f>
        <v>Scotland/Great Britain Comparisons Index Numbers: Local bus passenger journeys</v>
      </c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706" t="str">
        <f ca="1">IF(VLOOKUP(L!$B$56,L!$I$2:$L$9,4,FALSE)="(%)","Percentage point change over previous year","% change over previous year")</f>
        <v>% change over previous year</v>
      </c>
      <c r="P9" s="706" t="str">
        <f ca="1">IF(VLOOKUP(L!$B$56,L!$I$2:$L$9,4,FALSE)="(%)","Percentage point change over previous 5 years","% change over previous 5 years")</f>
        <v>% change over previous 5 years</v>
      </c>
      <c r="Q9" s="398"/>
      <c r="R9" s="399"/>
    </row>
    <row r="10" spans="1:18" s="395" customFormat="1" ht="16.5" customHeight="1">
      <c r="A10" s="396"/>
      <c r="B10" s="392"/>
      <c r="C10" s="391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706"/>
      <c r="P10" s="706"/>
      <c r="Q10" s="398"/>
      <c r="R10" s="399"/>
    </row>
    <row r="11" spans="1:18" s="395" customFormat="1" ht="12.75" customHeight="1">
      <c r="A11" s="396"/>
      <c r="B11" s="392"/>
      <c r="C11" s="392"/>
      <c r="D11" s="455">
        <f>L!B46</f>
        <v>2004</v>
      </c>
      <c r="E11" s="455">
        <f>L!C46</f>
        <v>2005</v>
      </c>
      <c r="F11" s="455">
        <f>L!D46</f>
        <v>2006</v>
      </c>
      <c r="G11" s="455">
        <f>L!E46</f>
        <v>2007</v>
      </c>
      <c r="H11" s="455">
        <f>L!F46</f>
        <v>2008</v>
      </c>
      <c r="I11" s="455">
        <f>L!G46</f>
        <v>2009</v>
      </c>
      <c r="J11" s="455">
        <f>L!H46</f>
        <v>2010</v>
      </c>
      <c r="K11" s="455">
        <f>L!I46</f>
        <v>2011</v>
      </c>
      <c r="L11" s="455">
        <f>L!J46</f>
        <v>2012</v>
      </c>
      <c r="M11" s="455">
        <f>L!K46</f>
        <v>2013</v>
      </c>
      <c r="N11" s="455">
        <f>L!L46</f>
        <v>2014</v>
      </c>
      <c r="O11" s="706"/>
      <c r="P11" s="706"/>
      <c r="Q11" s="398"/>
      <c r="R11" s="399"/>
    </row>
    <row r="12" spans="1:18" s="395" customFormat="1" ht="15.75" customHeight="1">
      <c r="A12" s="396"/>
      <c r="B12" s="392"/>
      <c r="C12" s="707" t="str">
        <f ca="1">IF(L!$A$9=7,CONCATENATE(VLOOKUP(L!$B$56,L!$I$2:$K$9,3,FALSE)," ",VLOOKUP(L!$B$56,L!$I$2:$M$9,5,FALSE)),IF(OR(L!$A$9=2,L!$A$9=6),VLOOKUP(L!$B$56,L!$I$2:$K$9,3,FALSE),CONCATENATE(VLOOKUP(L!$B$56,L!$I$2:$K$9,3,FALSE)," ",VLOOKUP(L!$B$56,L!$I$2:$L$9,4,FALSE))))</f>
        <v>Scotland</v>
      </c>
      <c r="D12" s="70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pop.'!$A$4)))))),MATCH(L!$D$54,Select,0)+VLOOKUP(L!$B$56,L!$I$2:$J$9,2,FALSE)-1,MATCH(Tool!D$11,Select2,0)-1,1,1),"")</f>
        <v>100</v>
      </c>
      <c r="E12" s="70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pop.'!$A$4)))))),MATCH(L!$D$54,Select,0)+VLOOKUP(L!$B$56,L!$I$2:$J$9,2,FALSE)-1,MATCH(Tool!E$11,Select2,0)-1,1,1),"")</f>
        <v>101.30434782608695</v>
      </c>
      <c r="F12" s="70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pop.'!$A$4)))))),MATCH(L!$D$54,Select,0)+VLOOKUP(L!$B$56,L!$I$2:$J$9,2,FALSE)-1,MATCH(Tool!F$11,Select2,0)-1,1,1),"")</f>
        <v>103.47826086956522</v>
      </c>
      <c r="G12" s="70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pop.'!$A$4)))))),MATCH(L!$D$54,Select,0)+VLOOKUP(L!$B$56,L!$I$2:$J$9,2,FALSE)-1,MATCH(Tool!G$11,Select2,0)-1,1,1),"")</f>
        <v>106.08695652173914</v>
      </c>
      <c r="H12" s="70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pop.'!$A$4)))))),MATCH(L!$D$54,Select,0)+VLOOKUP(L!$B$56,L!$I$2:$J$9,2,FALSE)-1,MATCH(Tool!H$11,Select2,0)-1,1,1),"")</f>
        <v>105.21739130434781</v>
      </c>
      <c r="I12" s="70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pop.'!$A$4)))))),MATCH(L!$D$54,Select,0)+VLOOKUP(L!$B$56,L!$I$2:$J$9,2,FALSE)-1,MATCH(Tool!I$11,Select2,0)-1,1,1),"")</f>
        <v>99.782608695652172</v>
      </c>
      <c r="J12" s="70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pop.'!$A$4)))))),MATCH(L!$D$54,Select,0)+VLOOKUP(L!$B$56,L!$I$2:$J$9,2,FALSE)-1,MATCH(Tool!J$11,Select2,0)-1,1,1),"")</f>
        <v>93.913043478260875</v>
      </c>
      <c r="K12" s="70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pop.'!$A$4)))))),MATCH(L!$D$54,Select,0)+VLOOKUP(L!$B$56,L!$I$2:$J$9,2,FALSE)-1,MATCH(Tool!K$11,Select2,0)-1,1,1),"")</f>
        <v>95.027218771480221</v>
      </c>
      <c r="L12" s="70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pop.'!$A$4)))))),MATCH(L!$D$54,Select,0)+VLOOKUP(L!$B$56,L!$I$2:$J$9,2,FALSE)-1,MATCH(Tool!L$11,Select2,0)-1,1,1),"")</f>
        <v>91.852888976890867</v>
      </c>
      <c r="M12" s="708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pop.'!$A$4)))))),MATCH(L!$D$54,Select,0)+VLOOKUP(L!$B$56,L!$I$2:$J$9,2,FALSE)-1,MATCH(Tool!M$11,Select2,0)-1,1,1),"")</f>
        <v>92.216771967064346</v>
      </c>
      <c r="N12" s="705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pop.'!$A$4)))))),MATCH(L!$D$54,Select,0)+VLOOKUP(L!$B$56,L!$I$2:$J$9,2,FALSE)-1,MATCH(Tool!N$11,Select2,0)-1,1,1),"")</f>
        <v>89.984900566960874</v>
      </c>
      <c r="O12" s="709">
        <f ca="1">IFERROR(IF(OR(VLOOKUP(L!$B$56,L!$I$2:$L$9,4,FALSE)="(%)",L!$A$9=2,L!$A$9=6),(N12-M12)/100,IFERROR(IFERROR((N12-M12)/M12,(IFERROR((M12-L12)/L12,(L12-K12)/K12))),"..")),"..")</f>
        <v>-2.2318714001034721E-2</v>
      </c>
      <c r="P12" s="709">
        <f ca="1">IFERROR(IF(OR(VLOOKUP(L!$B$56,L!$I$2:$L$9,4,FALSE)="(%)",L!$A$9=2,L!$A$9=6),(N12-I12)/100,IFERROR(IFERROR((N12-I12)/I12,(IFERROR((M12-H12)/H12,(L12-G12)/G12))),"…")),"..")</f>
        <v>-9.7977081286912973E-2</v>
      </c>
      <c r="Q12" s="398"/>
      <c r="R12" s="399"/>
    </row>
    <row r="13" spans="1:18" s="395" customFormat="1" ht="15.75" customHeight="1">
      <c r="A13" s="396"/>
      <c r="B13" s="392"/>
      <c r="C13" s="707"/>
      <c r="D13" s="703"/>
      <c r="E13" s="703"/>
      <c r="F13" s="703"/>
      <c r="G13" s="703"/>
      <c r="H13" s="703"/>
      <c r="I13" s="703"/>
      <c r="J13" s="703"/>
      <c r="K13" s="703"/>
      <c r="L13" s="703"/>
      <c r="M13" s="703"/>
      <c r="N13" s="704"/>
      <c r="O13" s="702"/>
      <c r="P13" s="702"/>
      <c r="Q13" s="398"/>
      <c r="R13" s="399"/>
    </row>
    <row r="14" spans="1:18" s="395" customFormat="1" ht="15" customHeight="1">
      <c r="A14" s="396"/>
      <c r="B14" s="392"/>
      <c r="C14" s="707" t="str">
        <f ca="1">IF(L!$A$9=7,CONCATENATE(VLOOKUP(L!$D$56,L!$I$2:$K$9,3,FALSE)," ",VLOOKUP(L!$D$56,L!$I$2:$M$9,5,FALSE)),IF(OR(L!$A$9=2,L!$A$9=6),VLOOKUP(L!$D$56,L!$I$2:$K$9,3,FALSE),CONCATENATE(VLOOKUP(L!$D$56,L!$I$2:$K$9,3,FALSE)," ",VLOOKUP(L!$D$56,L!$I$2:$L$9,4,FALSE))))</f>
        <v>Great Britain</v>
      </c>
      <c r="D14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pop.'!$A$4)))))),MATCH(L!$D$54,Select,0)+VLOOKUP(L!$D$56,L!$I$2:$J$9,2,FALSE)-1,MATCH(Tool!D$11,Select2,0)-1,1,1),"")</f>
        <v>100</v>
      </c>
      <c r="E14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pop.'!$A$4)))))),MATCH(L!$D$54,Select,0)+VLOOKUP(L!$D$56,L!$I$2:$J$9,2,FALSE)-1,MATCH(Tool!E$11,Select2,0)-1,1,1),"")</f>
        <v>101.94342474627511</v>
      </c>
      <c r="F14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pop.'!$A$4)))))),MATCH(L!$D$54,Select,0)+VLOOKUP(L!$D$56,L!$I$2:$J$9,2,FALSE)-1,MATCH(Tool!F$11,Select2,0)-1,1,1),"")</f>
        <v>106.08939753832864</v>
      </c>
      <c r="G14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pop.'!$A$4)))))),MATCH(L!$D$54,Select,0)+VLOOKUP(L!$D$56,L!$I$2:$J$9,2,FALSE)-1,MATCH(Tool!G$11,Select2,0)-1,1,1),"")</f>
        <v>111.4662060030231</v>
      </c>
      <c r="H14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pop.'!$A$4)))))),MATCH(L!$D$54,Select,0)+VLOOKUP(L!$D$56,L!$I$2:$J$9,2,FALSE)-1,MATCH(Tool!H$11,Select2,0)-1,1,1),"")</f>
        <v>113.77672209026129</v>
      </c>
      <c r="I14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pop.'!$A$4)))))),MATCH(L!$D$54,Select,0)+VLOOKUP(L!$D$56,L!$I$2:$J$9,2,FALSE)-1,MATCH(Tool!I$11,Select2,0)-1,1,1),"")</f>
        <v>112.50269920103648</v>
      </c>
      <c r="J14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pop.'!$A$4)))))),MATCH(L!$D$54,Select,0)+VLOOKUP(L!$D$56,L!$I$2:$J$9,2,FALSE)-1,MATCH(Tool!J$11,Select2,0)-1,1,1),"")</f>
        <v>112.02763981861369</v>
      </c>
      <c r="K14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pop.'!$A$4)))))),MATCH(L!$D$54,Select,0)+VLOOKUP(L!$D$56,L!$I$2:$J$9,2,FALSE)-1,MATCH(Tool!K$11,Select2,0)-1,1,1),"")</f>
        <v>112.61066724249622</v>
      </c>
      <c r="L14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pop.'!$A$4)))))),MATCH(L!$D$54,Select,0)+VLOOKUP(L!$D$56,L!$I$2:$J$9,2,FALSE)-1,MATCH(Tool!L$11,Select2,0)-1,1,1),"")</f>
        <v>110.58086806305334</v>
      </c>
      <c r="M14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pop.'!$A$4)))))),MATCH(L!$D$54,Select,0)+VLOOKUP(L!$D$56,L!$I$2:$J$9,2,FALSE)-1,MATCH(Tool!M$11,Select2,0)-1,1,1),"")</f>
        <v>112.41632476786872</v>
      </c>
      <c r="N14" s="704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pop.'!$A$4)))))),MATCH(L!$D$54,Select,0)+VLOOKUP(L!$D$56,L!$I$2:$J$9,2,FALSE)-1,MATCH(Tool!N$11,Select2,0)-1,1,1),"")</f>
        <v>111.48779961131505</v>
      </c>
      <c r="O14" s="702">
        <f ca="1">IFERROR(IF(OR(VLOOKUP(L!$B$56,L!$I$2:$L$9,4,FALSE)="(%)",L!$A$9=2,L!$A$9=6),(N14-M14)/100,IFERROR(IFERROR((N14-M14)/M14,(IFERROR((M14-L14)/L14,(L14-K14)/K14))),"..")),"..")</f>
        <v>-9.2852515655366119E-3</v>
      </c>
      <c r="P14" s="702">
        <f ca="1">IFERROR(IF(OR(VLOOKUP(L!$B$56,L!$I$2:$L$9,4,FALSE)="(%)",L!$A$9=2,L!$A$9=6),(N14-I14)/100,IFERROR(IFERROR((N14-I14)/I14,(IFERROR((M14-H14)/H14,(L14-G14)/G14))),"…")),"..")</f>
        <v>-1.0148995897214234E-2</v>
      </c>
      <c r="Q14" s="398"/>
      <c r="R14" s="399"/>
    </row>
    <row r="15" spans="1:18" s="395" customFormat="1" ht="15" customHeight="1">
      <c r="A15" s="396"/>
      <c r="B15" s="392"/>
      <c r="C15" s="707"/>
      <c r="D15" s="703"/>
      <c r="E15" s="703"/>
      <c r="F15" s="703"/>
      <c r="G15" s="703"/>
      <c r="H15" s="703"/>
      <c r="I15" s="703"/>
      <c r="J15" s="703"/>
      <c r="K15" s="703"/>
      <c r="L15" s="703"/>
      <c r="M15" s="703"/>
      <c r="N15" s="704"/>
      <c r="O15" s="702"/>
      <c r="P15" s="702"/>
      <c r="Q15" s="398"/>
      <c r="R15" s="399"/>
    </row>
    <row r="16" spans="1:18" s="395" customFormat="1" ht="15.75" customHeight="1">
      <c r="A16" s="396"/>
      <c r="B16" s="392"/>
      <c r="C16" s="707" t="str">
        <f ca="1">IF(L!$A$9=7,CONCATENATE(VLOOKUP(L!$G$56,L!$I$2:$K$9,3,FALSE)," ",VLOOKUP(L!$G$56,L!$I$2:$M$9,5,FALSE)),IF(OR(L!$A$9=2,L!$A$9=6),VLOOKUP(L!$G$56,L!$I$2:$K$9,3,FALSE),CONCATENATE(VLOOKUP(L!$G$56,L!$I$2:$K$9,3,FALSE)," ",VLOOKUP(L!$G$56,L!$I$2:$L$9,4,FALSE))))</f>
        <v/>
      </c>
      <c r="D16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pop.'!$A$4)))))),MATCH(L!$D$54,Select,0)+VLOOKUP(L!$G$56,L!$I$2:$J$9,2,FALSE)-1,MATCH(Tool!D$11,Select2,0)-1,1,1),"")</f>
        <v>0</v>
      </c>
      <c r="E16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pop.'!$A$4)))))),MATCH(L!$D$54,Select,0)+VLOOKUP(L!$G$56,L!$I$2:$J$9,2,FALSE)-1,MATCH(Tool!E$11,Select2,0)-1,1,1),"")</f>
        <v>0</v>
      </c>
      <c r="F16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pop.'!$A$4)))))),MATCH(L!$D$54,Select,0)+VLOOKUP(L!$G$56,L!$I$2:$J$9,2,FALSE)-1,MATCH(Tool!F$11,Select2,0)-1,1,1),"")</f>
        <v>0</v>
      </c>
      <c r="G16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pop.'!$A$4)))))),MATCH(L!$D$54,Select,0)+VLOOKUP(L!$G$56,L!$I$2:$J$9,2,FALSE)-1,MATCH(Tool!G$11,Select2,0)-1,1,1),"")</f>
        <v>0</v>
      </c>
      <c r="H16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pop.'!$A$4)))))),MATCH(L!$D$54,Select,0)+VLOOKUP(L!$G$56,L!$I$2:$J$9,2,FALSE)-1,MATCH(Tool!H$11,Select2,0)-1,1,1),"")</f>
        <v>0</v>
      </c>
      <c r="I16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pop.'!$A$4)))))),MATCH(L!$D$54,Select,0)+VLOOKUP(L!$G$56,L!$I$2:$J$9,2,FALSE)-1,MATCH(Tool!I$11,Select2,0)-1,1,1),"")</f>
        <v>0</v>
      </c>
      <c r="J16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pop.'!$A$4)))))),MATCH(L!$D$54,Select,0)+VLOOKUP(L!$G$56,L!$I$2:$J$9,2,FALSE)-1,MATCH(Tool!J$11,Select2,0)-1,1,1),"")</f>
        <v>0</v>
      </c>
      <c r="K16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pop.'!$A$4)))))),MATCH(L!$D$54,Select,0)+VLOOKUP(L!$G$56,L!$I$2:$J$9,2,FALSE)-1,MATCH(Tool!K$11,Select2,0)-1,1,1),"")</f>
        <v>0</v>
      </c>
      <c r="L16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pop.'!$A$4)))))),MATCH(L!$D$54,Select,0)+VLOOKUP(L!$G$56,L!$I$2:$J$9,2,FALSE)-1,MATCH(Tool!L$11,Select2,0)-1,1,1),"")</f>
        <v>0</v>
      </c>
      <c r="M16" s="703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pop.'!$A$4)))))),MATCH(L!$D$54,Select,0)+VLOOKUP(L!$G$56,L!$I$2:$J$9,2,FALSE)-1,MATCH(Tool!M$11,Select2,0)-1,1,1),"")</f>
        <v>0</v>
      </c>
      <c r="N16" s="704">
        <f ca="1">IFERROR(OFFSET(IF(L!$A$9 = 1,'S1 Numbers'!$A$3,IF(L!$A$9 = 2,'S2 Index'!$A$3, IF(L!$A$9 = 3,'S3 SHS'!$B$4,IF(L!$A$9 = 4,'S4 Cross Border'!$A$3,IF(L!$A$9=5,'SGB1'!$A$3,IF(L!$A$9=6,'SGB2 index'!$A$4,'SGB3 rel. to pop.'!$A$4)))))),MATCH(L!$D$54,Select,0)+VLOOKUP(L!$G$56,L!$I$2:$J$9,2,FALSE)-1,MATCH(Tool!N$11,Select2,0)-1,1,1),"")</f>
        <v>0</v>
      </c>
      <c r="O16" s="702">
        <f ca="1">IFERROR(IF(OR(VLOOKUP(L!$B$56,L!$I$2:$L$9,4,FALSE)="(%)",L!$A$9=2,L!$A$9=6),(N16-M16)/100,IFERROR(IFERROR((N16-M16)/M16,(IFERROR((M16-L16)/L16,(L16-K16)/K16))),"..")),"..")</f>
        <v>0</v>
      </c>
      <c r="P16" s="702">
        <f ca="1">IFERROR(IF(OR(VLOOKUP(L!$B$56,L!$I$2:$L$9,4,FALSE)="(%)",L!$A$9=2,L!$A$9=6),(N16-I16)/100,IFERROR(IFERROR((N16-I16)/I16,(IFERROR((M16-H16)/H16,(L16-G16)/G16))),"…")),"..")</f>
        <v>0</v>
      </c>
      <c r="Q16" s="398"/>
      <c r="R16" s="399"/>
    </row>
    <row r="17" spans="1:18" s="395" customFormat="1" ht="15.75" customHeight="1">
      <c r="A17" s="396"/>
      <c r="B17" s="392"/>
      <c r="C17" s="707"/>
      <c r="D17" s="703"/>
      <c r="E17" s="703"/>
      <c r="F17" s="703"/>
      <c r="G17" s="703"/>
      <c r="H17" s="703"/>
      <c r="I17" s="703"/>
      <c r="J17" s="703"/>
      <c r="K17" s="703"/>
      <c r="L17" s="703"/>
      <c r="M17" s="703"/>
      <c r="N17" s="704"/>
      <c r="O17" s="702"/>
      <c r="P17" s="702"/>
      <c r="Q17" s="398"/>
      <c r="R17" s="399"/>
    </row>
    <row r="18" spans="1:18" s="395" customFormat="1" ht="5.25" hidden="1" customHeight="1">
      <c r="A18" s="396"/>
      <c r="B18" s="392"/>
      <c r="C18" s="392"/>
      <c r="D18" s="392"/>
      <c r="E18" s="392"/>
      <c r="F18" s="392"/>
      <c r="G18" s="392"/>
      <c r="H18" s="392"/>
      <c r="I18" s="397"/>
      <c r="J18" s="392"/>
      <c r="K18" s="392"/>
      <c r="L18" s="392"/>
      <c r="M18" s="392"/>
      <c r="N18" s="392"/>
      <c r="O18" s="392"/>
      <c r="P18" s="392"/>
      <c r="Q18" s="398"/>
      <c r="R18" s="399"/>
    </row>
    <row r="19" spans="1:18" s="395" customFormat="1" ht="10.5" customHeight="1">
      <c r="A19" s="396"/>
      <c r="B19" s="392"/>
      <c r="C19" s="392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O19" s="392"/>
      <c r="P19" s="392"/>
      <c r="Q19" s="398"/>
      <c r="R19" s="399"/>
    </row>
    <row r="20" spans="1:18" s="395" customFormat="1">
      <c r="A20" s="396"/>
      <c r="B20" s="392"/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392"/>
      <c r="O20" s="392"/>
      <c r="P20" s="392"/>
      <c r="Q20" s="398"/>
      <c r="R20" s="399"/>
    </row>
    <row r="21" spans="1:18" s="395" customFormat="1">
      <c r="A21" s="396"/>
      <c r="B21" s="392"/>
      <c r="C21" s="392"/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8"/>
      <c r="R21" s="399"/>
    </row>
    <row r="22" spans="1:18" s="395" customFormat="1">
      <c r="A22" s="396"/>
      <c r="B22" s="392"/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8"/>
      <c r="R22" s="399"/>
    </row>
    <row r="23" spans="1:18" s="395" customFormat="1">
      <c r="A23" s="396"/>
      <c r="B23" s="392"/>
      <c r="C23" s="392"/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8"/>
      <c r="R23" s="399"/>
    </row>
    <row r="24" spans="1:18" s="395" customFormat="1">
      <c r="A24" s="396"/>
      <c r="B24" s="392"/>
      <c r="C24" s="392"/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8"/>
      <c r="R24" s="399"/>
    </row>
    <row r="25" spans="1:18" s="395" customFormat="1">
      <c r="A25" s="396"/>
      <c r="B25" s="392"/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8"/>
      <c r="R25" s="399"/>
    </row>
    <row r="26" spans="1:18" s="395" customFormat="1">
      <c r="A26" s="396"/>
      <c r="B26" s="392"/>
      <c r="C26" s="392"/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8"/>
      <c r="R26" s="399"/>
    </row>
    <row r="27" spans="1:18" s="395" customFormat="1">
      <c r="A27" s="396"/>
      <c r="B27" s="392"/>
      <c r="C27" s="392"/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2"/>
      <c r="Q27" s="398"/>
      <c r="R27" s="399"/>
    </row>
    <row r="28" spans="1:18" s="395" customFormat="1">
      <c r="A28" s="396"/>
      <c r="B28" s="392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8"/>
      <c r="R28" s="399"/>
    </row>
    <row r="29" spans="1:18" s="395" customFormat="1">
      <c r="A29" s="396"/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8"/>
      <c r="R29" s="399"/>
    </row>
    <row r="30" spans="1:18" s="395" customFormat="1">
      <c r="A30" s="396"/>
      <c r="B30" s="392"/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8"/>
      <c r="R30" s="399"/>
    </row>
    <row r="31" spans="1:18" s="395" customFormat="1">
      <c r="A31" s="396"/>
      <c r="B31" s="392"/>
      <c r="C31" s="392"/>
      <c r="D31" s="392"/>
      <c r="E31" s="392"/>
      <c r="F31" s="392"/>
      <c r="G31" s="392"/>
      <c r="H31" s="392"/>
      <c r="I31" s="392"/>
      <c r="J31" s="392"/>
      <c r="K31" s="392"/>
      <c r="L31" s="392"/>
      <c r="M31" s="392"/>
      <c r="N31" s="392"/>
      <c r="O31" s="392"/>
      <c r="P31" s="392"/>
      <c r="Q31" s="398"/>
      <c r="R31" s="399"/>
    </row>
    <row r="32" spans="1:18" s="395" customFormat="1">
      <c r="A32" s="396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8"/>
      <c r="R32" s="399"/>
    </row>
    <row r="33" spans="1:18" s="395" customFormat="1">
      <c r="A33" s="396"/>
      <c r="B33" s="392"/>
      <c r="C33" s="392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8"/>
      <c r="R33" s="399"/>
    </row>
    <row r="34" spans="1:18" s="395" customFormat="1">
      <c r="A34" s="396"/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8"/>
      <c r="R34" s="399"/>
    </row>
    <row r="35" spans="1:18" s="395" customFormat="1">
      <c r="A35" s="396"/>
      <c r="B35" s="392"/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8"/>
      <c r="R35" s="399"/>
    </row>
    <row r="36" spans="1:18" s="395" customFormat="1">
      <c r="A36" s="396"/>
      <c r="B36" s="392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8"/>
      <c r="R36" s="399"/>
    </row>
    <row r="37" spans="1:18" s="395" customFormat="1">
      <c r="A37" s="396"/>
      <c r="B37" s="392"/>
      <c r="C37" s="392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2"/>
      <c r="P37" s="392"/>
      <c r="Q37" s="398"/>
      <c r="R37" s="399"/>
    </row>
    <row r="38" spans="1:18" s="395" customFormat="1">
      <c r="A38" s="396"/>
      <c r="B38" s="392"/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8"/>
      <c r="R38" s="399"/>
    </row>
    <row r="39" spans="1:18" s="395" customFormat="1">
      <c r="A39" s="396"/>
      <c r="B39" s="392"/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8"/>
      <c r="R39" s="399"/>
    </row>
    <row r="40" spans="1:18" s="395" customFormat="1">
      <c r="A40" s="396"/>
      <c r="B40" s="392"/>
      <c r="C40" s="392"/>
      <c r="D40" s="392"/>
      <c r="E40" s="392"/>
      <c r="F40" s="392"/>
      <c r="G40" s="392"/>
      <c r="H40" s="392"/>
      <c r="I40" s="392"/>
      <c r="J40" s="392"/>
      <c r="K40" s="392"/>
      <c r="L40" s="392"/>
      <c r="M40" s="392"/>
      <c r="N40" s="392"/>
      <c r="O40" s="392"/>
      <c r="P40" s="392"/>
      <c r="Q40" s="398"/>
      <c r="R40" s="399"/>
    </row>
    <row r="41" spans="1:18" s="395" customFormat="1" ht="1.5" customHeight="1">
      <c r="A41" s="396"/>
      <c r="B41" s="392"/>
      <c r="C41" s="392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2"/>
      <c r="O41" s="392"/>
      <c r="P41" s="392"/>
      <c r="Q41" s="398"/>
      <c r="R41" s="399"/>
    </row>
    <row r="42" spans="1:18" s="395" customFormat="1" ht="3.75" hidden="1" customHeight="1">
      <c r="A42" s="396"/>
      <c r="B42" s="392"/>
      <c r="C42" s="392"/>
      <c r="D42" s="392"/>
      <c r="E42" s="392"/>
      <c r="F42" s="392"/>
      <c r="G42" s="392"/>
      <c r="H42" s="392"/>
      <c r="I42" s="392"/>
      <c r="J42" s="392"/>
      <c r="K42" s="392"/>
      <c r="L42" s="392"/>
      <c r="M42" s="392"/>
      <c r="N42" s="392"/>
      <c r="O42" s="392"/>
      <c r="P42" s="392"/>
      <c r="Q42" s="398"/>
      <c r="R42" s="399"/>
    </row>
    <row r="43" spans="1:18" s="395" customFormat="1" hidden="1">
      <c r="A43" s="396"/>
      <c r="B43" s="392"/>
      <c r="C43" s="392"/>
      <c r="D43" s="392"/>
      <c r="E43" s="392"/>
      <c r="F43" s="392"/>
      <c r="G43" s="392"/>
      <c r="H43" s="392"/>
      <c r="I43" s="392"/>
      <c r="J43" s="392"/>
      <c r="K43" s="392"/>
      <c r="L43" s="392"/>
      <c r="M43" s="392"/>
      <c r="N43" s="392"/>
      <c r="O43" s="392"/>
      <c r="P43" s="392"/>
      <c r="Q43" s="398"/>
      <c r="R43" s="399"/>
    </row>
    <row r="44" spans="1:18" s="395" customFormat="1" ht="3" hidden="1" customHeight="1">
      <c r="A44" s="396"/>
      <c r="B44" s="392"/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8"/>
      <c r="R44" s="399"/>
    </row>
    <row r="45" spans="1:18" s="395" customFormat="1" ht="18" customHeight="1">
      <c r="A45" s="393"/>
      <c r="B45" s="400"/>
      <c r="C45" s="476" t="str">
        <f>HYPERLINK(IF(L!A9=1,"#'S1 Numbers'!A4",IF(L!A9=2,"#'S2 Index'!A1",IF(L!A9=3,"#'S3 SHS'!A2",IF(L!A9=4,"#'S4 Cross Border'!A1",IF(L!A9=5,"#'SGB1'!A1",IF(L!A9=6,"#'SGB2 index'!A60","#'SGB3 rel. to pop.'!A2")))))),"Relevant notes can be found on the corresponding worksheet")</f>
        <v>Relevant notes can be found on the corresponding worksheet</v>
      </c>
      <c r="D45" s="392"/>
      <c r="E45" s="392"/>
      <c r="F45" s="392"/>
      <c r="G45" s="392"/>
      <c r="H45" s="392"/>
      <c r="I45" s="475"/>
      <c r="J45" s="392"/>
      <c r="K45" s="392"/>
      <c r="L45" s="392"/>
      <c r="M45" s="392"/>
      <c r="N45" s="392"/>
      <c r="O45" s="392"/>
      <c r="P45" s="392"/>
      <c r="Q45" s="409"/>
      <c r="R45" s="399"/>
    </row>
    <row r="46" spans="1:18" s="395" customFormat="1" ht="11.25" customHeight="1">
      <c r="A46" s="393"/>
      <c r="B46" s="401"/>
      <c r="C46" s="402"/>
      <c r="D46" s="402"/>
      <c r="E46" s="477"/>
      <c r="F46" s="402"/>
      <c r="G46" s="402"/>
      <c r="H46" s="402"/>
      <c r="I46" s="402"/>
      <c r="J46" s="402"/>
      <c r="K46" s="402"/>
      <c r="L46" s="402"/>
      <c r="M46" s="402"/>
      <c r="N46" s="402"/>
      <c r="O46" s="402"/>
      <c r="P46" s="402"/>
      <c r="Q46" s="406"/>
      <c r="R46" s="393"/>
    </row>
    <row r="47" spans="1:18" s="395" customFormat="1" ht="9" customHeight="1">
      <c r="A47" s="393"/>
      <c r="B47" s="393"/>
      <c r="C47" s="393"/>
      <c r="E47" s="393"/>
      <c r="F47" s="393"/>
      <c r="G47" s="393"/>
      <c r="H47" s="393"/>
      <c r="I47" s="393"/>
      <c r="J47" s="393"/>
      <c r="K47" s="393"/>
      <c r="L47" s="393"/>
      <c r="M47" s="393"/>
      <c r="N47" s="393"/>
      <c r="O47" s="393"/>
      <c r="P47" s="393"/>
      <c r="Q47" s="393"/>
    </row>
    <row r="48" spans="1:18" hidden="1">
      <c r="A48" s="439"/>
      <c r="B48" s="439"/>
      <c r="C48" s="439"/>
      <c r="D48" s="405"/>
      <c r="E48" s="405"/>
      <c r="F48" s="405"/>
      <c r="G48" s="405"/>
      <c r="H48" s="405"/>
      <c r="I48" s="405"/>
      <c r="J48" s="405"/>
      <c r="K48" s="405"/>
      <c r="L48" s="405"/>
      <c r="M48" s="405"/>
      <c r="N48" s="405"/>
      <c r="O48" s="439"/>
      <c r="P48" s="439"/>
      <c r="Q48" s="439"/>
    </row>
    <row r="49" spans="4:14" hidden="1"/>
    <row r="50" spans="4:14" hidden="1"/>
    <row r="51" spans="4:14" hidden="1"/>
    <row r="52" spans="4:14" hidden="1"/>
    <row r="53" spans="4:14" hidden="1">
      <c r="D53" s="440"/>
      <c r="E53" s="440"/>
      <c r="F53" s="440"/>
      <c r="G53" s="440"/>
      <c r="H53" s="440"/>
      <c r="I53" s="440"/>
      <c r="J53" s="440"/>
      <c r="K53" s="440"/>
      <c r="L53" s="440"/>
      <c r="M53" s="440"/>
      <c r="N53" s="440"/>
    </row>
    <row r="54" spans="4:14" hidden="1">
      <c r="D54" s="440"/>
      <c r="E54" s="440"/>
      <c r="F54" s="440"/>
      <c r="G54" s="440"/>
      <c r="H54" s="440"/>
      <c r="I54" s="440"/>
      <c r="J54" s="440"/>
      <c r="K54" s="440"/>
      <c r="L54" s="440"/>
      <c r="M54" s="440"/>
      <c r="N54" s="440"/>
    </row>
    <row r="55" spans="4:14" hidden="1">
      <c r="D55" s="441"/>
      <c r="E55" s="441"/>
      <c r="F55" s="441"/>
      <c r="G55" s="441"/>
      <c r="H55" s="441"/>
      <c r="I55" s="441"/>
      <c r="J55" s="441"/>
      <c r="K55" s="441"/>
      <c r="L55" s="441"/>
      <c r="M55" s="441"/>
      <c r="N55" s="441"/>
    </row>
    <row r="56" spans="4:14" hidden="1"/>
    <row r="57" spans="4:14" hidden="1"/>
    <row r="58" spans="4:14" hidden="1"/>
    <row r="59" spans="4:14" hidden="1"/>
    <row r="60" spans="4:14" hidden="1"/>
    <row r="61" spans="4:14" hidden="1"/>
    <row r="62" spans="4:14" hidden="1"/>
    <row r="63" spans="4:14" hidden="1"/>
    <row r="64" spans="4:1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</sheetData>
  <mergeCells count="44">
    <mergeCell ref="C14:C15"/>
    <mergeCell ref="C16:C17"/>
    <mergeCell ref="D12:D13"/>
    <mergeCell ref="E12:E13"/>
    <mergeCell ref="F12:F13"/>
    <mergeCell ref="D14:D15"/>
    <mergeCell ref="E14:E15"/>
    <mergeCell ref="F14:F15"/>
    <mergeCell ref="N12:N13"/>
    <mergeCell ref="O9:O11"/>
    <mergeCell ref="P9:P11"/>
    <mergeCell ref="C12:C13"/>
    <mergeCell ref="G12:G13"/>
    <mergeCell ref="H12:H13"/>
    <mergeCell ref="O12:O13"/>
    <mergeCell ref="P12:P13"/>
    <mergeCell ref="I12:I13"/>
    <mergeCell ref="J12:J13"/>
    <mergeCell ref="K12:K13"/>
    <mergeCell ref="L12:L13"/>
    <mergeCell ref="M12:M13"/>
    <mergeCell ref="G14:G15"/>
    <mergeCell ref="H14:H15"/>
    <mergeCell ref="D16:D17"/>
    <mergeCell ref="E16:E17"/>
    <mergeCell ref="F16:F17"/>
    <mergeCell ref="G16:G17"/>
    <mergeCell ref="H16:H17"/>
    <mergeCell ref="O14:O15"/>
    <mergeCell ref="P14:P15"/>
    <mergeCell ref="O16:O17"/>
    <mergeCell ref="P16:P17"/>
    <mergeCell ref="I16:I17"/>
    <mergeCell ref="J16:J17"/>
    <mergeCell ref="K16:K17"/>
    <mergeCell ref="L16:L17"/>
    <mergeCell ref="M16:M17"/>
    <mergeCell ref="N16:N17"/>
    <mergeCell ref="J14:J15"/>
    <mergeCell ref="K14:K15"/>
    <mergeCell ref="L14:L15"/>
    <mergeCell ref="M14:M15"/>
    <mergeCell ref="N14:N15"/>
    <mergeCell ref="I14:I15"/>
  </mergeCells>
  <pageMargins left="0.7" right="0.7" top="0.75" bottom="0.75" header="0.3" footer="0.3"/>
  <pageSetup paperSize="9" scale="7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71297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4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298" r:id="rId5" name="Drop Down 2">
              <controlPr defaultSize="0" autoLine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00" r:id="rId6" name="Drop Down 4">
              <controlPr defaultSize="0" autoLine="0" autoPict="0">
                <anchor moveWithCells="1">
                  <from>
                    <xdr:col>9</xdr:col>
                    <xdr:colOff>0</xdr:colOff>
                    <xdr:row>5</xdr:row>
                    <xdr:rowOff>0</xdr:rowOff>
                  </from>
                  <to>
                    <xdr:col>10</xdr:col>
                    <xdr:colOff>590550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13" r:id="rId7" name="Drop Down 17">
              <controlPr defaultSize="0" autoLine="0" autoPict="0">
                <anchor moveWithCells="1">
                  <from>
                    <xdr:col>11</xdr:col>
                    <xdr:colOff>0</xdr:colOff>
                    <xdr:row>5</xdr:row>
                    <xdr:rowOff>0</xdr:rowOff>
                  </from>
                  <to>
                    <xdr:col>13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14" r:id="rId8" name="Drop Down 18">
              <controlPr defaultSize="0" autoLine="0" autoPict="0">
                <anchor moveWithCells="1">
                  <from>
                    <xdr:col>13</xdr:col>
                    <xdr:colOff>0</xdr:colOff>
                    <xdr:row>5</xdr:row>
                    <xdr:rowOff>0</xdr:rowOff>
                  </from>
                  <to>
                    <xdr:col>15</xdr:col>
                    <xdr:colOff>285750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E72FD2D-1F09-4631-AD74-3C2D785CB452}">
            <xm:f>L!$J$10=D11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14:cfRule type="expression" priority="7" id="{8BBE35D0-40E7-4EFA-8839-9A908F1AA3D2}">
            <xm:f>L!$I$10=D11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m:sqref>D12:N13</xm:sqref>
        </x14:conditionalFormatting>
        <x14:conditionalFormatting xmlns:xm="http://schemas.microsoft.com/office/excel/2006/main">
          <x14:cfRule type="expression" priority="2" id="{A6DBB51A-D9FD-4235-B6CB-ED475AF3FA58}">
            <xm:f>L!$J$11=D11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14:cfRule type="expression" priority="6" id="{831FA514-0C4B-4CF6-8695-A4D97994BE46}">
            <xm:f>L!$I$11=D11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m:sqref>D14:N15</xm:sqref>
        </x14:conditionalFormatting>
        <x14:conditionalFormatting xmlns:xm="http://schemas.microsoft.com/office/excel/2006/main">
          <x14:cfRule type="expression" priority="1" id="{BF91C8D7-9B7F-4DCF-A486-5A05CEA238C0}">
            <xm:f>L!$J$12=D11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14:cfRule type="expression" priority="5" id="{C9FD1C69-FE77-4DB3-97AE-89B52BC73CF9}">
            <xm:f>L!$I$12=D11</xm:f>
            <x14:dxf>
              <border>
                <right style="dashed">
                  <color auto="1"/>
                </right>
                <vertical/>
                <horizontal/>
              </border>
            </x14:dxf>
          </x14:cfRule>
          <xm:sqref>D16:N17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417"/>
  <sheetViews>
    <sheetView workbookViewId="0">
      <selection activeCell="B48" sqref="B48"/>
    </sheetView>
  </sheetViews>
  <sheetFormatPr defaultRowHeight="12.75"/>
  <cols>
    <col min="2" max="2" width="31.28515625" customWidth="1"/>
    <col min="3" max="3" width="16" customWidth="1"/>
    <col min="4" max="4" width="42.5703125" customWidth="1"/>
    <col min="5" max="5" width="9.7109375" customWidth="1"/>
    <col min="6" max="6" width="17.42578125" customWidth="1"/>
    <col min="7" max="7" width="51.7109375" customWidth="1"/>
    <col min="9" max="9" width="27.28515625" customWidth="1"/>
    <col min="11" max="15" width="27.85546875" customWidth="1"/>
    <col min="16" max="16" width="14.7109375" customWidth="1"/>
    <col min="18" max="18" width="30.28515625" style="379" customWidth="1"/>
    <col min="19" max="19" width="14.140625" style="379" customWidth="1"/>
    <col min="20" max="20" width="21.5703125" style="379" customWidth="1"/>
    <col min="21" max="21" width="9.140625" style="408"/>
    <col min="22" max="22" width="13.5703125" customWidth="1"/>
  </cols>
  <sheetData>
    <row r="1" spans="1:24">
      <c r="A1" s="379" t="s">
        <v>470</v>
      </c>
      <c r="B1" s="411"/>
      <c r="C1" s="387" t="s">
        <v>469</v>
      </c>
      <c r="D1" s="385"/>
      <c r="E1" s="382"/>
      <c r="F1" s="385" t="s">
        <v>493</v>
      </c>
      <c r="G1" s="385" t="s">
        <v>492</v>
      </c>
      <c r="H1" s="387" t="s">
        <v>491</v>
      </c>
      <c r="I1" s="382"/>
      <c r="J1" s="382"/>
      <c r="K1" s="384" t="s">
        <v>504</v>
      </c>
      <c r="L1" s="384" t="s">
        <v>567</v>
      </c>
      <c r="M1" s="385" t="s">
        <v>591</v>
      </c>
      <c r="N1" s="385" t="s">
        <v>617</v>
      </c>
      <c r="O1" s="385" t="s">
        <v>618</v>
      </c>
      <c r="P1" s="463" t="s">
        <v>478</v>
      </c>
      <c r="Q1" s="464" t="s">
        <v>484</v>
      </c>
      <c r="R1" s="464"/>
      <c r="S1" s="464" t="s">
        <v>483</v>
      </c>
      <c r="T1" s="464" t="s">
        <v>487</v>
      </c>
      <c r="U1" s="464" t="s">
        <v>552</v>
      </c>
      <c r="V1" s="464" t="s">
        <v>590</v>
      </c>
      <c r="W1" s="464" t="s">
        <v>617</v>
      </c>
      <c r="X1" s="465" t="s">
        <v>618</v>
      </c>
    </row>
    <row r="2" spans="1:24">
      <c r="A2">
        <v>1</v>
      </c>
      <c r="B2" s="411" t="s">
        <v>471</v>
      </c>
      <c r="C2" s="412">
        <v>1</v>
      </c>
      <c r="D2" s="413" t="s">
        <v>2</v>
      </c>
      <c r="E2" s="388"/>
      <c r="F2" s="382">
        <v>1</v>
      </c>
      <c r="G2" s="421" t="s">
        <v>600</v>
      </c>
      <c r="H2" s="412">
        <v>1</v>
      </c>
      <c r="I2" s="415" t="str">
        <f ca="1">IF(OFFSET($P$2,MATCH(VLOOKUP(L!$D$54,Topic3,3,FALSE),L!$P$2:$P$320,FALSE)-1,2)=0,"",OFFSET($P$2,MATCH(VLOOKUP(L!$D$54,Topic3,3,FALSE),L!$P$2:$P$320,FALSE)-1,2))</f>
        <v>Scotland</v>
      </c>
      <c r="J2" s="382">
        <f ca="1">IF(OFFSET($P$2,MATCH(VLOOKUP(L!$D$54,Topic3,3,FALSE),L!$P$2:$P$320,FALSE)-1,3)=0,500,OFFSET($P$2,MATCH(VLOOKUP(L!$D$54,Topic3,3,FALSE),L!$P$2:$P$320,FALSE)-1,3))</f>
        <v>1</v>
      </c>
      <c r="K2" s="415" t="str">
        <f ca="1">IF(OFFSET($P$2,MATCH(VLOOKUP(L!$D$54,Topic3,3,FALSE),L!$P$2:$P$320,FALSE)-1,2)=0,"",OFFSET($P$2,MATCH(VLOOKUP(L!$D$54,Topic3,3,FALSE),L!$P$2:$P$320,FALSE)-1,4))</f>
        <v>Scotland</v>
      </c>
      <c r="L2" s="415" t="str">
        <f ca="1">IF(OFFSET($P$2,MATCH(VLOOKUP(L!$D$54,Topic3,3,FALSE),L!$P$2:$P$320,FALSE)-1,2)=0,"",OFFSET($P$2,MATCH(VLOOKUP(L!$D$54,Topic3,3,FALSE),L!$P$2:$P$320,FALSE)-1,5))</f>
        <v>(million)</v>
      </c>
      <c r="M2" s="415" t="str">
        <f ca="1">IF(OFFSET($P$2,MATCH(VLOOKUP(L!$D$54,Topic3,3,FALSE),L!$P$2:$P$320,FALSE)-1,2)=0,"",OFFSET($P$2,MATCH(VLOOKUP(L!$D$54,Topic3,3,FALSE),L!$P$2:$P$320,FALSE)-1,6))</f>
        <v>(per head)</v>
      </c>
      <c r="N2" s="415">
        <f ca="1">OFFSET($P$2,MATCH(VLOOKUP(L!$D$54,Topic3,3,FALSE),L!$P$2:$P$320,FALSE)-1,7)</f>
        <v>2003</v>
      </c>
      <c r="O2" s="415">
        <f ca="1">OFFSET($P$2,MATCH(VLOOKUP(L!$D$54,Topic3,3,FALSE),L!$P$2:$P$320,FALSE)-1,8)</f>
        <v>0</v>
      </c>
      <c r="P2" s="412">
        <v>1</v>
      </c>
      <c r="Q2" s="382">
        <v>1</v>
      </c>
      <c r="R2" s="425" t="s">
        <v>476</v>
      </c>
      <c r="S2" s="385">
        <v>1</v>
      </c>
      <c r="T2" s="425" t="s">
        <v>476</v>
      </c>
      <c r="U2" s="407" t="s">
        <v>553</v>
      </c>
      <c r="V2" s="385" t="s">
        <v>139</v>
      </c>
      <c r="W2" s="380"/>
      <c r="X2" s="466"/>
    </row>
    <row r="3" spans="1:24" ht="14.25">
      <c r="A3">
        <v>2</v>
      </c>
      <c r="B3" s="411" t="s">
        <v>472</v>
      </c>
      <c r="C3" s="412">
        <v>2</v>
      </c>
      <c r="D3" s="413" t="s">
        <v>494</v>
      </c>
      <c r="E3" s="382"/>
      <c r="F3" s="382">
        <v>2</v>
      </c>
      <c r="G3" s="413" t="s">
        <v>601</v>
      </c>
      <c r="H3" s="412">
        <v>2</v>
      </c>
      <c r="I3" s="415" t="str">
        <f ca="1">IF(OFFSET($P$2,MATCH(VLOOKUP(L!$D$54,Topic3,3,FALSE),L!$P$2:$P$320,FALSE),2)=0,"",OFFSET($P$2,MATCH(VLOOKUP(L!$D$54,Topic3,3,FALSE),L!$P$2:$P$320,FALSE),2))</f>
        <v>Great Britain</v>
      </c>
      <c r="J3" s="382">
        <f ca="1">IF(OFFSET($P$2,MATCH(VLOOKUP(L!$D$54,Topic3,3,FALSE),L!$P$2:$P$320,FALSE),3)=0,500,OFFSET($P$2,MATCH(VLOOKUP(L!$D$54,Topic3,3,FALSE),L!$P$2:$P$320,FALSE),3))</f>
        <v>2</v>
      </c>
      <c r="K3" s="415" t="str">
        <f ca="1">IF(OFFSET($P$2,MATCH(VLOOKUP(L!$D$54,Topic3,3,FALSE),L!$P$2:$P$320,FALSE),2)=0,"",OFFSET($P$2,MATCH(VLOOKUP(L!$D$54,Topic3,3,FALSE),L!$P$2:$P$320,FALSE),4))</f>
        <v>Great Britain</v>
      </c>
      <c r="L3" s="415" t="str">
        <f ca="1">IF(OFFSET($P$2,MATCH(VLOOKUP(L!$D$54,Topic3,3,FALSE),L!$P$2:$P$320,FALSE),2)=0,"",OFFSET($P$2,MATCH(VLOOKUP(L!$D$54,Topic3,3,FALSE),L!$P$2:$P$320,FALSE),5))</f>
        <v>(million)</v>
      </c>
      <c r="M3" s="415" t="str">
        <f ca="1">IF(OFFSET($P$2,MATCH(VLOOKUP(L!$D$54,Topic3,3,FALSE),L!$P$2:$P$320,FALSE),2)=0,"",OFFSET($P$2,MATCH(VLOOKUP(L!$D$54,Topic3,3,FALSE),L!$P$2:$P$320,FALSE),6))</f>
        <v>(per head)</v>
      </c>
      <c r="N3" s="415">
        <f ca="1">OFFSET($P$2,MATCH(VLOOKUP(L!$D$54,Topic3,3,FALSE),L!$P$2:$P$320,FALSE),7)</f>
        <v>2003</v>
      </c>
      <c r="O3" s="415">
        <f ca="1">OFFSET($P$2,MATCH(VLOOKUP(L!$D$54,Topic3,3,FALSE),L!$P$2:$P$320,FALSE),8)</f>
        <v>0</v>
      </c>
      <c r="P3" s="412"/>
      <c r="Q3" s="382">
        <v>2</v>
      </c>
      <c r="R3" s="425" t="s">
        <v>477</v>
      </c>
      <c r="S3" s="385">
        <v>2</v>
      </c>
      <c r="T3" s="425" t="s">
        <v>477</v>
      </c>
      <c r="U3" s="407" t="s">
        <v>553</v>
      </c>
      <c r="V3" s="385" t="s">
        <v>139</v>
      </c>
      <c r="W3" s="380"/>
      <c r="X3" s="466"/>
    </row>
    <row r="4" spans="1:24">
      <c r="A4">
        <v>3</v>
      </c>
      <c r="B4" s="411" t="s">
        <v>608</v>
      </c>
      <c r="C4" s="412">
        <v>3</v>
      </c>
      <c r="D4" s="413" t="s">
        <v>11</v>
      </c>
      <c r="E4" s="382"/>
      <c r="F4" s="382">
        <v>3</v>
      </c>
      <c r="G4" s="413" t="s">
        <v>11</v>
      </c>
      <c r="H4" s="412">
        <v>3</v>
      </c>
      <c r="I4" s="415" t="str">
        <f ca="1">IF(OFFSET($P$2,MATCH(VLOOKUP(L!$D$54,Topic3,3,FALSE),L!$P$2:$P$320,FALSE)+1,2)=0,"",OFFSET($P$2,MATCH(VLOOKUP(L!$D$54,Topic3,3,FALSE),L!$P$2:$P$320,FALSE)+1,2))</f>
        <v/>
      </c>
      <c r="J4" s="382">
        <f ca="1">IF(OFFSET($P$2,MATCH(VLOOKUP(L!$D$54,Topic3,3,FALSE),L!$P$2:$P$320,FALSE)+1,3)=0,500,OFFSET($P$2,MATCH(VLOOKUP(L!$D$54,Topic3,3,FALSE),L!$P$2:$P$320,FALSE)+1,3))</f>
        <v>500</v>
      </c>
      <c r="K4" s="415" t="str">
        <f ca="1">IF(OFFSET($P$2,MATCH(VLOOKUP(L!$D$54,Topic3,3,FALSE),L!$P$2:$P$320,FALSE)+1,2)=0,"",OFFSET($P$2,MATCH(VLOOKUP(L!$D$54,Topic3,3,FALSE),L!$P$2:$P$320,FALSE)+1,4))</f>
        <v/>
      </c>
      <c r="L4" s="415" t="str">
        <f ca="1">IF(OFFSET($P$2,MATCH(VLOOKUP(L!$D$54,Topic3,3,FALSE),L!$P$2:$P$320,FALSE)+1,2)=0,"",OFFSET($P$2,MATCH(VLOOKUP(L!$D$54,Topic3,3,FALSE),L!$P$2:$P$320,FALSE)+1,5))</f>
        <v/>
      </c>
      <c r="M4" s="415" t="str">
        <f ca="1">IF(OFFSET($P$2,MATCH(VLOOKUP(L!$D$54,Topic3,3,FALSE),L!$P$2:$P$320,FALSE)+1,2)=0,"",OFFSET($P$2,MATCH(VLOOKUP(L!$D$54,Topic3,3,FALSE),L!$P$2:$P$320,FALSE)+1,6))</f>
        <v/>
      </c>
      <c r="N4" s="415">
        <f ca="1">OFFSET($P$2,MATCH(VLOOKUP(L!$D$54,Topic3,3,FALSE),L!$P$2:$P$320,FALSE)+1,7)</f>
        <v>0</v>
      </c>
      <c r="O4" s="415">
        <f ca="1">OFFSET($P$2,MATCH(VLOOKUP(L!$D$54,Topic3,3,FALSE),L!$P$2:$P$320,FALSE)+1,8)</f>
        <v>0</v>
      </c>
      <c r="P4" s="412"/>
      <c r="Q4" s="382">
        <v>3</v>
      </c>
      <c r="R4" s="425" t="s">
        <v>4</v>
      </c>
      <c r="S4" s="385">
        <v>3</v>
      </c>
      <c r="T4" s="425" t="s">
        <v>4</v>
      </c>
      <c r="U4" s="407" t="s">
        <v>553</v>
      </c>
      <c r="V4" s="385" t="s">
        <v>139</v>
      </c>
      <c r="W4" s="380"/>
      <c r="X4" s="466"/>
    </row>
    <row r="5" spans="1:24" ht="15.75" customHeight="1">
      <c r="A5" s="380">
        <v>4</v>
      </c>
      <c r="B5" s="385" t="s">
        <v>473</v>
      </c>
      <c r="C5" s="412">
        <v>4</v>
      </c>
      <c r="D5" s="413" t="s">
        <v>370</v>
      </c>
      <c r="E5" s="382"/>
      <c r="F5" s="382">
        <v>4</v>
      </c>
      <c r="G5" s="413" t="s">
        <v>370</v>
      </c>
      <c r="H5" s="412">
        <v>4</v>
      </c>
      <c r="I5" s="415" t="str">
        <f ca="1">IF(OFFSET($P$2,MATCH(VLOOKUP(L!$D$54,Topic3,3,FALSE),L!$P$2:$P$320,FALSE)+2,2)=0,"",OFFSET($P$2,MATCH(VLOOKUP(L!$D$54,Topic3,3,FALSE),L!$P$2:$P$320,FALSE)+2,2))</f>
        <v/>
      </c>
      <c r="J5" s="382">
        <f ca="1">IF(OFFSET($P$2,MATCH(VLOOKUP(L!$D$54,Topic3,3,FALSE),L!$P$2:$P$320,FALSE)+2,3)=0,500,OFFSET($P$2,MATCH(VLOOKUP(L!$D$54,Topic3,3,FALSE),L!$P$2:$P$320,FALSE)+2,3))</f>
        <v>500</v>
      </c>
      <c r="K5" s="415" t="str">
        <f ca="1">IF(OFFSET($P$2,MATCH(VLOOKUP(L!$D$54,Topic3,3,FALSE),L!$P$2:$P$320,FALSE)+2,2)=0,"",OFFSET($P$2,MATCH(VLOOKUP(L!$D$54,Topic3,3,FALSE),L!$P$2:$P$320,FALSE)+2,4))</f>
        <v/>
      </c>
      <c r="L5" s="415" t="str">
        <f ca="1">IF(OFFSET($P$2,MATCH(VLOOKUP(L!$D$54,Topic3,3,FALSE),L!$P$2:$P$320,FALSE)+2,2)=0,"",OFFSET($P$2,MATCH(VLOOKUP(L!$D$54,Topic3,3,FALSE),L!$P$2:$P$320,FALSE)+2,5))</f>
        <v/>
      </c>
      <c r="M5" s="415" t="str">
        <f ca="1">IF(OFFSET($P$2,MATCH(VLOOKUP(L!$D$54,Topic3,3,FALSE),L!$P$2:$P$320,FALSE)+2,2)=0,"",OFFSET($P$2,MATCH(VLOOKUP(L!$D$54,Topic3,3,FALSE),L!$P$2:$P$320,FALSE)+2,6))</f>
        <v/>
      </c>
      <c r="N5" s="415">
        <f ca="1">OFFSET($P$2,MATCH(VLOOKUP(L!$D$54,Topic3,3,FALSE),L!$P$2:$P$320,FALSE)+2,7)</f>
        <v>0</v>
      </c>
      <c r="O5" s="415">
        <f ca="1">OFFSET($P$2,MATCH(VLOOKUP(L!$D$54,Topic3,3,FALSE),L!$P$2:$P$320,FALSE)+2,8)</f>
        <v>0</v>
      </c>
      <c r="P5" s="412"/>
      <c r="Q5" s="382"/>
      <c r="R5" s="385"/>
      <c r="S5" s="385"/>
      <c r="T5" s="385"/>
      <c r="U5" s="407"/>
      <c r="V5" s="385" t="s">
        <v>139</v>
      </c>
      <c r="W5" s="380"/>
      <c r="X5" s="466"/>
    </row>
    <row r="6" spans="1:24">
      <c r="A6" s="382">
        <v>5</v>
      </c>
      <c r="B6" s="414" t="s">
        <v>529</v>
      </c>
      <c r="C6" s="382">
        <v>5</v>
      </c>
      <c r="D6" s="297" t="s">
        <v>22</v>
      </c>
      <c r="E6" s="382"/>
      <c r="F6" s="382">
        <v>5</v>
      </c>
      <c r="G6" s="297" t="s">
        <v>22</v>
      </c>
      <c r="H6" s="412">
        <v>5</v>
      </c>
      <c r="I6" s="415" t="str">
        <f ca="1">IF(OFFSET($P$2,MATCH(VLOOKUP(L!$D$54,Topic3,3,FALSE),L!$P$2:$P$320,FALSE)+3,2)=0,"",OFFSET($P$2,MATCH(VLOOKUP(L!$D$54,Topic3,3,FALSE),L!$P$2:$P$320,FALSE)+3,2))</f>
        <v/>
      </c>
      <c r="J6" s="382">
        <f ca="1">IF(OFFSET($P$2,MATCH(VLOOKUP(L!$D$54,Topic3,3,FALSE),L!$P$2:$P$320,FALSE)+3,3)=0,500,OFFSET($P$2,MATCH(VLOOKUP(L!$D$54,Topic3,3,FALSE),L!$P$2:$P$320,FALSE)+3,3))</f>
        <v>500</v>
      </c>
      <c r="K6" s="415" t="str">
        <f ca="1">IF(OFFSET($P$2,MATCH(VLOOKUP(L!$D$54,Topic3,3,FALSE),L!$P$2:$P$320,FALSE)+3,2)=0,"",OFFSET($P$2,MATCH(VLOOKUP(L!$D$54,Topic3,3,FALSE),L!$P$2:$P$320,FALSE)+3,4))</f>
        <v/>
      </c>
      <c r="L6" s="415" t="str">
        <f ca="1">IF(OFFSET($P$2,MATCH(VLOOKUP(L!$D$54,Topic3,3,FALSE),L!$P$2:$P$320,FALSE)+3,2)=0,"",OFFSET($P$2,MATCH(VLOOKUP(L!$D$54,Topic3,3,FALSE),L!$P$2:$P$320,FALSE)+3,5))</f>
        <v/>
      </c>
      <c r="M6" s="415" t="str">
        <f ca="1">IF(OFFSET($P$2,MATCH(VLOOKUP(L!$D$54,Topic3,3,FALSE),L!$P$2:$P$320,FALSE)+3,2)=0,"",OFFSET($P$2,MATCH(VLOOKUP(L!$D$54,Topic3,3,FALSE),L!$P$2:$P$320,FALSE)+3,6))</f>
        <v/>
      </c>
      <c r="N6" s="415">
        <f ca="1">OFFSET($P$2,MATCH(VLOOKUP(L!$D$54,Topic3,3,FALSE),L!$P$2:$P$320,FALSE)+3,7)</f>
        <v>0</v>
      </c>
      <c r="O6" s="415">
        <f ca="1">OFFSET($P$2,MATCH(VLOOKUP(L!$D$54,Topic3,3,FALSE),L!$P$2:$P$320,FALSE)+3,8)</f>
        <v>0</v>
      </c>
      <c r="P6" s="412"/>
      <c r="Q6" s="382"/>
      <c r="R6" s="385"/>
      <c r="S6" s="385"/>
      <c r="T6" s="385"/>
      <c r="U6" s="407"/>
      <c r="V6" s="385" t="s">
        <v>139</v>
      </c>
      <c r="W6" s="380"/>
      <c r="X6" s="466"/>
    </row>
    <row r="7" spans="1:24" ht="14.25">
      <c r="A7" s="380">
        <v>6</v>
      </c>
      <c r="B7" s="414" t="s">
        <v>589</v>
      </c>
      <c r="C7" s="412">
        <v>6</v>
      </c>
      <c r="D7" s="413" t="s">
        <v>495</v>
      </c>
      <c r="E7" s="382"/>
      <c r="F7" s="382">
        <v>6</v>
      </c>
      <c r="G7" s="413" t="s">
        <v>432</v>
      </c>
      <c r="H7" s="412">
        <v>6</v>
      </c>
      <c r="I7" s="415" t="str">
        <f ca="1">IF(OFFSET($P$2,MATCH(VLOOKUP(L!$D$54,Topic3,3,FALSE),L!$P$2:$P$320,FALSE)+4,2)=0,"",OFFSET($P$2,MATCH(VLOOKUP(L!$D$54,Topic3,3,FALSE),L!$P$2:$P$320,FALSE)+4,2))</f>
        <v/>
      </c>
      <c r="J7" s="382">
        <f ca="1">IF(OFFSET($P$2,MATCH(VLOOKUP(L!$D$54,Topic3,3,FALSE),L!$P$2:$P$320,FALSE)+4,3)=0,500,OFFSET($P$2,MATCH(VLOOKUP(L!$D$54,Topic3,3,FALSE),L!$P$2:$P$320,FALSE)+4,3))</f>
        <v>500</v>
      </c>
      <c r="K7" s="415" t="str">
        <f ca="1">IF(OFFSET($P$2,MATCH(VLOOKUP(L!$D$54,Topic3,3,FALSE),L!$P$2:$P$320,FALSE)+4,2)=0,"",OFFSET($P$2,MATCH(VLOOKUP(L!$D$54,Topic3,3,FALSE),L!$P$2:$P$320,FALSE)+4,4))</f>
        <v/>
      </c>
      <c r="L7" s="415" t="str">
        <f ca="1">IF(OFFSET($P$2,MATCH(VLOOKUP(L!$D$54,Topic3,3,FALSE),L!$P$2:$P$320,FALSE)+4,2)=0,"",OFFSET($P$2,MATCH(VLOOKUP(L!$D$54,Topic3,3,FALSE),L!$P$2:$P$320,FALSE)+4,5))</f>
        <v/>
      </c>
      <c r="M7" s="415" t="str">
        <f ca="1">IF(OFFSET($P$2,MATCH(VLOOKUP(L!$D$54,Topic3,3,FALSE),L!$P$2:$P$320,FALSE)+4,2)=0,"",OFFSET($P$2,MATCH(VLOOKUP(L!$D$54,Topic3,3,FALSE),L!$P$2:$P$320,FALSE)+4,6))</f>
        <v/>
      </c>
      <c r="N7" s="415">
        <f ca="1">OFFSET($P$2,MATCH(VLOOKUP(L!$D$54,Topic3,3,FALSE),L!$P$2:$P$320,FALSE)+4,7)</f>
        <v>0</v>
      </c>
      <c r="O7" s="415">
        <f ca="1">OFFSET($P$2,MATCH(VLOOKUP(L!$D$54,Topic3,3,FALSE),L!$P$2:$P$320,FALSE)+4,8)</f>
        <v>0</v>
      </c>
      <c r="P7" s="412"/>
      <c r="Q7" s="382"/>
      <c r="R7" s="385"/>
      <c r="S7" s="385"/>
      <c r="T7" s="385"/>
      <c r="U7" s="407"/>
      <c r="V7" s="385" t="s">
        <v>139</v>
      </c>
      <c r="W7" s="380"/>
      <c r="X7" s="466"/>
    </row>
    <row r="8" spans="1:24" ht="15" thickBot="1">
      <c r="A8" s="382">
        <v>7</v>
      </c>
      <c r="B8" s="390" t="s">
        <v>536</v>
      </c>
      <c r="C8" s="382">
        <v>7</v>
      </c>
      <c r="D8" s="413" t="s">
        <v>482</v>
      </c>
      <c r="E8" s="382"/>
      <c r="F8" s="382">
        <v>7</v>
      </c>
      <c r="G8" s="413" t="s">
        <v>606</v>
      </c>
      <c r="H8" s="412">
        <v>7</v>
      </c>
      <c r="I8" s="415" t="str">
        <f ca="1">IF(OFFSET($P$2,MATCH(VLOOKUP(L!$D$54,Topic3,3,FALSE),L!$P$2:$P$320,FALSE)+5,2)=0,"",OFFSET($P$2,MATCH(VLOOKUP(L!$D$54,Topic3,3,FALSE),L!$P$2:$P$320,FALSE)+5,2))</f>
        <v/>
      </c>
      <c r="J8" s="382">
        <f ca="1">IF(OFFSET($P$2,MATCH(VLOOKUP(L!$D$54,Topic3,3,FALSE),L!$P$2:$P$320,FALSE)+5,3)=0,500,OFFSET($P$2,MATCH(VLOOKUP(L!$D$54,Topic3,3,FALSE),L!$P$2:$P$320,FALSE)+5,3))</f>
        <v>500</v>
      </c>
      <c r="K8" s="415" t="str">
        <f ca="1">IF(OFFSET($P$2,MATCH(VLOOKUP(L!$D$54,Topic3,3,FALSE),L!$P$2:$P$320,FALSE)+5,2)=0,"",OFFSET($P$2,MATCH(VLOOKUP(L!$D$54,Topic3,3,FALSE),L!$P$2:$P$320,FALSE)+5,4))</f>
        <v/>
      </c>
      <c r="L8" s="415" t="str">
        <f ca="1">IF(OFFSET($P$2,MATCH(VLOOKUP(L!$D$54,Topic3,3,FALSE),L!$P$2:$P$320,FALSE)+5,2)=0,"",OFFSET($P$2,MATCH(VLOOKUP(L!$D$54,Topic3,3,FALSE),L!$P$2:$P$320,FALSE)+5,5))</f>
        <v/>
      </c>
      <c r="M8" s="415" t="str">
        <f ca="1">IF(OFFSET($P$2,MATCH(VLOOKUP(L!$D$54,Topic3,3,FALSE),L!$P$2:$P$320,FALSE)+5,2)=0,"",OFFSET($P$2,MATCH(VLOOKUP(L!$D$54,Topic3,3,FALSE),L!$P$2:$P$320,FALSE)+5,6))</f>
        <v/>
      </c>
      <c r="N8" s="415">
        <f ca="1">OFFSET($P$2,MATCH(VLOOKUP(L!$D$54,Topic3,3,FALSE),L!$P$2:$P$320,FALSE)+5,7)</f>
        <v>0</v>
      </c>
      <c r="O8" s="415">
        <f ca="1">OFFSET($P$2,MATCH(VLOOKUP(L!$D$54,Topic3,3,FALSE),L!$P$2:$P$320,FALSE)+5,8)</f>
        <v>0</v>
      </c>
      <c r="P8" s="412"/>
      <c r="Q8" s="382"/>
      <c r="R8" s="385"/>
      <c r="S8" s="385"/>
      <c r="T8" s="385"/>
      <c r="U8" s="407"/>
      <c r="V8" s="385" t="s">
        <v>139</v>
      </c>
      <c r="W8" s="380"/>
      <c r="X8" s="466"/>
    </row>
    <row r="9" spans="1:24" ht="13.5" thickBot="1">
      <c r="A9" s="410">
        <v>6</v>
      </c>
      <c r="B9" s="415"/>
      <c r="C9" s="412">
        <v>8</v>
      </c>
      <c r="D9" s="413" t="s">
        <v>31</v>
      </c>
      <c r="E9" s="382"/>
      <c r="F9" s="382">
        <v>8</v>
      </c>
      <c r="G9" s="413" t="s">
        <v>602</v>
      </c>
      <c r="H9" s="412">
        <v>8</v>
      </c>
      <c r="I9" s="415" t="str">
        <f ca="1">IF(OFFSET($P$2,MATCH(VLOOKUP(L!$D$54,Topic3,3,FALSE),L!$P$2:$P$320,FALSE)+6,2)=0,"",OFFSET($P$2,MATCH(VLOOKUP(L!$D$54,Topic3,3,FALSE),L!$P$2:$P$320,FALSE)+6,2))</f>
        <v/>
      </c>
      <c r="J9" s="383">
        <f ca="1">IF(OFFSET($P$2,MATCH(VLOOKUP(L!$D$54,Topic3,3,FALSE),L!$P$2:$P$320,FALSE)+6,3)=0,500,OFFSET($P$2,MATCH(VLOOKUP(L!$D$54,Topic3,3,FALSE),L!$P$2:$P$320,FALSE)+6,3))</f>
        <v>500</v>
      </c>
      <c r="K9" s="383" t="str">
        <f ca="1">IF(OFFSET($P$2,MATCH(VLOOKUP(L!$D$54,Topic3,3,FALSE),L!$P$2:$P$320,FALSE)+6,2)=0,"",OFFSET($P$2,MATCH(VLOOKUP(L!$D$54,Topic3,3,FALSE),L!$P$2:$P$320,FALSE)+6,4))</f>
        <v/>
      </c>
      <c r="L9" s="383" t="str">
        <f ca="1">IF(OFFSET($P$2,MATCH(VLOOKUP(L!$D$54,Topic3,3,FALSE),L!$P$2:$P$320,FALSE)+6,2)=0,"",OFFSET($P$2,MATCH(VLOOKUP(L!$D$54,Topic3,3,FALSE),L!$P$2:$P$320,FALSE)+6,5))</f>
        <v/>
      </c>
      <c r="M9" s="383" t="str">
        <f ca="1">IF(OFFSET($P$2,MATCH(VLOOKUP(L!$D$54,Topic3,3,FALSE),L!$P$2:$P$320,FALSE)+6,2)=0,"",OFFSET($P$2,MATCH(VLOOKUP(L!$D$54,Topic3,3,FALSE),L!$P$2:$P$320,FALSE)+6,6))</f>
        <v/>
      </c>
      <c r="N9" s="383">
        <f ca="1">OFFSET($P$2,MATCH(VLOOKUP(L!$D$54,Topic3,3,FALSE),L!$P$2:$P$320,FALSE)+6,7)</f>
        <v>0</v>
      </c>
      <c r="O9" s="383">
        <f ca="1">OFFSET($P$2,MATCH(VLOOKUP(L!$D$54,Topic3,3,FALSE),L!$P$2:$P$320,FALSE)+6,8)</f>
        <v>0</v>
      </c>
      <c r="P9" s="412"/>
      <c r="Q9" s="382"/>
      <c r="R9" s="385"/>
      <c r="S9" s="385"/>
      <c r="T9" s="385"/>
      <c r="U9" s="407"/>
      <c r="V9" s="385" t="s">
        <v>139</v>
      </c>
      <c r="W9" s="380"/>
      <c r="X9" s="466"/>
    </row>
    <row r="10" spans="1:24" ht="14.25">
      <c r="B10" s="415"/>
      <c r="C10" s="412">
        <v>9</v>
      </c>
      <c r="D10" s="413" t="s">
        <v>416</v>
      </c>
      <c r="E10" s="382"/>
      <c r="F10" s="382">
        <v>9</v>
      </c>
      <c r="G10" s="413" t="s">
        <v>603</v>
      </c>
      <c r="H10" s="416">
        <v>1</v>
      </c>
      <c r="I10" s="417">
        <f ca="1">OFFSET(H2,H10-1,6)</f>
        <v>2003</v>
      </c>
      <c r="J10" s="417">
        <f ca="1">OFFSET($H$2,H10-1,7)</f>
        <v>0</v>
      </c>
      <c r="K10" s="381"/>
      <c r="L10" s="381"/>
      <c r="M10" s="381"/>
      <c r="N10" s="381"/>
      <c r="O10" s="381"/>
      <c r="P10" s="412">
        <v>2</v>
      </c>
      <c r="Q10" s="382">
        <v>1</v>
      </c>
      <c r="R10" s="425" t="s">
        <v>6</v>
      </c>
      <c r="S10" s="385">
        <v>1</v>
      </c>
      <c r="T10" s="425" t="s">
        <v>304</v>
      </c>
      <c r="U10" s="407" t="s">
        <v>556</v>
      </c>
      <c r="V10" s="385" t="s">
        <v>139</v>
      </c>
      <c r="W10" s="380">
        <v>2003</v>
      </c>
      <c r="X10" s="466"/>
    </row>
    <row r="11" spans="1:24" ht="14.25">
      <c r="B11" s="415"/>
      <c r="C11" s="412">
        <v>1</v>
      </c>
      <c r="D11" s="237" t="s">
        <v>489</v>
      </c>
      <c r="E11" s="382"/>
      <c r="F11" s="382">
        <v>10</v>
      </c>
      <c r="G11" s="237" t="s">
        <v>500</v>
      </c>
      <c r="H11" s="418">
        <v>2</v>
      </c>
      <c r="I11" s="417">
        <f ca="1">OFFSET(H2,H11-1,6)</f>
        <v>2003</v>
      </c>
      <c r="J11" s="417">
        <f ca="1">OFFSET($H$2,H11-1,7)</f>
        <v>0</v>
      </c>
      <c r="K11" s="381"/>
      <c r="L11" s="381"/>
      <c r="M11" s="381"/>
      <c r="N11" s="381"/>
      <c r="O11" s="381"/>
      <c r="P11" s="412"/>
      <c r="Q11" s="382">
        <v>2</v>
      </c>
      <c r="R11" s="425" t="s">
        <v>8</v>
      </c>
      <c r="S11" s="385">
        <v>2</v>
      </c>
      <c r="T11" s="425" t="s">
        <v>554</v>
      </c>
      <c r="U11" s="407" t="s">
        <v>556</v>
      </c>
      <c r="V11" s="385" t="s">
        <v>139</v>
      </c>
      <c r="W11" s="380">
        <v>2003</v>
      </c>
      <c r="X11" s="466"/>
    </row>
    <row r="12" spans="1:24" ht="15" thickBot="1">
      <c r="B12" s="415"/>
      <c r="C12" s="412">
        <v>2</v>
      </c>
      <c r="D12" s="237" t="s">
        <v>48</v>
      </c>
      <c r="E12" s="382"/>
      <c r="F12" s="382">
        <v>11</v>
      </c>
      <c r="G12" s="237" t="s">
        <v>497</v>
      </c>
      <c r="H12" s="419">
        <v>3</v>
      </c>
      <c r="I12" s="417">
        <f ca="1">OFFSET(H2,H12-1,6)</f>
        <v>0</v>
      </c>
      <c r="J12" s="417">
        <f ca="1">OFFSET($H$2,H12-1,7)</f>
        <v>0</v>
      </c>
      <c r="K12" s="381"/>
      <c r="L12" s="381"/>
      <c r="M12" s="381"/>
      <c r="N12" s="381"/>
      <c r="O12" s="381"/>
      <c r="P12" s="412"/>
      <c r="Q12" s="382">
        <v>3</v>
      </c>
      <c r="R12" s="425" t="s">
        <v>9</v>
      </c>
      <c r="S12" s="385">
        <v>4</v>
      </c>
      <c r="T12" s="425" t="s">
        <v>47</v>
      </c>
      <c r="U12" s="407" t="s">
        <v>555</v>
      </c>
      <c r="V12" s="385" t="s">
        <v>139</v>
      </c>
      <c r="W12" s="380">
        <v>2005</v>
      </c>
      <c r="X12" s="466"/>
    </row>
    <row r="13" spans="1:24" ht="14.25">
      <c r="A13" s="415"/>
      <c r="B13" s="415"/>
      <c r="C13" s="412">
        <v>3</v>
      </c>
      <c r="D13" s="237" t="s">
        <v>488</v>
      </c>
      <c r="E13" s="382"/>
      <c r="F13" s="382">
        <v>12</v>
      </c>
      <c r="G13" s="237" t="s">
        <v>499</v>
      </c>
      <c r="H13" s="412"/>
      <c r="I13" s="415"/>
      <c r="J13" s="381"/>
      <c r="K13" s="381"/>
      <c r="L13" s="381"/>
      <c r="M13" s="381"/>
      <c r="N13" s="381"/>
      <c r="O13" s="381"/>
      <c r="P13" s="412"/>
      <c r="Q13" s="382"/>
      <c r="R13" s="385"/>
      <c r="S13" s="385"/>
      <c r="T13" s="385"/>
      <c r="U13" s="407"/>
      <c r="V13" s="385" t="s">
        <v>139</v>
      </c>
      <c r="W13" s="380"/>
      <c r="X13" s="466"/>
    </row>
    <row r="14" spans="1:24">
      <c r="A14" s="415"/>
      <c r="B14" s="415"/>
      <c r="C14" s="412">
        <v>4</v>
      </c>
      <c r="D14" s="237" t="s">
        <v>60</v>
      </c>
      <c r="E14" s="382"/>
      <c r="F14" s="382">
        <v>13</v>
      </c>
      <c r="G14" s="237" t="s">
        <v>498</v>
      </c>
      <c r="H14" s="412"/>
      <c r="I14" s="415"/>
      <c r="J14" s="381"/>
      <c r="K14" s="381"/>
      <c r="L14" s="381"/>
      <c r="M14" s="381"/>
      <c r="N14" s="381"/>
      <c r="O14" s="381"/>
      <c r="P14" s="412"/>
      <c r="Q14" s="382"/>
      <c r="R14" s="385"/>
      <c r="S14" s="385"/>
      <c r="T14" s="385"/>
      <c r="U14" s="407"/>
      <c r="V14" s="385" t="s">
        <v>139</v>
      </c>
      <c r="W14" s="380"/>
      <c r="X14" s="466"/>
    </row>
    <row r="15" spans="1:24" ht="14.25">
      <c r="A15" s="415"/>
      <c r="B15" s="415"/>
      <c r="C15" s="412">
        <v>5</v>
      </c>
      <c r="D15" s="386" t="s">
        <v>490</v>
      </c>
      <c r="E15" s="382"/>
      <c r="F15" s="382">
        <v>14</v>
      </c>
      <c r="G15" s="386" t="s">
        <v>496</v>
      </c>
      <c r="H15" s="412"/>
      <c r="I15" s="415"/>
      <c r="J15" s="381"/>
      <c r="K15" s="381"/>
      <c r="L15" s="381"/>
      <c r="M15" s="381"/>
      <c r="N15" s="381"/>
      <c r="O15" s="381"/>
      <c r="P15" s="412"/>
      <c r="Q15" s="382"/>
      <c r="R15" s="385"/>
      <c r="S15" s="385"/>
      <c r="T15" s="385"/>
      <c r="U15" s="407"/>
      <c r="V15" s="385" t="s">
        <v>139</v>
      </c>
      <c r="W15" s="380"/>
      <c r="X15" s="466"/>
    </row>
    <row r="16" spans="1:24">
      <c r="A16" s="415"/>
      <c r="B16" s="415"/>
      <c r="C16" s="412">
        <v>6</v>
      </c>
      <c r="D16" s="237" t="s">
        <v>73</v>
      </c>
      <c r="E16" s="382"/>
      <c r="F16" s="382">
        <v>15</v>
      </c>
      <c r="G16" s="237" t="s">
        <v>604</v>
      </c>
      <c r="H16" s="412"/>
      <c r="I16" s="415"/>
      <c r="J16" s="381"/>
      <c r="K16" s="381"/>
      <c r="L16" s="381"/>
      <c r="M16" s="381"/>
      <c r="N16" s="381"/>
      <c r="O16" s="381"/>
      <c r="P16" s="412"/>
      <c r="Q16" s="382"/>
      <c r="R16" s="385"/>
      <c r="S16" s="385"/>
      <c r="T16" s="385"/>
      <c r="U16" s="407"/>
      <c r="V16" s="385" t="s">
        <v>139</v>
      </c>
      <c r="W16" s="380"/>
      <c r="X16" s="466"/>
    </row>
    <row r="17" spans="1:24">
      <c r="A17" s="415"/>
      <c r="B17" s="415"/>
      <c r="C17" s="412">
        <v>7</v>
      </c>
      <c r="D17" s="237" t="s">
        <v>77</v>
      </c>
      <c r="E17" s="382"/>
      <c r="F17" s="382">
        <v>16</v>
      </c>
      <c r="G17" s="237" t="s">
        <v>501</v>
      </c>
      <c r="H17" s="412"/>
      <c r="I17" s="415"/>
      <c r="J17" s="382"/>
      <c r="K17" s="381"/>
      <c r="L17" s="381"/>
      <c r="M17" s="381"/>
      <c r="N17" s="381"/>
      <c r="O17" s="381"/>
      <c r="P17" s="412"/>
      <c r="Q17" s="382"/>
      <c r="R17" s="385"/>
      <c r="S17" s="385"/>
      <c r="T17" s="385"/>
      <c r="U17" s="407"/>
      <c r="V17" s="385" t="s">
        <v>139</v>
      </c>
      <c r="W17" s="380"/>
      <c r="X17" s="466"/>
    </row>
    <row r="18" spans="1:24" ht="14.25">
      <c r="A18" s="415"/>
      <c r="B18" s="415"/>
      <c r="C18" s="412">
        <v>8</v>
      </c>
      <c r="D18" s="237" t="s">
        <v>444</v>
      </c>
      <c r="E18" s="382"/>
      <c r="F18" s="382">
        <v>17</v>
      </c>
      <c r="G18" s="237" t="s">
        <v>615</v>
      </c>
      <c r="H18" s="412"/>
      <c r="I18" s="415"/>
      <c r="J18" s="382"/>
      <c r="K18" s="381"/>
      <c r="L18" s="381"/>
      <c r="M18" s="381"/>
      <c r="N18" s="381"/>
      <c r="O18" s="381"/>
      <c r="P18" s="412">
        <v>3</v>
      </c>
      <c r="Q18" s="382">
        <v>1</v>
      </c>
      <c r="R18" s="425" t="s">
        <v>378</v>
      </c>
      <c r="S18" s="385">
        <v>1</v>
      </c>
      <c r="T18" s="425" t="s">
        <v>110</v>
      </c>
      <c r="U18" s="407" t="s">
        <v>557</v>
      </c>
      <c r="V18" s="385" t="s">
        <v>139</v>
      </c>
      <c r="W18" s="380">
        <v>2003</v>
      </c>
      <c r="X18" s="466"/>
    </row>
    <row r="19" spans="1:24" ht="14.25">
      <c r="A19" s="415"/>
      <c r="B19" s="415"/>
      <c r="C19" s="412">
        <v>9</v>
      </c>
      <c r="D19" s="237" t="s">
        <v>87</v>
      </c>
      <c r="E19" s="382"/>
      <c r="F19" s="382">
        <v>18</v>
      </c>
      <c r="G19" s="237" t="s">
        <v>502</v>
      </c>
      <c r="H19" s="412"/>
      <c r="I19" s="415"/>
      <c r="J19" s="382"/>
      <c r="K19" s="381"/>
      <c r="L19" s="381"/>
      <c r="M19" s="381"/>
      <c r="N19" s="381"/>
      <c r="O19" s="381"/>
      <c r="P19" s="412"/>
      <c r="Q19" s="382">
        <v>2</v>
      </c>
      <c r="R19" s="425" t="s">
        <v>13</v>
      </c>
      <c r="S19" s="385">
        <v>2</v>
      </c>
      <c r="T19" s="425" t="s">
        <v>102</v>
      </c>
      <c r="U19" s="407" t="s">
        <v>557</v>
      </c>
      <c r="V19" s="385" t="s">
        <v>139</v>
      </c>
      <c r="W19" s="380"/>
      <c r="X19" s="466"/>
    </row>
    <row r="20" spans="1:24">
      <c r="A20" s="415"/>
      <c r="B20" s="415"/>
      <c r="C20" s="412">
        <v>10</v>
      </c>
      <c r="D20" s="237" t="s">
        <v>93</v>
      </c>
      <c r="E20" s="382"/>
      <c r="F20" s="382">
        <v>19</v>
      </c>
      <c r="G20" s="237" t="s">
        <v>503</v>
      </c>
      <c r="H20" s="412"/>
      <c r="I20" s="415"/>
      <c r="J20" s="381"/>
      <c r="K20" s="381"/>
      <c r="L20" s="381"/>
      <c r="M20" s="381"/>
      <c r="N20" s="381"/>
      <c r="O20" s="381"/>
      <c r="P20" s="412"/>
      <c r="Q20" s="382">
        <v>3</v>
      </c>
      <c r="R20" s="425" t="s">
        <v>14</v>
      </c>
      <c r="S20" s="385">
        <v>3</v>
      </c>
      <c r="T20" s="425" t="s">
        <v>14</v>
      </c>
      <c r="U20" s="407" t="s">
        <v>557</v>
      </c>
      <c r="V20" s="385" t="s">
        <v>139</v>
      </c>
      <c r="W20" s="380"/>
      <c r="X20" s="466"/>
    </row>
    <row r="21" spans="1:24">
      <c r="A21" s="415"/>
      <c r="B21" s="415"/>
      <c r="C21" s="412">
        <v>1</v>
      </c>
      <c r="D21" s="413" t="s">
        <v>97</v>
      </c>
      <c r="E21" s="382"/>
      <c r="F21" s="382">
        <v>20</v>
      </c>
      <c r="G21" s="413" t="s">
        <v>507</v>
      </c>
      <c r="H21" s="412"/>
      <c r="I21" s="415"/>
      <c r="J21" s="381"/>
      <c r="K21" s="381"/>
      <c r="L21" s="381"/>
      <c r="M21" s="381"/>
      <c r="N21" s="381"/>
      <c r="O21" s="381"/>
      <c r="P21" s="412"/>
      <c r="Q21" s="382">
        <v>4</v>
      </c>
      <c r="R21" s="425" t="s">
        <v>15</v>
      </c>
      <c r="S21" s="385">
        <v>4</v>
      </c>
      <c r="T21" s="425" t="s">
        <v>15</v>
      </c>
      <c r="U21" s="407" t="s">
        <v>557</v>
      </c>
      <c r="V21" s="385" t="s">
        <v>139</v>
      </c>
      <c r="W21" s="380"/>
      <c r="X21" s="466"/>
    </row>
    <row r="22" spans="1:24">
      <c r="A22" s="415"/>
      <c r="B22" s="415"/>
      <c r="C22" s="412">
        <v>2</v>
      </c>
      <c r="D22" s="297" t="s">
        <v>100</v>
      </c>
      <c r="E22" s="382"/>
      <c r="F22" s="382">
        <v>21</v>
      </c>
      <c r="G22" s="297" t="s">
        <v>508</v>
      </c>
      <c r="H22" s="412"/>
      <c r="I22" s="415"/>
      <c r="J22" s="381"/>
      <c r="K22" s="381"/>
      <c r="L22" s="381"/>
      <c r="M22" s="381"/>
      <c r="N22" s="381"/>
      <c r="O22" s="381"/>
      <c r="P22" s="412"/>
      <c r="Q22" s="382">
        <v>5</v>
      </c>
      <c r="R22" s="425" t="s">
        <v>16</v>
      </c>
      <c r="S22" s="385">
        <v>5</v>
      </c>
      <c r="T22" s="425" t="s">
        <v>16</v>
      </c>
      <c r="U22" s="407" t="s">
        <v>557</v>
      </c>
      <c r="V22" s="385" t="s">
        <v>139</v>
      </c>
      <c r="W22" s="380"/>
      <c r="X22" s="466"/>
    </row>
    <row r="23" spans="1:24" ht="14.25">
      <c r="A23" s="415"/>
      <c r="B23" s="415"/>
      <c r="C23" s="412">
        <v>3</v>
      </c>
      <c r="D23" s="297" t="s">
        <v>101</v>
      </c>
      <c r="E23" s="382"/>
      <c r="F23" s="382">
        <v>22</v>
      </c>
      <c r="G23" s="297" t="s">
        <v>101</v>
      </c>
      <c r="H23" s="412"/>
      <c r="I23" s="415"/>
      <c r="J23" s="381"/>
      <c r="K23" s="381"/>
      <c r="L23" s="381"/>
      <c r="M23" s="381"/>
      <c r="N23" s="381"/>
      <c r="O23" s="381"/>
      <c r="P23" s="412"/>
      <c r="Q23" s="382">
        <v>6</v>
      </c>
      <c r="R23" s="425" t="s">
        <v>17</v>
      </c>
      <c r="S23" s="385">
        <v>6</v>
      </c>
      <c r="T23" s="425" t="s">
        <v>558</v>
      </c>
      <c r="U23" s="407" t="s">
        <v>557</v>
      </c>
      <c r="V23" s="385" t="s">
        <v>139</v>
      </c>
      <c r="W23" s="380"/>
      <c r="X23" s="466"/>
    </row>
    <row r="24" spans="1:24">
      <c r="A24" s="415"/>
      <c r="B24" s="415"/>
      <c r="C24" s="412">
        <v>4</v>
      </c>
      <c r="D24" s="413" t="s">
        <v>106</v>
      </c>
      <c r="E24" s="382"/>
      <c r="F24" s="382">
        <v>23</v>
      </c>
      <c r="G24" s="413" t="s">
        <v>522</v>
      </c>
      <c r="H24" s="412"/>
      <c r="I24" s="415"/>
      <c r="J24" s="381"/>
      <c r="K24" s="381"/>
      <c r="L24" s="381"/>
      <c r="M24" s="381"/>
      <c r="N24" s="381"/>
      <c r="O24" s="381"/>
      <c r="P24" s="412"/>
      <c r="Q24" s="382">
        <v>7</v>
      </c>
      <c r="R24" s="425" t="s">
        <v>114</v>
      </c>
      <c r="S24" s="385">
        <v>7</v>
      </c>
      <c r="T24" s="425" t="s">
        <v>114</v>
      </c>
      <c r="U24" s="407" t="s">
        <v>557</v>
      </c>
      <c r="V24" s="385" t="s">
        <v>139</v>
      </c>
      <c r="W24" s="380"/>
      <c r="X24" s="466"/>
    </row>
    <row r="25" spans="1:24">
      <c r="A25" s="415"/>
      <c r="B25" s="415"/>
      <c r="C25" s="412">
        <v>5</v>
      </c>
      <c r="D25" s="297" t="s">
        <v>108</v>
      </c>
      <c r="E25" s="382"/>
      <c r="F25" s="382">
        <v>24</v>
      </c>
      <c r="G25" s="297" t="s">
        <v>523</v>
      </c>
      <c r="H25" s="412"/>
      <c r="I25" s="415"/>
      <c r="J25" s="382"/>
      <c r="K25" s="382"/>
      <c r="L25" s="382"/>
      <c r="M25" s="382"/>
      <c r="N25" s="382"/>
      <c r="O25" s="382"/>
      <c r="P25" s="412"/>
      <c r="Q25" s="382"/>
      <c r="R25" s="385"/>
      <c r="S25" s="385"/>
      <c r="T25" s="385"/>
      <c r="U25" s="407"/>
      <c r="V25" s="385" t="s">
        <v>139</v>
      </c>
      <c r="W25" s="380"/>
      <c r="X25" s="466"/>
    </row>
    <row r="26" spans="1:24" ht="14.25">
      <c r="A26" s="415"/>
      <c r="B26" s="415"/>
      <c r="C26" s="412">
        <v>6</v>
      </c>
      <c r="D26" s="297" t="s">
        <v>109</v>
      </c>
      <c r="E26" s="382"/>
      <c r="F26" s="382">
        <v>25</v>
      </c>
      <c r="G26" s="297" t="s">
        <v>524</v>
      </c>
      <c r="H26" s="412"/>
      <c r="I26" s="415"/>
      <c r="J26" s="382"/>
      <c r="K26" s="382"/>
      <c r="L26" s="382"/>
      <c r="M26" s="382"/>
      <c r="N26" s="382"/>
      <c r="O26" s="382"/>
      <c r="P26" s="412">
        <v>4</v>
      </c>
      <c r="Q26" s="382">
        <v>1</v>
      </c>
      <c r="R26" s="425" t="s">
        <v>385</v>
      </c>
      <c r="S26" s="385">
        <v>1</v>
      </c>
      <c r="T26" s="425" t="s">
        <v>559</v>
      </c>
      <c r="U26" s="407" t="s">
        <v>560</v>
      </c>
      <c r="V26" s="385" t="s">
        <v>139</v>
      </c>
      <c r="W26" s="380"/>
      <c r="X26" s="466"/>
    </row>
    <row r="27" spans="1:24">
      <c r="A27" s="415"/>
      <c r="B27" s="415"/>
      <c r="C27" s="412">
        <v>7</v>
      </c>
      <c r="D27" s="297" t="s">
        <v>111</v>
      </c>
      <c r="E27" s="382"/>
      <c r="F27" s="382">
        <v>26</v>
      </c>
      <c r="G27" s="297" t="s">
        <v>525</v>
      </c>
      <c r="H27" s="412"/>
      <c r="I27" s="415"/>
      <c r="J27" s="382"/>
      <c r="K27" s="382"/>
      <c r="L27" s="382"/>
      <c r="M27" s="382"/>
      <c r="N27" s="382"/>
      <c r="O27" s="382"/>
      <c r="P27" s="412"/>
      <c r="Q27" s="382">
        <v>2</v>
      </c>
      <c r="R27" s="425" t="s">
        <v>20</v>
      </c>
      <c r="S27" s="385">
        <v>2</v>
      </c>
      <c r="T27" s="425" t="s">
        <v>561</v>
      </c>
      <c r="U27" s="407" t="s">
        <v>560</v>
      </c>
      <c r="V27" s="385" t="s">
        <v>139</v>
      </c>
      <c r="W27" s="380"/>
      <c r="X27" s="466"/>
    </row>
    <row r="28" spans="1:24">
      <c r="A28" s="415"/>
      <c r="B28" s="415"/>
      <c r="C28" s="412">
        <v>8</v>
      </c>
      <c r="D28" s="297" t="s">
        <v>112</v>
      </c>
      <c r="E28" s="382"/>
      <c r="F28" s="382">
        <v>27</v>
      </c>
      <c r="G28" s="297" t="s">
        <v>526</v>
      </c>
      <c r="H28" s="412"/>
      <c r="I28" s="415"/>
      <c r="J28" s="382"/>
      <c r="K28" s="382"/>
      <c r="L28" s="382"/>
      <c r="M28" s="382"/>
      <c r="N28" s="382"/>
      <c r="O28" s="382"/>
      <c r="P28" s="412"/>
      <c r="Q28" s="382">
        <v>3</v>
      </c>
      <c r="R28" s="425" t="s">
        <v>21</v>
      </c>
      <c r="S28" s="385">
        <v>3</v>
      </c>
      <c r="T28" s="425" t="s">
        <v>21</v>
      </c>
      <c r="U28" s="407" t="s">
        <v>560</v>
      </c>
      <c r="V28" s="385" t="s">
        <v>139</v>
      </c>
      <c r="W28" s="380"/>
      <c r="X28" s="466"/>
    </row>
    <row r="29" spans="1:24" ht="14.25">
      <c r="A29" s="415"/>
      <c r="B29" s="415"/>
      <c r="C29" s="412">
        <v>9</v>
      </c>
      <c r="D29" s="297" t="s">
        <v>113</v>
      </c>
      <c r="E29" s="382"/>
      <c r="F29" s="382">
        <v>28</v>
      </c>
      <c r="G29" s="297" t="s">
        <v>527</v>
      </c>
      <c r="H29" s="412"/>
      <c r="I29" s="415"/>
      <c r="J29" s="382"/>
      <c r="K29" s="382">
        <f>425/423</f>
        <v>1.0047281323877069</v>
      </c>
      <c r="L29" s="382"/>
      <c r="M29" s="382"/>
      <c r="N29" s="382"/>
      <c r="O29" s="382"/>
      <c r="P29" s="412"/>
      <c r="Q29" s="382">
        <v>4</v>
      </c>
      <c r="R29" s="425" t="s">
        <v>405</v>
      </c>
      <c r="S29" s="385">
        <v>4</v>
      </c>
      <c r="T29" s="425" t="s">
        <v>562</v>
      </c>
      <c r="U29" s="407" t="s">
        <v>560</v>
      </c>
      <c r="V29" s="385" t="s">
        <v>139</v>
      </c>
      <c r="W29" s="380"/>
      <c r="X29" s="466"/>
    </row>
    <row r="30" spans="1:24">
      <c r="A30" s="415"/>
      <c r="B30" s="415"/>
      <c r="C30" s="412">
        <v>10</v>
      </c>
      <c r="D30" s="420" t="s">
        <v>115</v>
      </c>
      <c r="E30" s="382"/>
      <c r="F30" s="382">
        <v>29</v>
      </c>
      <c r="G30" s="420" t="s">
        <v>528</v>
      </c>
      <c r="H30" s="412"/>
      <c r="I30" s="415"/>
      <c r="J30" s="382"/>
      <c r="K30" s="382"/>
      <c r="L30" s="382"/>
      <c r="M30" s="382"/>
      <c r="N30" s="382"/>
      <c r="O30" s="382"/>
      <c r="P30" s="412"/>
      <c r="Q30" s="382"/>
      <c r="R30" s="385"/>
      <c r="S30" s="385"/>
      <c r="T30" s="385"/>
      <c r="U30" s="407"/>
      <c r="V30" s="385" t="s">
        <v>139</v>
      </c>
      <c r="W30" s="380"/>
      <c r="X30" s="466"/>
    </row>
    <row r="31" spans="1:24">
      <c r="A31" s="415"/>
      <c r="B31" s="415"/>
      <c r="C31" s="412">
        <v>1</v>
      </c>
      <c r="D31" s="413" t="s">
        <v>530</v>
      </c>
      <c r="E31" s="382"/>
      <c r="F31" s="382">
        <v>30</v>
      </c>
      <c r="G31" s="421" t="s">
        <v>600</v>
      </c>
      <c r="H31" s="415"/>
      <c r="I31" s="415"/>
      <c r="J31" s="382"/>
      <c r="K31" s="382"/>
      <c r="L31" s="382"/>
      <c r="M31" s="382"/>
      <c r="N31" s="382"/>
      <c r="O31" s="382"/>
      <c r="P31" s="412"/>
      <c r="Q31" s="382"/>
      <c r="R31" s="385"/>
      <c r="S31" s="385"/>
      <c r="T31" s="385"/>
      <c r="U31" s="407"/>
      <c r="V31" s="385" t="s">
        <v>139</v>
      </c>
      <c r="W31" s="380"/>
      <c r="X31" s="466"/>
    </row>
    <row r="32" spans="1:24" ht="14.25">
      <c r="A32" s="415"/>
      <c r="B32" s="415"/>
      <c r="C32" s="412">
        <v>2</v>
      </c>
      <c r="D32" s="297" t="s">
        <v>623</v>
      </c>
      <c r="E32" s="382"/>
      <c r="F32" s="382">
        <v>31</v>
      </c>
      <c r="G32" s="422" t="s">
        <v>605</v>
      </c>
      <c r="H32" s="415"/>
      <c r="I32" s="415"/>
      <c r="J32" s="382"/>
      <c r="K32" s="382"/>
      <c r="L32" s="382"/>
      <c r="M32" s="382"/>
      <c r="N32" s="382"/>
      <c r="O32" s="382"/>
      <c r="P32" s="412"/>
      <c r="Q32" s="382"/>
      <c r="R32" s="385"/>
      <c r="S32" s="385"/>
      <c r="T32" s="385"/>
      <c r="U32" s="407"/>
      <c r="V32" s="385" t="s">
        <v>139</v>
      </c>
      <c r="W32" s="380"/>
      <c r="X32" s="466"/>
    </row>
    <row r="33" spans="1:24">
      <c r="A33" s="415"/>
      <c r="B33" s="415"/>
      <c r="C33" s="412">
        <v>3</v>
      </c>
      <c r="D33" s="413" t="s">
        <v>531</v>
      </c>
      <c r="E33" s="382"/>
      <c r="F33" s="382">
        <v>32</v>
      </c>
      <c r="G33" s="421" t="s">
        <v>598</v>
      </c>
      <c r="H33" s="415"/>
      <c r="I33" s="415"/>
      <c r="J33" s="382"/>
      <c r="K33" s="382"/>
      <c r="L33" s="382"/>
      <c r="M33" s="382"/>
      <c r="N33" s="382"/>
      <c r="O33" s="382"/>
      <c r="P33" s="412"/>
      <c r="Q33" s="382"/>
      <c r="R33" s="385"/>
      <c r="S33" s="385"/>
      <c r="T33" s="385"/>
      <c r="U33" s="407"/>
      <c r="V33" s="385" t="s">
        <v>139</v>
      </c>
      <c r="W33" s="380"/>
      <c r="X33" s="466"/>
    </row>
    <row r="34" spans="1:24" ht="14.25">
      <c r="A34" s="415"/>
      <c r="B34" s="415"/>
      <c r="C34" s="412">
        <v>4</v>
      </c>
      <c r="D34" s="297" t="s">
        <v>22</v>
      </c>
      <c r="E34" s="382"/>
      <c r="F34" s="382">
        <v>33</v>
      </c>
      <c r="G34" s="422" t="s">
        <v>22</v>
      </c>
      <c r="H34" s="415"/>
      <c r="I34" s="415"/>
      <c r="J34" s="382"/>
      <c r="K34" s="382"/>
      <c r="L34" s="382"/>
      <c r="M34" s="382"/>
      <c r="N34" s="382"/>
      <c r="O34" s="382"/>
      <c r="P34" s="412">
        <v>5</v>
      </c>
      <c r="Q34" s="382">
        <v>1</v>
      </c>
      <c r="R34" s="420" t="s">
        <v>387</v>
      </c>
      <c r="S34" s="385">
        <v>1</v>
      </c>
      <c r="T34" s="420" t="s">
        <v>563</v>
      </c>
      <c r="U34" s="407" t="s">
        <v>564</v>
      </c>
      <c r="V34" s="385" t="s">
        <v>139</v>
      </c>
      <c r="W34" s="380"/>
      <c r="X34" s="466"/>
    </row>
    <row r="35" spans="1:24">
      <c r="A35" s="415"/>
      <c r="B35" s="415"/>
      <c r="C35" s="412">
        <v>5</v>
      </c>
      <c r="D35" s="413" t="s">
        <v>454</v>
      </c>
      <c r="E35" s="382"/>
      <c r="F35" s="382">
        <v>34</v>
      </c>
      <c r="G35" s="421" t="s">
        <v>616</v>
      </c>
      <c r="H35" s="382"/>
      <c r="I35" s="382"/>
      <c r="J35" s="382"/>
      <c r="K35" s="382"/>
      <c r="L35" s="382"/>
      <c r="M35" s="382"/>
      <c r="N35" s="382"/>
      <c r="O35" s="382"/>
      <c r="P35" s="412"/>
      <c r="Q35" s="382">
        <v>2</v>
      </c>
      <c r="R35" s="420" t="s">
        <v>25</v>
      </c>
      <c r="S35" s="385">
        <v>2</v>
      </c>
      <c r="T35" s="420" t="s">
        <v>216</v>
      </c>
      <c r="U35" s="407" t="s">
        <v>564</v>
      </c>
      <c r="V35" s="385" t="s">
        <v>139</v>
      </c>
      <c r="W35" s="380"/>
      <c r="X35" s="466"/>
    </row>
    <row r="36" spans="1:24" ht="14.25">
      <c r="A36" s="415"/>
      <c r="B36" s="415"/>
      <c r="C36" s="412">
        <v>6</v>
      </c>
      <c r="D36" s="413" t="s">
        <v>532</v>
      </c>
      <c r="E36" s="382"/>
      <c r="F36" s="382">
        <v>35</v>
      </c>
      <c r="G36" s="421" t="s">
        <v>537</v>
      </c>
      <c r="H36" s="382"/>
      <c r="I36" s="382"/>
      <c r="J36" s="382"/>
      <c r="K36" s="382"/>
      <c r="L36" s="382"/>
      <c r="M36" s="382"/>
      <c r="N36" s="382"/>
      <c r="O36" s="382"/>
      <c r="P36" s="412"/>
      <c r="Q36" s="382">
        <v>3</v>
      </c>
      <c r="R36" s="420" t="s">
        <v>26</v>
      </c>
      <c r="S36" s="385">
        <v>3</v>
      </c>
      <c r="T36" s="420" t="s">
        <v>565</v>
      </c>
      <c r="U36" s="407" t="s">
        <v>564</v>
      </c>
      <c r="V36" s="385" t="s">
        <v>139</v>
      </c>
      <c r="W36" s="380"/>
      <c r="X36" s="466"/>
    </row>
    <row r="37" spans="1:24" ht="14.25">
      <c r="A37" s="415"/>
      <c r="B37" s="415"/>
      <c r="C37" s="412">
        <v>7</v>
      </c>
      <c r="D37" s="413" t="s">
        <v>533</v>
      </c>
      <c r="E37" s="382"/>
      <c r="F37" s="382">
        <v>36</v>
      </c>
      <c r="G37" s="421" t="s">
        <v>538</v>
      </c>
      <c r="H37" s="382"/>
      <c r="I37" s="382"/>
      <c r="J37" s="382"/>
      <c r="K37" s="382"/>
      <c r="L37" s="382"/>
      <c r="M37" s="382"/>
      <c r="N37" s="382"/>
      <c r="O37" s="382"/>
      <c r="P37" s="412"/>
      <c r="Q37" s="382"/>
      <c r="R37" s="385"/>
      <c r="S37" s="385"/>
      <c r="T37" s="385"/>
      <c r="U37" s="407"/>
      <c r="V37" s="385" t="s">
        <v>139</v>
      </c>
      <c r="W37" s="380"/>
      <c r="X37" s="466"/>
    </row>
    <row r="38" spans="1:24">
      <c r="A38" s="415"/>
      <c r="B38" s="415"/>
      <c r="C38" s="412">
        <v>8</v>
      </c>
      <c r="D38" s="413" t="s">
        <v>130</v>
      </c>
      <c r="E38" s="382"/>
      <c r="F38" s="382">
        <v>37</v>
      </c>
      <c r="G38" s="421" t="s">
        <v>599</v>
      </c>
      <c r="H38" s="382"/>
      <c r="I38" s="382"/>
      <c r="J38" s="382"/>
      <c r="K38" s="382"/>
      <c r="L38" s="382"/>
      <c r="M38" s="382"/>
      <c r="N38" s="382"/>
      <c r="O38" s="382"/>
      <c r="P38" s="412"/>
      <c r="Q38" s="382"/>
      <c r="R38" s="385"/>
      <c r="S38" s="385"/>
      <c r="T38" s="385"/>
      <c r="U38" s="407"/>
      <c r="V38" s="385" t="s">
        <v>139</v>
      </c>
      <c r="W38" s="380"/>
      <c r="X38" s="466"/>
    </row>
    <row r="39" spans="1:24">
      <c r="A39" s="415"/>
      <c r="B39" s="415"/>
      <c r="C39" s="412">
        <v>9</v>
      </c>
      <c r="D39" s="413" t="s">
        <v>132</v>
      </c>
      <c r="E39" s="382"/>
      <c r="F39" s="382">
        <v>38</v>
      </c>
      <c r="G39" s="421" t="s">
        <v>132</v>
      </c>
      <c r="H39" s="382"/>
      <c r="I39" s="382"/>
      <c r="J39" s="382"/>
      <c r="K39" s="382"/>
      <c r="L39" s="382"/>
      <c r="M39" s="382"/>
      <c r="N39" s="382"/>
      <c r="O39" s="382"/>
      <c r="P39" s="412"/>
      <c r="Q39" s="382"/>
      <c r="R39" s="385"/>
      <c r="S39" s="385"/>
      <c r="T39" s="385"/>
      <c r="U39" s="407"/>
      <c r="V39" s="385" t="s">
        <v>139</v>
      </c>
      <c r="W39" s="380"/>
      <c r="X39" s="466"/>
    </row>
    <row r="40" spans="1:24" ht="13.5" thickBot="1">
      <c r="A40" s="415"/>
      <c r="B40" s="415"/>
      <c r="C40" s="412">
        <v>10</v>
      </c>
      <c r="D40" s="426" t="s">
        <v>534</v>
      </c>
      <c r="E40" s="383"/>
      <c r="F40" s="383">
        <v>39</v>
      </c>
      <c r="G40" s="423" t="s">
        <v>499</v>
      </c>
      <c r="H40" s="382"/>
      <c r="I40" s="382"/>
      <c r="J40" s="382"/>
      <c r="K40" s="382"/>
      <c r="L40" s="382"/>
      <c r="M40" s="382"/>
      <c r="N40" s="382"/>
      <c r="O40" s="382"/>
      <c r="P40" s="412"/>
      <c r="Q40" s="382"/>
      <c r="R40" s="385"/>
      <c r="S40" s="385"/>
      <c r="T40" s="385"/>
      <c r="U40" s="407"/>
      <c r="V40" s="385" t="s">
        <v>139</v>
      </c>
      <c r="W40" s="380"/>
      <c r="X40" s="466"/>
    </row>
    <row r="41" spans="1:24" ht="13.5" thickBot="1">
      <c r="A41" s="415"/>
      <c r="B41" s="415"/>
      <c r="C41" s="427">
        <v>6</v>
      </c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412"/>
      <c r="Q41" s="382"/>
      <c r="R41" s="385"/>
      <c r="S41" s="385"/>
      <c r="T41" s="385"/>
      <c r="U41" s="407"/>
      <c r="V41" s="385" t="s">
        <v>139</v>
      </c>
      <c r="W41" s="380"/>
      <c r="X41" s="466"/>
    </row>
    <row r="42" spans="1:24">
      <c r="A42" s="415"/>
      <c r="B42" s="415"/>
      <c r="C42" s="415"/>
      <c r="D42" s="382"/>
      <c r="E42" s="382"/>
      <c r="F42" s="382"/>
      <c r="G42" s="382"/>
      <c r="H42" s="382"/>
      <c r="I42" s="415"/>
      <c r="J42" s="382"/>
      <c r="K42" s="382"/>
      <c r="L42" s="382"/>
      <c r="M42" s="382"/>
      <c r="N42" s="382"/>
      <c r="O42" s="382"/>
      <c r="P42" s="412">
        <v>6</v>
      </c>
      <c r="Q42" s="382">
        <v>1</v>
      </c>
      <c r="R42" s="425" t="s">
        <v>27</v>
      </c>
      <c r="S42" s="385">
        <v>1</v>
      </c>
      <c r="T42" s="425" t="s">
        <v>27</v>
      </c>
      <c r="U42" s="407" t="s">
        <v>139</v>
      </c>
      <c r="V42" s="385" t="s">
        <v>139</v>
      </c>
      <c r="W42" s="380"/>
      <c r="X42" s="466"/>
    </row>
    <row r="43" spans="1:24">
      <c r="A43" s="415"/>
      <c r="B43" s="415"/>
      <c r="C43" s="415"/>
      <c r="D43" s="415"/>
      <c r="E43" s="415"/>
      <c r="F43" s="415"/>
      <c r="G43" s="415"/>
      <c r="H43" s="415"/>
      <c r="I43" s="415"/>
      <c r="J43" s="415"/>
      <c r="K43" s="415"/>
      <c r="L43" s="415"/>
      <c r="M43" s="415"/>
      <c r="N43" s="415"/>
      <c r="O43" s="415"/>
      <c r="P43" s="412"/>
      <c r="Q43" s="382">
        <v>2</v>
      </c>
      <c r="R43" s="425" t="s">
        <v>28</v>
      </c>
      <c r="S43" s="385">
        <v>2</v>
      </c>
      <c r="T43" s="425" t="s">
        <v>28</v>
      </c>
      <c r="U43" s="407" t="s">
        <v>139</v>
      </c>
      <c r="V43" s="385" t="s">
        <v>139</v>
      </c>
      <c r="W43" s="380"/>
      <c r="X43" s="466"/>
    </row>
    <row r="44" spans="1:24">
      <c r="A44" s="415"/>
      <c r="B44" s="415"/>
      <c r="C44" s="415"/>
      <c r="D44" s="415"/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415"/>
      <c r="P44" s="412"/>
      <c r="Q44" s="382">
        <v>3</v>
      </c>
      <c r="R44" s="425" t="s">
        <v>29</v>
      </c>
      <c r="S44" s="385">
        <v>3</v>
      </c>
      <c r="T44" s="425" t="s">
        <v>29</v>
      </c>
      <c r="U44" s="407" t="s">
        <v>139</v>
      </c>
      <c r="V44" s="385" t="s">
        <v>139</v>
      </c>
      <c r="W44" s="380"/>
      <c r="X44" s="466"/>
    </row>
    <row r="45" spans="1:24">
      <c r="A45" s="415"/>
      <c r="B45" s="411" t="s">
        <v>625</v>
      </c>
      <c r="C45" s="415"/>
      <c r="D45" s="415"/>
      <c r="E45" s="415"/>
      <c r="F45" s="415"/>
      <c r="G45" s="415"/>
      <c r="H45" s="415"/>
      <c r="I45" s="415"/>
      <c r="J45" s="415"/>
      <c r="K45" s="415"/>
      <c r="L45" s="415"/>
      <c r="M45" s="415"/>
      <c r="N45" s="415"/>
      <c r="O45" s="415"/>
      <c r="P45" s="412"/>
      <c r="Q45" s="382"/>
      <c r="R45" s="385"/>
      <c r="S45" s="385"/>
      <c r="T45" s="385"/>
      <c r="U45" s="407"/>
      <c r="V45" s="385" t="s">
        <v>139</v>
      </c>
      <c r="W45" s="380"/>
      <c r="X45" s="466"/>
    </row>
    <row r="46" spans="1:24" ht="13.5" thickBot="1">
      <c r="B46">
        <v>2004</v>
      </c>
      <c r="C46">
        <f>B46+1</f>
        <v>2005</v>
      </c>
      <c r="D46">
        <f t="shared" ref="D46:L46" si="0">C46+1</f>
        <v>2006</v>
      </c>
      <c r="E46">
        <f t="shared" si="0"/>
        <v>2007</v>
      </c>
      <c r="F46">
        <f t="shared" si="0"/>
        <v>2008</v>
      </c>
      <c r="G46">
        <f t="shared" si="0"/>
        <v>2009</v>
      </c>
      <c r="H46">
        <f t="shared" si="0"/>
        <v>2010</v>
      </c>
      <c r="I46">
        <f t="shared" si="0"/>
        <v>2011</v>
      </c>
      <c r="J46">
        <f t="shared" si="0"/>
        <v>2012</v>
      </c>
      <c r="K46">
        <f t="shared" si="0"/>
        <v>2013</v>
      </c>
      <c r="L46">
        <f t="shared" si="0"/>
        <v>2014</v>
      </c>
      <c r="M46" s="415"/>
      <c r="N46" s="415"/>
      <c r="O46" s="415"/>
      <c r="P46" s="412"/>
      <c r="Q46" s="382"/>
      <c r="R46" s="385"/>
      <c r="S46" s="385"/>
      <c r="T46" s="385"/>
      <c r="U46" s="407"/>
      <c r="V46" s="385" t="s">
        <v>139</v>
      </c>
      <c r="W46" s="380"/>
      <c r="X46" s="466"/>
    </row>
    <row r="47" spans="1:24">
      <c r="A47" s="442"/>
      <c r="B47" s="443">
        <f>IF(OR(Tool!D11=0,Tool!D11="",Tool!D11=".."),NA(),Tool!D11)</f>
        <v>2004</v>
      </c>
      <c r="C47" s="443">
        <f>IF(OR(Tool!E11=0,Tool!E11="",Tool!E11=".."),NA(),Tool!E11)</f>
        <v>2005</v>
      </c>
      <c r="D47" s="443">
        <f>IF(OR(Tool!F11=0,Tool!F11="",Tool!F11=".."),NA(),Tool!F11)</f>
        <v>2006</v>
      </c>
      <c r="E47" s="443">
        <f>IF(OR(Tool!G11=0,Tool!G11="",Tool!G11=".."),NA(),Tool!G11)</f>
        <v>2007</v>
      </c>
      <c r="F47" s="443">
        <f>IF(OR(Tool!H11=0,Tool!H11="",Tool!H11=".."),NA(),Tool!H11)</f>
        <v>2008</v>
      </c>
      <c r="G47" s="443">
        <f>IF(OR(Tool!I11=0,Tool!I11="",Tool!I11=".."),NA(),Tool!I11)</f>
        <v>2009</v>
      </c>
      <c r="H47" s="443">
        <f>IF(OR(Tool!J11=0,Tool!J11="",Tool!J11=".."),NA(),Tool!J11)</f>
        <v>2010</v>
      </c>
      <c r="I47" s="443">
        <f>IF(OR(Tool!K11=0,Tool!K11="",Tool!K11=".."),NA(),Tool!K11)</f>
        <v>2011</v>
      </c>
      <c r="J47" s="443">
        <f>IF(OR(Tool!L11=0,Tool!L11="",Tool!L11=".."),NA(),Tool!L11)</f>
        <v>2012</v>
      </c>
      <c r="K47" s="443">
        <f>IF(OR(Tool!M11=0,Tool!M11="",Tool!M11=".."),NA(),Tool!M11)</f>
        <v>2013</v>
      </c>
      <c r="L47" s="444">
        <f>IF(OR(Tool!N11=0,Tool!N11="",Tool!N11=".."),NA(),Tool!N11)</f>
        <v>2014</v>
      </c>
      <c r="M47" s="415"/>
      <c r="N47" s="415"/>
      <c r="O47" s="415"/>
      <c r="P47" s="412"/>
      <c r="Q47" s="382"/>
      <c r="R47" s="385"/>
      <c r="S47" s="385"/>
      <c r="T47" s="385"/>
      <c r="U47" s="407"/>
      <c r="V47" s="385" t="s">
        <v>139</v>
      </c>
      <c r="W47" s="380"/>
      <c r="X47" s="466"/>
    </row>
    <row r="48" spans="1:24">
      <c r="A48" s="445" t="str">
        <f ca="1">Tool!C12</f>
        <v>Scotland</v>
      </c>
      <c r="B48" s="405">
        <f ca="1">IF(OR(Tool!D12=0,Tool!D12="",Tool!D12=".."),NA(),Tool!D12)</f>
        <v>100</v>
      </c>
      <c r="C48" s="405">
        <f ca="1">IF(OR(Tool!E12=0,Tool!E12="",Tool!E12=".."),NA(),Tool!E12)</f>
        <v>101.30434782608695</v>
      </c>
      <c r="D48" s="405">
        <f ca="1">IF(OR(Tool!F12=0,Tool!F12="",Tool!F12=".."),NA(),Tool!F12)</f>
        <v>103.47826086956522</v>
      </c>
      <c r="E48" s="405">
        <f ca="1">IF(OR(Tool!G12=0,Tool!G12="",Tool!G12=".."),NA(),Tool!G12)</f>
        <v>106.08695652173914</v>
      </c>
      <c r="F48" s="405">
        <f ca="1">IF(OR(Tool!H12=0,Tool!H12="",Tool!H12=".."),NA(),Tool!H12)</f>
        <v>105.21739130434781</v>
      </c>
      <c r="G48" s="405">
        <f ca="1">IF(OR(Tool!I12=0,Tool!I12="",Tool!I12=".."),NA(),Tool!I12)</f>
        <v>99.782608695652172</v>
      </c>
      <c r="H48" s="405">
        <f ca="1">IF(OR(Tool!J12=0,Tool!J12="",Tool!J12=".."),NA(),Tool!J12)</f>
        <v>93.913043478260875</v>
      </c>
      <c r="I48" s="405">
        <f ca="1">IF(OR(Tool!K12=0,Tool!K12="",Tool!K12=".."),NA(),Tool!K12)</f>
        <v>95.027218771480221</v>
      </c>
      <c r="J48" s="405">
        <f ca="1">IF(OR(Tool!L12=0,Tool!L12="",Tool!L12=".."),NA(),Tool!L12)</f>
        <v>91.852888976890867</v>
      </c>
      <c r="K48" s="405">
        <f ca="1">IF(OR(Tool!M12=0,Tool!M12="",Tool!M12=".."),NA(),Tool!M12)</f>
        <v>92.216771967064346</v>
      </c>
      <c r="L48" s="446">
        <f ca="1">IF(OR(Tool!N12=0,Tool!N12="",Tool!N12=".."),NA(),Tool!N12)</f>
        <v>89.984900566960874</v>
      </c>
      <c r="M48" s="415"/>
      <c r="N48" s="415"/>
      <c r="O48" s="415"/>
      <c r="P48" s="412"/>
      <c r="Q48" s="382"/>
      <c r="R48" s="385"/>
      <c r="S48" s="385"/>
      <c r="T48" s="385"/>
      <c r="U48" s="407"/>
      <c r="V48" s="385" t="s">
        <v>139</v>
      </c>
      <c r="W48" s="380"/>
      <c r="X48" s="466"/>
    </row>
    <row r="49" spans="1:24">
      <c r="A49" s="445" t="str">
        <f ca="1">Tool!C14</f>
        <v>Great Britain</v>
      </c>
      <c r="B49" s="405">
        <f ca="1">IF(OR(Tool!D14=0,Tool!D14="",Tool!D14=".."),NA(),Tool!D14)</f>
        <v>100</v>
      </c>
      <c r="C49" s="405">
        <f ca="1">IF(OR(Tool!E14=0,Tool!E14="",Tool!E14=".."),NA(),Tool!E14)</f>
        <v>101.94342474627511</v>
      </c>
      <c r="D49" s="405">
        <f ca="1">IF(OR(Tool!F14=0,Tool!F14="",Tool!F14=".."),NA(),Tool!F14)</f>
        <v>106.08939753832864</v>
      </c>
      <c r="E49" s="405">
        <f ca="1">IF(OR(Tool!G14=0,Tool!G14="",Tool!G14=".."),NA(),Tool!G14)</f>
        <v>111.4662060030231</v>
      </c>
      <c r="F49" s="405">
        <f ca="1">IF(OR(Tool!H14=0,Tool!H14="",Tool!H14=".."),NA(),Tool!H14)</f>
        <v>113.77672209026129</v>
      </c>
      <c r="G49" s="405">
        <f ca="1">IF(OR(Tool!I14=0,Tool!I14="",Tool!I14=".."),NA(),Tool!I14)</f>
        <v>112.50269920103648</v>
      </c>
      <c r="H49" s="405">
        <f ca="1">IF(OR(Tool!J14=0,Tool!J14="",Tool!J14=".."),NA(),Tool!J14)</f>
        <v>112.02763981861369</v>
      </c>
      <c r="I49" s="405">
        <f ca="1">IF(OR(Tool!K14=0,Tool!K14="",Tool!K14=".."),NA(),Tool!K14)</f>
        <v>112.61066724249622</v>
      </c>
      <c r="J49" s="405">
        <f ca="1">IF(OR(Tool!L14=0,Tool!L14="",Tool!L14=".."),NA(),Tool!L14)</f>
        <v>110.58086806305334</v>
      </c>
      <c r="K49" s="405">
        <f ca="1">IF(OR(Tool!M14=0,Tool!M14="",Tool!M14=".."),NA(),Tool!M14)</f>
        <v>112.41632476786872</v>
      </c>
      <c r="L49" s="446">
        <f ca="1">IF(OR(Tool!N14=0,Tool!N14="",Tool!N14=".."),NA(),Tool!N14)</f>
        <v>111.48779961131505</v>
      </c>
      <c r="M49" s="415"/>
      <c r="N49" s="415"/>
      <c r="O49" s="415"/>
      <c r="P49" s="412"/>
      <c r="Q49" s="382"/>
      <c r="R49" s="385"/>
      <c r="S49" s="385"/>
      <c r="T49" s="385"/>
      <c r="U49" s="407"/>
      <c r="V49" s="385" t="s">
        <v>139</v>
      </c>
      <c r="W49" s="380"/>
      <c r="X49" s="466"/>
    </row>
    <row r="50" spans="1:24" ht="14.25">
      <c r="A50" s="445" t="str">
        <f ca="1">Tool!C16</f>
        <v/>
      </c>
      <c r="B50" s="405" t="e">
        <f ca="1">IF(OR(Tool!D16=0,Tool!D16="",Tool!D16=".."),NA(),Tool!D16)</f>
        <v>#N/A</v>
      </c>
      <c r="C50" s="405" t="e">
        <f ca="1">IF(OR(Tool!E16=0,Tool!E16="",Tool!E16=".."),NA(),Tool!E16)</f>
        <v>#N/A</v>
      </c>
      <c r="D50" s="405" t="e">
        <f ca="1">IF(OR(Tool!F16=0,Tool!F16="",Tool!F16=".."),NA(),Tool!F16)</f>
        <v>#N/A</v>
      </c>
      <c r="E50" s="405" t="e">
        <f ca="1">IF(OR(Tool!G16=0,Tool!G16="",Tool!G16=".."),NA(),Tool!G16)</f>
        <v>#N/A</v>
      </c>
      <c r="F50" s="405" t="e">
        <f ca="1">IF(OR(Tool!H16=0,Tool!H16="",Tool!H16=".."),NA(),Tool!H16)</f>
        <v>#N/A</v>
      </c>
      <c r="G50" s="405" t="e">
        <f ca="1">IF(OR(Tool!I16=0,Tool!I16="",Tool!I16=".."),NA(),Tool!I16)</f>
        <v>#N/A</v>
      </c>
      <c r="H50" s="405" t="e">
        <f ca="1">IF(OR(Tool!J16=0,Tool!J16="",Tool!J16=".."),NA(),Tool!J16)</f>
        <v>#N/A</v>
      </c>
      <c r="I50" s="405" t="e">
        <f ca="1">IF(OR(Tool!K16=0,Tool!K16="",Tool!K16=".."),NA(),Tool!K16)</f>
        <v>#N/A</v>
      </c>
      <c r="J50" s="405" t="e">
        <f ca="1">IF(OR(Tool!L16=0,Tool!L16="",Tool!L16=".."),NA(),Tool!L16)</f>
        <v>#N/A</v>
      </c>
      <c r="K50" s="405" t="e">
        <f ca="1">IF(OR(Tool!M16=0,Tool!M16="",Tool!M16=".."),NA(),Tool!M16)</f>
        <v>#N/A</v>
      </c>
      <c r="L50" s="446" t="e">
        <f ca="1">IF(OR(Tool!N16=0,Tool!N16="",Tool!N16=".."),NA(),Tool!N16)</f>
        <v>#N/A</v>
      </c>
      <c r="M50" s="415"/>
      <c r="N50" s="415"/>
      <c r="O50" s="415"/>
      <c r="P50" s="412">
        <v>7</v>
      </c>
      <c r="Q50" s="382">
        <v>1</v>
      </c>
      <c r="R50" s="425" t="s">
        <v>509</v>
      </c>
      <c r="S50" s="385">
        <v>1</v>
      </c>
      <c r="T50" s="425" t="s">
        <v>505</v>
      </c>
      <c r="U50" s="407" t="s">
        <v>556</v>
      </c>
      <c r="V50" s="385" t="s">
        <v>139</v>
      </c>
      <c r="W50" s="380"/>
      <c r="X50" s="466"/>
    </row>
    <row r="51" spans="1:24" ht="14.25">
      <c r="A51" s="447"/>
      <c r="B51" s="439"/>
      <c r="C51" s="439"/>
      <c r="D51" s="439"/>
      <c r="E51" s="439"/>
      <c r="F51" s="439"/>
      <c r="G51" s="439"/>
      <c r="H51" s="439"/>
      <c r="I51" s="439"/>
      <c r="J51" s="439"/>
      <c r="K51" s="439"/>
      <c r="L51" s="448"/>
      <c r="M51" s="415"/>
      <c r="N51" s="415"/>
      <c r="O51" s="415"/>
      <c r="P51" s="412"/>
      <c r="Q51" s="382">
        <v>2</v>
      </c>
      <c r="R51" s="425" t="s">
        <v>474</v>
      </c>
      <c r="S51" s="385">
        <v>4</v>
      </c>
      <c r="T51" s="425" t="s">
        <v>610</v>
      </c>
      <c r="U51" s="407" t="s">
        <v>556</v>
      </c>
      <c r="V51" s="385"/>
      <c r="W51" s="380">
        <v>2007</v>
      </c>
      <c r="X51" s="466"/>
    </row>
    <row r="52" spans="1:24">
      <c r="A52" s="447" t="s">
        <v>622</v>
      </c>
      <c r="B52" s="448" t="e">
        <f t="shared" ref="B52:K52" ca="1" si="1">IFERROR(SUM(B48:B50)/SUM(B48:B50)*B47,NA())</f>
        <v>#N/A</v>
      </c>
      <c r="C52" s="448" t="e">
        <f t="shared" ca="1" si="1"/>
        <v>#N/A</v>
      </c>
      <c r="D52" s="448" t="e">
        <f t="shared" ca="1" si="1"/>
        <v>#N/A</v>
      </c>
      <c r="E52" s="448" t="e">
        <f t="shared" ca="1" si="1"/>
        <v>#N/A</v>
      </c>
      <c r="F52" s="448" t="e">
        <f t="shared" ca="1" si="1"/>
        <v>#N/A</v>
      </c>
      <c r="G52" s="448" t="e">
        <f t="shared" ca="1" si="1"/>
        <v>#N/A</v>
      </c>
      <c r="H52" s="448" t="e">
        <f t="shared" ca="1" si="1"/>
        <v>#N/A</v>
      </c>
      <c r="I52" s="448" t="e">
        <f t="shared" ca="1" si="1"/>
        <v>#N/A</v>
      </c>
      <c r="J52" s="448" t="e">
        <f t="shared" ca="1" si="1"/>
        <v>#N/A</v>
      </c>
      <c r="K52" s="448" t="e">
        <f t="shared" ca="1" si="1"/>
        <v>#N/A</v>
      </c>
      <c r="L52" s="448" t="e">
        <f ca="1">IFERROR(SUM(L48:L50)/SUM(L48:L50)*L47,NA())</f>
        <v>#N/A</v>
      </c>
      <c r="M52" s="415"/>
      <c r="N52" s="415"/>
      <c r="O52" s="415"/>
      <c r="P52" s="412"/>
      <c r="Q52" s="382">
        <v>3</v>
      </c>
      <c r="R52" s="425" t="s">
        <v>475</v>
      </c>
      <c r="S52" s="385">
        <v>5</v>
      </c>
      <c r="T52" s="425" t="s">
        <v>609</v>
      </c>
      <c r="U52" s="407" t="s">
        <v>566</v>
      </c>
      <c r="V52" s="385"/>
      <c r="W52" s="380">
        <v>2007</v>
      </c>
      <c r="X52" s="466"/>
    </row>
    <row r="53" spans="1:24">
      <c r="A53" s="447"/>
      <c r="B53" s="439"/>
      <c r="C53" s="439"/>
      <c r="D53" s="439"/>
      <c r="E53" s="439"/>
      <c r="F53" s="439"/>
      <c r="G53" s="439"/>
      <c r="H53" s="439"/>
      <c r="I53" s="439"/>
      <c r="J53" s="439"/>
      <c r="K53" s="439"/>
      <c r="L53" s="448"/>
      <c r="M53" s="415"/>
      <c r="N53" s="415"/>
      <c r="O53" s="415"/>
      <c r="P53" s="412"/>
      <c r="Q53" s="382"/>
      <c r="R53" s="385"/>
      <c r="S53" s="385"/>
      <c r="T53" s="385"/>
      <c r="U53" s="407"/>
      <c r="V53" s="385" t="s">
        <v>139</v>
      </c>
      <c r="W53" s="380"/>
      <c r="X53" s="466"/>
    </row>
    <row r="54" spans="1:24">
      <c r="A54" s="447"/>
      <c r="B54" s="428" t="str">
        <f>VLOOKUP(L!A9,L!A2:B8,2,FALSE)</f>
        <v>Scotland/Great Britain Comparisons Index Numbers</v>
      </c>
      <c r="C54" s="428" t="s">
        <v>139</v>
      </c>
      <c r="D54" s="428" t="str">
        <f>VLOOKUP(L!C41,Topic2,2,FALSE)</f>
        <v>Local bus passenger journeys 2, 4</v>
      </c>
      <c r="E54" s="439"/>
      <c r="F54" s="439"/>
      <c r="G54" s="439"/>
      <c r="H54" s="439"/>
      <c r="I54" s="439"/>
      <c r="J54" s="439"/>
      <c r="K54" s="439"/>
      <c r="L54" s="448"/>
      <c r="M54" s="415"/>
      <c r="N54" s="415"/>
      <c r="O54" s="415"/>
      <c r="P54" s="412"/>
      <c r="Q54" s="382"/>
      <c r="R54" s="385"/>
      <c r="S54" s="385"/>
      <c r="T54" s="385"/>
      <c r="U54" s="407"/>
      <c r="V54" s="385" t="s">
        <v>139</v>
      </c>
      <c r="W54" s="380"/>
      <c r="X54" s="466"/>
    </row>
    <row r="55" spans="1:24">
      <c r="A55" s="447"/>
      <c r="B55" s="439"/>
      <c r="C55" s="439"/>
      <c r="D55" s="439"/>
      <c r="E55" s="439"/>
      <c r="F55" s="439"/>
      <c r="G55" s="439"/>
      <c r="H55" s="439"/>
      <c r="I55" s="439"/>
      <c r="J55" s="439"/>
      <c r="K55" s="439"/>
      <c r="L55" s="448"/>
      <c r="M55" s="415"/>
      <c r="N55" s="415"/>
      <c r="O55" s="415"/>
      <c r="P55" s="412"/>
      <c r="Q55" s="382"/>
      <c r="R55" s="385"/>
      <c r="S55" s="385"/>
      <c r="T55" s="385"/>
      <c r="U55" s="407"/>
      <c r="V55" s="385" t="s">
        <v>139</v>
      </c>
      <c r="W55" s="380"/>
      <c r="X55" s="466"/>
    </row>
    <row r="56" spans="1:24">
      <c r="A56" s="447"/>
      <c r="B56" s="428" t="str">
        <f ca="1">VLOOKUP(L!H10,L!H2:I9,2,FALSE)</f>
        <v>Scotland</v>
      </c>
      <c r="C56" s="428" t="s">
        <v>139</v>
      </c>
      <c r="D56" s="428" t="str">
        <f ca="1">VLOOKUP(L!H11,L!H2:I9,2,FALSE)</f>
        <v>Great Britain</v>
      </c>
      <c r="E56" s="439"/>
      <c r="F56" s="428"/>
      <c r="G56" s="429" t="str">
        <f ca="1">VLOOKUP(L!H12,L!H2:I9,2,FALSE)</f>
        <v/>
      </c>
      <c r="H56" s="439"/>
      <c r="I56" s="439"/>
      <c r="J56" s="439"/>
      <c r="K56" s="439"/>
      <c r="L56" s="448"/>
      <c r="M56" s="415"/>
      <c r="N56" s="415"/>
      <c r="O56" s="415"/>
      <c r="P56" s="412"/>
      <c r="Q56" s="382"/>
      <c r="R56" s="385"/>
      <c r="S56" s="385"/>
      <c r="T56" s="385"/>
      <c r="U56" s="407"/>
      <c r="V56" s="385" t="s">
        <v>139</v>
      </c>
      <c r="W56" s="380"/>
      <c r="X56" s="466"/>
    </row>
    <row r="57" spans="1:24">
      <c r="A57" s="449"/>
      <c r="B57" s="380"/>
      <c r="C57" s="380"/>
      <c r="D57" s="380"/>
      <c r="E57" s="380"/>
      <c r="F57" s="382"/>
      <c r="G57" s="382"/>
      <c r="H57" s="382"/>
      <c r="I57" s="382"/>
      <c r="J57" s="382"/>
      <c r="K57" s="382"/>
      <c r="L57" s="450"/>
      <c r="M57" s="415"/>
      <c r="N57" s="415"/>
      <c r="O57" s="415"/>
      <c r="P57" s="412"/>
      <c r="Q57" s="382"/>
      <c r="R57" s="385"/>
      <c r="S57" s="385"/>
      <c r="T57" s="385"/>
      <c r="U57" s="407"/>
      <c r="V57" s="385" t="s">
        <v>139</v>
      </c>
      <c r="W57" s="380"/>
      <c r="X57" s="466"/>
    </row>
    <row r="58" spans="1:24">
      <c r="A58" s="449"/>
      <c r="B58" s="380"/>
      <c r="C58" s="380"/>
      <c r="D58" s="380"/>
      <c r="E58" s="380"/>
      <c r="F58" s="382"/>
      <c r="G58" s="382"/>
      <c r="H58" s="382"/>
      <c r="I58" s="382"/>
      <c r="J58" s="382"/>
      <c r="K58" s="382"/>
      <c r="L58" s="450"/>
      <c r="M58" s="415"/>
      <c r="N58" s="415"/>
      <c r="O58" s="415"/>
      <c r="P58" s="412">
        <v>8</v>
      </c>
      <c r="Q58" s="382">
        <v>1</v>
      </c>
      <c r="R58" s="425" t="s">
        <v>32</v>
      </c>
      <c r="S58" s="385">
        <v>1</v>
      </c>
      <c r="T58" s="425" t="s">
        <v>32</v>
      </c>
      <c r="U58" s="407" t="s">
        <v>553</v>
      </c>
      <c r="V58" s="385" t="s">
        <v>139</v>
      </c>
      <c r="W58" s="380"/>
      <c r="X58" s="466"/>
    </row>
    <row r="59" spans="1:24">
      <c r="A59" s="449"/>
      <c r="B59" s="380"/>
      <c r="C59" s="380"/>
      <c r="D59" s="380"/>
      <c r="E59" s="380"/>
      <c r="F59" s="382"/>
      <c r="G59" s="382"/>
      <c r="H59" s="382"/>
      <c r="I59" s="382"/>
      <c r="J59" s="382"/>
      <c r="K59" s="382"/>
      <c r="L59" s="450"/>
      <c r="M59" s="415"/>
      <c r="N59" s="415"/>
      <c r="O59" s="415"/>
      <c r="P59" s="412"/>
      <c r="Q59" s="382">
        <v>2</v>
      </c>
      <c r="R59" s="425" t="s">
        <v>33</v>
      </c>
      <c r="S59" s="385">
        <v>2</v>
      </c>
      <c r="T59" s="425" t="s">
        <v>33</v>
      </c>
      <c r="U59" s="407" t="s">
        <v>139</v>
      </c>
      <c r="V59" s="385" t="s">
        <v>139</v>
      </c>
      <c r="W59" s="380"/>
      <c r="X59" s="466"/>
    </row>
    <row r="60" spans="1:24" ht="13.5" thickBot="1">
      <c r="A60" s="451"/>
      <c r="B60" s="452"/>
      <c r="C60" s="452"/>
      <c r="D60" s="452"/>
      <c r="E60" s="452"/>
      <c r="F60" s="453"/>
      <c r="G60" s="453"/>
      <c r="H60" s="453"/>
      <c r="I60" s="453"/>
      <c r="J60" s="453"/>
      <c r="K60" s="453"/>
      <c r="L60" s="454"/>
      <c r="M60" s="415"/>
      <c r="N60" s="415"/>
      <c r="O60" s="415"/>
      <c r="P60" s="412"/>
      <c r="Q60" s="382">
        <v>3</v>
      </c>
      <c r="R60" s="425" t="s">
        <v>35</v>
      </c>
      <c r="S60" s="385">
        <v>4</v>
      </c>
      <c r="T60" s="425" t="s">
        <v>35</v>
      </c>
      <c r="U60" s="407" t="s">
        <v>568</v>
      </c>
      <c r="V60" s="385" t="s">
        <v>139</v>
      </c>
      <c r="W60" s="380"/>
      <c r="X60" s="466"/>
    </row>
    <row r="61" spans="1:24" ht="13.5" thickBot="1">
      <c r="F61" s="415"/>
      <c r="G61" s="415"/>
      <c r="H61" s="415"/>
      <c r="I61" s="415"/>
      <c r="J61" s="415"/>
      <c r="K61" s="415"/>
      <c r="L61" s="415"/>
      <c r="M61" s="415"/>
      <c r="N61" s="415"/>
      <c r="O61" s="415"/>
      <c r="P61" s="412"/>
      <c r="Q61" s="382"/>
      <c r="R61" s="385"/>
      <c r="S61" s="385"/>
      <c r="T61" s="385"/>
      <c r="U61" s="407"/>
      <c r="V61" s="385" t="s">
        <v>139</v>
      </c>
      <c r="W61" s="380"/>
      <c r="X61" s="466"/>
    </row>
    <row r="62" spans="1:24">
      <c r="A62" s="457"/>
      <c r="B62" s="458" t="s">
        <v>620</v>
      </c>
      <c r="C62" s="458"/>
      <c r="D62" s="459" t="s">
        <v>621</v>
      </c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2"/>
      <c r="Q62" s="382"/>
      <c r="R62" s="385"/>
      <c r="S62" s="385"/>
      <c r="T62" s="385"/>
      <c r="U62" s="407"/>
      <c r="V62" s="385" t="s">
        <v>139</v>
      </c>
      <c r="W62" s="380"/>
      <c r="X62" s="466"/>
    </row>
    <row r="63" spans="1:24">
      <c r="A63" s="449"/>
      <c r="B63" s="380" t="str">
        <f ca="1">IFERROR(CONCATENATE("10 years ago ","(",D63-10,")"),"10 years ago")</f>
        <v>10 years ago (2004)</v>
      </c>
      <c r="C63" s="380" t="str">
        <f ca="1">IFERROR(CONCATENATE("5 years ago ","(",D63-5,")"),"5 years ago")</f>
        <v>5 years ago (2009)</v>
      </c>
      <c r="D63" s="460">
        <f ca="1">IF(D54="Households with a Car 1  (National Travel Survey)",NA(),IF(OR(A50=" ",A50="",A49=" ",A49="",A48=" ",A48=""),L47,IFERROR(L52,IFERROR(K52,IFERROR(J52,IFERROR(I52,IFERROR(H52,IFERROR(G52,IFERROR(F52,IFERROR(E52,D52))))))))))</f>
        <v>2014</v>
      </c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2"/>
      <c r="Q63" s="382"/>
      <c r="R63" s="385"/>
      <c r="S63" s="385"/>
      <c r="T63" s="385"/>
      <c r="U63" s="407"/>
      <c r="V63" s="385" t="s">
        <v>139</v>
      </c>
      <c r="W63" s="380"/>
      <c r="X63" s="466"/>
    </row>
    <row r="64" spans="1:24">
      <c r="A64" s="445" t="str">
        <f ca="1">Tool!$C$12</f>
        <v>Scotland</v>
      </c>
      <c r="B64" s="380">
        <f ca="1">HLOOKUP(($D$63-10),$B$47:$L$50,2)</f>
        <v>100</v>
      </c>
      <c r="C64" s="380">
        <f ca="1">HLOOKUP(($D$63-5),$B$47:$L$50,2)</f>
        <v>99.782608695652172</v>
      </c>
      <c r="D64" s="460">
        <f ca="1">HLOOKUP($D$63,$B$47:$L$50,2)</f>
        <v>89.984900566960874</v>
      </c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2"/>
      <c r="Q64" s="382"/>
      <c r="R64" s="385"/>
      <c r="S64" s="385"/>
      <c r="T64" s="385"/>
      <c r="U64" s="407"/>
      <c r="V64" s="385" t="s">
        <v>139</v>
      </c>
      <c r="W64" s="380"/>
      <c r="X64" s="466"/>
    </row>
    <row r="65" spans="1:24">
      <c r="A65" s="445" t="str">
        <f ca="1">Tool!$C$14</f>
        <v>Great Britain</v>
      </c>
      <c r="B65" s="380">
        <f ca="1">HLOOKUP(($D$63-10),$B$47:$L$50,3)</f>
        <v>100</v>
      </c>
      <c r="C65" s="380">
        <f ca="1">HLOOKUP(($D$63-5),$B$47:$L$50,3)</f>
        <v>112.50269920103648</v>
      </c>
      <c r="D65" s="460">
        <f ca="1">HLOOKUP($D$63,$B$47:$L$50,3)</f>
        <v>111.48779961131505</v>
      </c>
      <c r="F65" s="415"/>
      <c r="G65" s="415"/>
      <c r="H65" s="415"/>
      <c r="I65" s="415"/>
      <c r="J65" s="415"/>
      <c r="K65" s="415"/>
      <c r="L65" s="415"/>
      <c r="M65" s="415"/>
      <c r="N65" s="415"/>
      <c r="O65" s="415"/>
      <c r="P65" s="412"/>
      <c r="Q65" s="382"/>
      <c r="R65" s="385"/>
      <c r="S65" s="385"/>
      <c r="T65" s="385"/>
      <c r="U65" s="407"/>
      <c r="V65" s="385" t="s">
        <v>139</v>
      </c>
      <c r="W65" s="380"/>
      <c r="X65" s="466"/>
    </row>
    <row r="66" spans="1:24" ht="13.5" thickBot="1">
      <c r="A66" s="461" t="str">
        <f ca="1">Tool!$C$16</f>
        <v/>
      </c>
      <c r="B66" s="452" t="e">
        <f ca="1">HLOOKUP(($D$63-10),$B$47:$L$50,4)</f>
        <v>#N/A</v>
      </c>
      <c r="C66" s="452" t="e">
        <f ca="1">HLOOKUP(($D$63-5),$B$47:$L$50,4)</f>
        <v>#N/A</v>
      </c>
      <c r="D66" s="462" t="e">
        <f ca="1">HLOOKUP($D$63,$B$47:$L$50,4)</f>
        <v>#N/A</v>
      </c>
      <c r="F66" s="415"/>
      <c r="G66" s="415"/>
      <c r="H66" s="415"/>
      <c r="I66" s="415"/>
      <c r="J66" s="415"/>
      <c r="K66" s="415"/>
      <c r="L66" s="415"/>
      <c r="M66" s="415"/>
      <c r="N66" s="415"/>
      <c r="O66" s="415"/>
      <c r="P66" s="412">
        <v>9</v>
      </c>
      <c r="Q66" s="382">
        <v>1</v>
      </c>
      <c r="R66" s="425" t="s">
        <v>611</v>
      </c>
      <c r="S66" s="385">
        <v>1</v>
      </c>
      <c r="T66" s="425" t="s">
        <v>611</v>
      </c>
      <c r="U66" s="407" t="s">
        <v>553</v>
      </c>
      <c r="V66" s="385" t="s">
        <v>139</v>
      </c>
      <c r="W66" s="380"/>
      <c r="X66" s="466"/>
    </row>
    <row r="67" spans="1:24">
      <c r="F67" s="415"/>
      <c r="G67" s="415"/>
      <c r="H67" s="415"/>
      <c r="I67" s="415"/>
      <c r="J67" s="415"/>
      <c r="K67" s="415"/>
      <c r="L67" s="415"/>
      <c r="M67" s="415"/>
      <c r="N67" s="415"/>
      <c r="O67" s="415"/>
      <c r="P67" s="412"/>
      <c r="Q67" s="382">
        <v>2</v>
      </c>
      <c r="R67" s="425" t="s">
        <v>612</v>
      </c>
      <c r="S67" s="385">
        <v>2</v>
      </c>
      <c r="T67" s="425" t="s">
        <v>612</v>
      </c>
      <c r="U67" s="407" t="s">
        <v>553</v>
      </c>
      <c r="V67" s="385" t="s">
        <v>139</v>
      </c>
      <c r="W67" s="380"/>
      <c r="X67" s="466"/>
    </row>
    <row r="68" spans="1:24">
      <c r="F68" s="415"/>
      <c r="G68" s="415"/>
      <c r="H68" s="415"/>
      <c r="I68" s="415"/>
      <c r="J68" s="415"/>
      <c r="K68" s="415"/>
      <c r="L68" s="415"/>
      <c r="M68" s="415"/>
      <c r="N68" s="415"/>
      <c r="O68" s="415"/>
      <c r="P68" s="412"/>
      <c r="Q68" s="382">
        <v>3</v>
      </c>
      <c r="R68" s="425" t="s">
        <v>613</v>
      </c>
      <c r="S68" s="385">
        <v>4</v>
      </c>
      <c r="T68" s="425" t="s">
        <v>613</v>
      </c>
      <c r="U68" s="407" t="s">
        <v>553</v>
      </c>
      <c r="V68" s="385" t="s">
        <v>139</v>
      </c>
      <c r="W68" s="380"/>
      <c r="X68" s="466"/>
    </row>
    <row r="69" spans="1:24">
      <c r="F69" s="415"/>
      <c r="G69" s="415"/>
      <c r="H69" s="415"/>
      <c r="I69" s="415"/>
      <c r="J69" s="415"/>
      <c r="K69" s="415"/>
      <c r="L69" s="415"/>
      <c r="M69" s="415"/>
      <c r="N69" s="415"/>
      <c r="O69" s="415"/>
      <c r="P69" s="412"/>
      <c r="Q69" s="382">
        <v>4</v>
      </c>
      <c r="R69" s="425" t="s">
        <v>614</v>
      </c>
      <c r="S69" s="385">
        <v>5</v>
      </c>
      <c r="T69" s="425" t="s">
        <v>614</v>
      </c>
      <c r="U69" s="407" t="s">
        <v>553</v>
      </c>
      <c r="V69" s="385" t="s">
        <v>139</v>
      </c>
      <c r="W69" s="380"/>
      <c r="X69" s="466"/>
    </row>
    <row r="70" spans="1:24">
      <c r="F70" s="415"/>
      <c r="G70" s="415"/>
      <c r="H70" s="415"/>
      <c r="I70" s="415"/>
      <c r="J70" s="415"/>
      <c r="K70" s="415"/>
      <c r="L70" s="415"/>
      <c r="M70" s="415"/>
      <c r="N70" s="415"/>
      <c r="O70" s="415"/>
      <c r="P70" s="412"/>
      <c r="Q70" s="382"/>
      <c r="R70" s="385"/>
      <c r="S70" s="385"/>
      <c r="T70" s="385"/>
      <c r="U70" s="407"/>
      <c r="V70" s="385" t="s">
        <v>139</v>
      </c>
      <c r="W70" s="380"/>
      <c r="X70" s="466"/>
    </row>
    <row r="71" spans="1:24">
      <c r="F71" s="415"/>
      <c r="G71" s="415"/>
      <c r="H71" s="415"/>
      <c r="I71" s="415"/>
      <c r="J71" s="415"/>
      <c r="K71" s="415"/>
      <c r="L71" s="415"/>
      <c r="M71" s="415"/>
      <c r="N71" s="415"/>
      <c r="O71" s="415"/>
      <c r="P71" s="412"/>
      <c r="Q71" s="382"/>
      <c r="R71" s="385"/>
      <c r="S71" s="385"/>
      <c r="T71" s="385"/>
      <c r="U71" s="407"/>
      <c r="V71" s="385" t="s">
        <v>139</v>
      </c>
      <c r="W71" s="380"/>
      <c r="X71" s="466"/>
    </row>
    <row r="72" spans="1:24">
      <c r="F72" s="415"/>
      <c r="G72" s="415"/>
      <c r="H72" s="415"/>
      <c r="I72" s="415"/>
      <c r="J72" s="415"/>
      <c r="K72" s="415"/>
      <c r="L72" s="415"/>
      <c r="M72" s="415"/>
      <c r="N72" s="415"/>
      <c r="O72" s="415"/>
      <c r="P72" s="412"/>
      <c r="Q72" s="382"/>
      <c r="R72" s="385"/>
      <c r="S72" s="385"/>
      <c r="T72" s="385"/>
      <c r="U72" s="407"/>
      <c r="V72" s="385" t="s">
        <v>139</v>
      </c>
      <c r="W72" s="380"/>
      <c r="X72" s="466"/>
    </row>
    <row r="73" spans="1:24">
      <c r="F73" s="415"/>
      <c r="G73" s="415"/>
      <c r="H73" s="415"/>
      <c r="I73" s="415"/>
      <c r="J73" s="415"/>
      <c r="K73" s="415"/>
      <c r="L73" s="415"/>
      <c r="M73" s="415"/>
      <c r="N73" s="415"/>
      <c r="O73" s="415"/>
      <c r="P73" s="412"/>
      <c r="Q73" s="382"/>
      <c r="R73" s="385"/>
      <c r="S73" s="385"/>
      <c r="T73" s="385"/>
      <c r="U73" s="407"/>
      <c r="V73" s="385" t="s">
        <v>139</v>
      </c>
      <c r="W73" s="380"/>
      <c r="X73" s="466"/>
    </row>
    <row r="74" spans="1:24">
      <c r="F74" s="415"/>
      <c r="G74" s="415"/>
      <c r="H74" s="415"/>
      <c r="I74" s="415"/>
      <c r="J74" s="415"/>
      <c r="K74" s="415"/>
      <c r="L74" s="415"/>
      <c r="M74" s="415"/>
      <c r="N74" s="415"/>
      <c r="O74" s="415"/>
      <c r="P74" s="412">
        <v>10</v>
      </c>
      <c r="Q74" s="382">
        <v>1</v>
      </c>
      <c r="R74" s="389" t="s">
        <v>52</v>
      </c>
      <c r="S74" s="385">
        <v>1</v>
      </c>
      <c r="T74" s="389" t="s">
        <v>569</v>
      </c>
      <c r="U74" s="407" t="s">
        <v>570</v>
      </c>
      <c r="V74" s="385" t="s">
        <v>139</v>
      </c>
      <c r="W74" s="380">
        <v>2006</v>
      </c>
      <c r="X74" s="466">
        <v>2011</v>
      </c>
    </row>
    <row r="75" spans="1:24">
      <c r="F75" s="415"/>
      <c r="G75" s="415"/>
      <c r="H75" s="415"/>
      <c r="I75" s="415"/>
      <c r="J75" s="415"/>
      <c r="K75" s="415"/>
      <c r="L75" s="415"/>
      <c r="M75" s="415"/>
      <c r="N75" s="415"/>
      <c r="O75" s="415"/>
      <c r="P75" s="412"/>
      <c r="Q75" s="382">
        <v>2</v>
      </c>
      <c r="R75" s="389" t="s">
        <v>439</v>
      </c>
      <c r="S75" s="385">
        <v>2</v>
      </c>
      <c r="T75" s="389" t="s">
        <v>439</v>
      </c>
      <c r="U75" s="407" t="s">
        <v>570</v>
      </c>
      <c r="V75" s="385" t="s">
        <v>139</v>
      </c>
      <c r="W75" s="380">
        <v>2006</v>
      </c>
      <c r="X75" s="466">
        <v>2011</v>
      </c>
    </row>
    <row r="76" spans="1:24">
      <c r="F76" s="415"/>
      <c r="G76" s="415"/>
      <c r="H76" s="415"/>
      <c r="I76" s="415"/>
      <c r="J76" s="415"/>
      <c r="K76" s="415"/>
      <c r="L76" s="415"/>
      <c r="M76" s="415"/>
      <c r="N76" s="415"/>
      <c r="O76" s="415"/>
      <c r="P76" s="412"/>
      <c r="Q76" s="382">
        <v>3</v>
      </c>
      <c r="R76" s="389" t="s">
        <v>440</v>
      </c>
      <c r="S76" s="385">
        <v>3</v>
      </c>
      <c r="T76" s="389" t="s">
        <v>440</v>
      </c>
      <c r="U76" s="407" t="s">
        <v>570</v>
      </c>
      <c r="V76" s="385" t="s">
        <v>139</v>
      </c>
      <c r="W76" s="380">
        <v>2006</v>
      </c>
      <c r="X76" s="466">
        <v>2011</v>
      </c>
    </row>
    <row r="77" spans="1:24">
      <c r="F77" s="415"/>
      <c r="G77" s="415"/>
      <c r="H77" s="415"/>
      <c r="I77" s="415"/>
      <c r="J77" s="415"/>
      <c r="K77" s="415"/>
      <c r="L77" s="415"/>
      <c r="M77" s="415"/>
      <c r="N77" s="415"/>
      <c r="O77" s="415"/>
      <c r="P77" s="412"/>
      <c r="Q77" s="382">
        <v>4</v>
      </c>
      <c r="R77" s="389" t="s">
        <v>56</v>
      </c>
      <c r="S77" s="385">
        <v>4</v>
      </c>
      <c r="T77" s="389" t="s">
        <v>56</v>
      </c>
      <c r="U77" s="407" t="s">
        <v>570</v>
      </c>
      <c r="V77" s="385" t="s">
        <v>139</v>
      </c>
      <c r="W77" s="380">
        <v>2006</v>
      </c>
      <c r="X77" s="466">
        <v>2011</v>
      </c>
    </row>
    <row r="78" spans="1:24">
      <c r="F78" s="415"/>
      <c r="G78" s="415"/>
      <c r="H78" s="415"/>
      <c r="I78" s="415"/>
      <c r="J78" s="415"/>
      <c r="K78" s="415"/>
      <c r="L78" s="415"/>
      <c r="M78" s="415"/>
      <c r="N78" s="415"/>
      <c r="O78" s="415"/>
      <c r="P78" s="412"/>
      <c r="Q78" s="382">
        <v>5</v>
      </c>
      <c r="R78" s="389" t="s">
        <v>57</v>
      </c>
      <c r="S78" s="385">
        <v>5</v>
      </c>
      <c r="T78" s="389" t="s">
        <v>57</v>
      </c>
      <c r="U78" s="407" t="s">
        <v>570</v>
      </c>
      <c r="V78" s="385" t="s">
        <v>139</v>
      </c>
      <c r="W78" s="380">
        <v>2006</v>
      </c>
      <c r="X78" s="466">
        <v>2011</v>
      </c>
    </row>
    <row r="79" spans="1:24">
      <c r="F79" s="415"/>
      <c r="G79" s="415"/>
      <c r="H79" s="415"/>
      <c r="I79" s="415"/>
      <c r="J79" s="415"/>
      <c r="K79" s="415"/>
      <c r="L79" s="415"/>
      <c r="M79" s="415"/>
      <c r="N79" s="415"/>
      <c r="O79" s="415"/>
      <c r="P79" s="412"/>
      <c r="Q79" s="382">
        <v>6</v>
      </c>
      <c r="R79" s="389" t="s">
        <v>441</v>
      </c>
      <c r="S79" s="385">
        <v>6</v>
      </c>
      <c r="T79" s="389" t="s">
        <v>571</v>
      </c>
      <c r="U79" s="407" t="s">
        <v>570</v>
      </c>
      <c r="V79" s="385" t="s">
        <v>139</v>
      </c>
      <c r="W79" s="380">
        <v>2006</v>
      </c>
      <c r="X79" s="466">
        <v>2011</v>
      </c>
    </row>
    <row r="80" spans="1:24">
      <c r="F80" s="415"/>
      <c r="G80" s="415"/>
      <c r="H80" s="415"/>
      <c r="I80" s="415"/>
      <c r="J80" s="415"/>
      <c r="K80" s="415"/>
      <c r="L80" s="415"/>
      <c r="M80" s="415"/>
      <c r="N80" s="415"/>
      <c r="O80" s="415"/>
      <c r="P80" s="412"/>
      <c r="Q80" s="382">
        <v>7</v>
      </c>
      <c r="R80" s="389" t="s">
        <v>102</v>
      </c>
      <c r="S80" s="385">
        <v>7</v>
      </c>
      <c r="T80" s="389" t="s">
        <v>98</v>
      </c>
      <c r="U80" s="407" t="s">
        <v>570</v>
      </c>
      <c r="V80" s="385" t="s">
        <v>139</v>
      </c>
      <c r="W80" s="380">
        <v>2006</v>
      </c>
      <c r="X80" s="466">
        <v>2011</v>
      </c>
    </row>
    <row r="81" spans="6:24">
      <c r="F81" s="415"/>
      <c r="G81" s="415"/>
      <c r="H81" s="415"/>
      <c r="I81" s="415"/>
      <c r="J81" s="415"/>
      <c r="K81" s="415"/>
      <c r="L81" s="415"/>
      <c r="M81" s="415"/>
      <c r="N81" s="415"/>
      <c r="O81" s="415"/>
      <c r="P81" s="412"/>
      <c r="Q81" s="382">
        <v>8</v>
      </c>
      <c r="R81" s="389" t="s">
        <v>59</v>
      </c>
      <c r="S81" s="385">
        <v>8</v>
      </c>
      <c r="T81" s="389" t="s">
        <v>59</v>
      </c>
      <c r="U81" s="407" t="s">
        <v>570</v>
      </c>
      <c r="V81" s="385" t="s">
        <v>139</v>
      </c>
      <c r="W81" s="380">
        <v>2006</v>
      </c>
      <c r="X81" s="466">
        <v>2011</v>
      </c>
    </row>
    <row r="82" spans="6:24">
      <c r="F82" s="415"/>
      <c r="G82" s="415"/>
      <c r="H82" s="415"/>
      <c r="I82" s="415"/>
      <c r="J82" s="415"/>
      <c r="K82" s="415"/>
      <c r="L82" s="415"/>
      <c r="M82" s="415"/>
      <c r="N82" s="415"/>
      <c r="O82" s="415"/>
      <c r="P82" s="412">
        <v>11</v>
      </c>
      <c r="Q82" s="382">
        <v>1</v>
      </c>
      <c r="R82" s="467" t="s">
        <v>49</v>
      </c>
      <c r="S82" s="385">
        <v>1</v>
      </c>
      <c r="T82" s="467" t="s">
        <v>49</v>
      </c>
      <c r="U82" s="407" t="s">
        <v>570</v>
      </c>
      <c r="V82" s="385" t="s">
        <v>139</v>
      </c>
      <c r="W82" s="380"/>
      <c r="X82" s="466"/>
    </row>
    <row r="83" spans="6:24"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2"/>
      <c r="Q83" s="382">
        <v>2</v>
      </c>
      <c r="R83" s="467" t="s">
        <v>50</v>
      </c>
      <c r="S83" s="385">
        <v>2</v>
      </c>
      <c r="T83" s="467" t="s">
        <v>50</v>
      </c>
      <c r="U83" s="407" t="s">
        <v>570</v>
      </c>
      <c r="V83" s="385" t="s">
        <v>139</v>
      </c>
      <c r="W83" s="380"/>
      <c r="X83" s="466"/>
    </row>
    <row r="84" spans="6:24">
      <c r="F84" s="415"/>
      <c r="G84" s="415"/>
      <c r="H84" s="415"/>
      <c r="I84" s="415"/>
      <c r="J84" s="415"/>
      <c r="K84" s="415"/>
      <c r="L84" s="415"/>
      <c r="M84" s="415"/>
      <c r="N84" s="415"/>
      <c r="O84" s="415"/>
      <c r="P84" s="412"/>
      <c r="Q84" s="382"/>
      <c r="R84" s="385"/>
      <c r="S84" s="385"/>
      <c r="T84" s="385"/>
      <c r="U84" s="407"/>
      <c r="V84" s="385" t="s">
        <v>139</v>
      </c>
      <c r="W84" s="380"/>
      <c r="X84" s="466"/>
    </row>
    <row r="85" spans="6:24">
      <c r="F85" s="415"/>
      <c r="G85" s="415"/>
      <c r="H85" s="415"/>
      <c r="I85" s="415"/>
      <c r="J85" s="415"/>
      <c r="K85" s="415"/>
      <c r="L85" s="415"/>
      <c r="M85" s="415"/>
      <c r="N85" s="415"/>
      <c r="O85" s="415"/>
      <c r="P85" s="412"/>
      <c r="Q85" s="382"/>
      <c r="R85" s="385"/>
      <c r="S85" s="385"/>
      <c r="T85" s="385"/>
      <c r="U85" s="407"/>
      <c r="V85" s="385" t="s">
        <v>139</v>
      </c>
      <c r="W85" s="380"/>
      <c r="X85" s="466"/>
    </row>
    <row r="86" spans="6:24">
      <c r="F86" s="415"/>
      <c r="G86" s="415"/>
      <c r="H86" s="415"/>
      <c r="I86" s="415"/>
      <c r="J86" s="415"/>
      <c r="K86" s="415"/>
      <c r="L86" s="415"/>
      <c r="M86" s="415"/>
      <c r="N86" s="415"/>
      <c r="O86" s="415"/>
      <c r="P86" s="412"/>
      <c r="Q86" s="382"/>
      <c r="R86" s="385"/>
      <c r="S86" s="385"/>
      <c r="T86" s="385"/>
      <c r="U86" s="407"/>
      <c r="V86" s="385" t="s">
        <v>139</v>
      </c>
      <c r="W86" s="380"/>
      <c r="X86" s="466"/>
    </row>
    <row r="87" spans="6:24">
      <c r="F87" s="415"/>
      <c r="G87" s="415"/>
      <c r="H87" s="415"/>
      <c r="I87" s="415"/>
      <c r="J87" s="415"/>
      <c r="K87" s="415"/>
      <c r="L87" s="415"/>
      <c r="M87" s="415"/>
      <c r="N87" s="415"/>
      <c r="O87" s="415"/>
      <c r="P87" s="412"/>
      <c r="Q87" s="382"/>
      <c r="R87" s="385"/>
      <c r="S87" s="385"/>
      <c r="T87" s="385"/>
      <c r="U87" s="407"/>
      <c r="V87" s="385" t="s">
        <v>139</v>
      </c>
      <c r="W87" s="380"/>
      <c r="X87" s="466"/>
    </row>
    <row r="88" spans="6:24">
      <c r="F88" s="415"/>
      <c r="G88" s="415"/>
      <c r="H88" s="415"/>
      <c r="I88" s="415"/>
      <c r="J88" s="415"/>
      <c r="K88" s="415"/>
      <c r="L88" s="415"/>
      <c r="M88" s="415"/>
      <c r="N88" s="415"/>
      <c r="O88" s="415"/>
      <c r="P88" s="412"/>
      <c r="Q88" s="382"/>
      <c r="R88" s="385"/>
      <c r="S88" s="385"/>
      <c r="T88" s="385"/>
      <c r="U88" s="407"/>
      <c r="V88" s="385" t="s">
        <v>139</v>
      </c>
      <c r="W88" s="380"/>
      <c r="X88" s="466"/>
    </row>
    <row r="89" spans="6:24">
      <c r="F89" s="415"/>
      <c r="G89" s="415"/>
      <c r="H89" s="415"/>
      <c r="I89" s="415"/>
      <c r="J89" s="415"/>
      <c r="K89" s="415"/>
      <c r="L89" s="415"/>
      <c r="M89" s="415"/>
      <c r="N89" s="415"/>
      <c r="O89" s="415"/>
      <c r="P89" s="412"/>
      <c r="Q89" s="382"/>
      <c r="R89" s="385"/>
      <c r="S89" s="385"/>
      <c r="T89" s="385"/>
      <c r="U89" s="407"/>
      <c r="V89" s="385" t="s">
        <v>139</v>
      </c>
      <c r="W89" s="380"/>
      <c r="X89" s="466"/>
    </row>
    <row r="90" spans="6:24">
      <c r="F90" s="415"/>
      <c r="G90" s="415"/>
      <c r="H90" s="415"/>
      <c r="I90" s="415"/>
      <c r="J90" s="415"/>
      <c r="K90" s="415"/>
      <c r="L90" s="415"/>
      <c r="M90" s="415"/>
      <c r="N90" s="415"/>
      <c r="O90" s="415"/>
      <c r="P90" s="412">
        <v>12</v>
      </c>
      <c r="Q90" s="382">
        <v>1</v>
      </c>
      <c r="R90" s="467" t="s">
        <v>52</v>
      </c>
      <c r="S90" s="385">
        <v>1</v>
      </c>
      <c r="T90" s="467" t="s">
        <v>52</v>
      </c>
      <c r="U90" s="407" t="s">
        <v>570</v>
      </c>
      <c r="V90" s="385" t="s">
        <v>139</v>
      </c>
      <c r="W90" s="380"/>
      <c r="X90" s="466"/>
    </row>
    <row r="91" spans="6:24">
      <c r="F91" s="415"/>
      <c r="G91" s="415"/>
      <c r="H91" s="415"/>
      <c r="I91" s="415"/>
      <c r="J91" s="415"/>
      <c r="K91" s="415"/>
      <c r="L91" s="415"/>
      <c r="M91" s="415"/>
      <c r="N91" s="415"/>
      <c r="O91" s="415"/>
      <c r="P91" s="412"/>
      <c r="Q91" s="382">
        <v>2</v>
      </c>
      <c r="R91" s="467" t="s">
        <v>53</v>
      </c>
      <c r="S91" s="385">
        <v>2</v>
      </c>
      <c r="T91" s="467" t="s">
        <v>53</v>
      </c>
      <c r="U91" s="407" t="s">
        <v>570</v>
      </c>
      <c r="V91" s="385" t="s">
        <v>139</v>
      </c>
      <c r="W91" s="380"/>
      <c r="X91" s="466"/>
    </row>
    <row r="92" spans="6:24">
      <c r="F92" s="415"/>
      <c r="G92" s="415"/>
      <c r="H92" s="415"/>
      <c r="I92" s="415"/>
      <c r="J92" s="415"/>
      <c r="K92" s="415"/>
      <c r="L92" s="415"/>
      <c r="M92" s="415"/>
      <c r="N92" s="415"/>
      <c r="O92" s="415"/>
      <c r="P92" s="412"/>
      <c r="Q92" s="382">
        <v>3</v>
      </c>
      <c r="R92" s="468" t="s">
        <v>54</v>
      </c>
      <c r="S92" s="385">
        <v>3</v>
      </c>
      <c r="T92" s="468" t="s">
        <v>439</v>
      </c>
      <c r="U92" s="407" t="s">
        <v>570</v>
      </c>
      <c r="V92" s="385" t="s">
        <v>139</v>
      </c>
      <c r="W92" s="380"/>
      <c r="X92" s="466"/>
    </row>
    <row r="93" spans="6:24">
      <c r="F93" s="415"/>
      <c r="G93" s="415"/>
      <c r="H93" s="415"/>
      <c r="I93" s="415"/>
      <c r="J93" s="415"/>
      <c r="K93" s="415"/>
      <c r="L93" s="415"/>
      <c r="M93" s="415"/>
      <c r="N93" s="415"/>
      <c r="O93" s="415"/>
      <c r="P93" s="412"/>
      <c r="Q93" s="382">
        <v>4</v>
      </c>
      <c r="R93" s="469" t="s">
        <v>55</v>
      </c>
      <c r="S93" s="385">
        <v>4</v>
      </c>
      <c r="T93" s="469" t="s">
        <v>440</v>
      </c>
      <c r="U93" s="407" t="s">
        <v>570</v>
      </c>
      <c r="V93" s="385" t="s">
        <v>139</v>
      </c>
      <c r="W93" s="380"/>
      <c r="X93" s="466"/>
    </row>
    <row r="94" spans="6:24"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2"/>
      <c r="Q94" s="382">
        <v>5</v>
      </c>
      <c r="R94" s="469" t="s">
        <v>56</v>
      </c>
      <c r="S94" s="385">
        <v>5</v>
      </c>
      <c r="T94" s="469" t="s">
        <v>56</v>
      </c>
      <c r="U94" s="407" t="s">
        <v>570</v>
      </c>
      <c r="V94" s="385" t="s">
        <v>139</v>
      </c>
      <c r="W94" s="380"/>
      <c r="X94" s="466"/>
    </row>
    <row r="95" spans="6:24">
      <c r="F95" s="415"/>
      <c r="G95" s="415"/>
      <c r="H95" s="415"/>
      <c r="I95" s="415"/>
      <c r="J95" s="415"/>
      <c r="K95" s="415"/>
      <c r="L95" s="415"/>
      <c r="M95" s="415"/>
      <c r="N95" s="415"/>
      <c r="O95" s="415"/>
      <c r="P95" s="412"/>
      <c r="Q95" s="382">
        <v>6</v>
      </c>
      <c r="R95" s="469" t="s">
        <v>57</v>
      </c>
      <c r="S95" s="385">
        <v>6</v>
      </c>
      <c r="T95" s="469" t="s">
        <v>57</v>
      </c>
      <c r="U95" s="407" t="s">
        <v>570</v>
      </c>
      <c r="V95" s="385" t="s">
        <v>139</v>
      </c>
      <c r="W95" s="380"/>
      <c r="X95" s="466"/>
    </row>
    <row r="96" spans="6:24">
      <c r="F96" s="415"/>
      <c r="G96" s="415"/>
      <c r="H96" s="415"/>
      <c r="I96" s="415"/>
      <c r="J96" s="415"/>
      <c r="K96" s="415"/>
      <c r="L96" s="415"/>
      <c r="M96" s="415"/>
      <c r="N96" s="415"/>
      <c r="O96" s="415"/>
      <c r="P96" s="412"/>
      <c r="Q96" s="382">
        <v>7</v>
      </c>
      <c r="R96" s="469" t="s">
        <v>58</v>
      </c>
      <c r="S96" s="385">
        <v>7</v>
      </c>
      <c r="T96" s="469" t="s">
        <v>58</v>
      </c>
      <c r="U96" s="407" t="s">
        <v>570</v>
      </c>
      <c r="V96" s="385" t="s">
        <v>139</v>
      </c>
      <c r="W96" s="380"/>
      <c r="X96" s="466"/>
    </row>
    <row r="97" spans="6:24">
      <c r="F97" s="415"/>
      <c r="G97" s="415"/>
      <c r="H97" s="415"/>
      <c r="I97" s="415"/>
      <c r="J97" s="415"/>
      <c r="K97" s="415"/>
      <c r="L97" s="415"/>
      <c r="M97" s="415"/>
      <c r="N97" s="415"/>
      <c r="O97" s="415"/>
      <c r="P97" s="412"/>
      <c r="Q97" s="382">
        <v>8</v>
      </c>
      <c r="R97" s="469" t="s">
        <v>59</v>
      </c>
      <c r="S97" s="385">
        <v>8</v>
      </c>
      <c r="T97" s="469" t="s">
        <v>59</v>
      </c>
      <c r="U97" s="407" t="s">
        <v>570</v>
      </c>
      <c r="V97" s="385" t="s">
        <v>139</v>
      </c>
      <c r="W97" s="380"/>
      <c r="X97" s="466"/>
    </row>
    <row r="98" spans="6:24">
      <c r="F98" s="415"/>
      <c r="G98" s="415"/>
      <c r="H98" s="415"/>
      <c r="I98" s="415"/>
      <c r="J98" s="415"/>
      <c r="K98" s="415"/>
      <c r="L98" s="415"/>
      <c r="M98" s="415"/>
      <c r="N98" s="415"/>
      <c r="O98" s="415"/>
      <c r="P98" s="412">
        <v>13</v>
      </c>
      <c r="Q98" s="382">
        <v>1</v>
      </c>
      <c r="R98" s="467" t="s">
        <v>52</v>
      </c>
      <c r="S98" s="385">
        <v>1</v>
      </c>
      <c r="T98" s="467" t="s">
        <v>52</v>
      </c>
      <c r="U98" s="407" t="s">
        <v>570</v>
      </c>
      <c r="V98" s="385" t="s">
        <v>139</v>
      </c>
      <c r="W98" s="380"/>
      <c r="X98" s="466"/>
    </row>
    <row r="99" spans="6:24">
      <c r="F99" s="415"/>
      <c r="G99" s="415"/>
      <c r="H99" s="415"/>
      <c r="I99" s="415"/>
      <c r="J99" s="415"/>
      <c r="K99" s="415"/>
      <c r="L99" s="415"/>
      <c r="M99" s="415"/>
      <c r="N99" s="415"/>
      <c r="O99" s="415"/>
      <c r="P99" s="412"/>
      <c r="Q99" s="382">
        <v>2</v>
      </c>
      <c r="R99" s="467" t="s">
        <v>53</v>
      </c>
      <c r="S99" s="385">
        <v>2</v>
      </c>
      <c r="T99" s="467" t="s">
        <v>53</v>
      </c>
      <c r="U99" s="407" t="s">
        <v>570</v>
      </c>
      <c r="V99" s="385" t="s">
        <v>139</v>
      </c>
      <c r="W99" s="380"/>
      <c r="X99" s="466"/>
    </row>
    <row r="100" spans="6:24">
      <c r="F100" s="415"/>
      <c r="G100" s="415"/>
      <c r="H100" s="415"/>
      <c r="I100" s="415"/>
      <c r="J100" s="415"/>
      <c r="K100" s="415"/>
      <c r="L100" s="415"/>
      <c r="M100" s="415"/>
      <c r="N100" s="415"/>
      <c r="O100" s="415"/>
      <c r="P100" s="412"/>
      <c r="Q100" s="382">
        <v>3</v>
      </c>
      <c r="R100" s="469" t="s">
        <v>56</v>
      </c>
      <c r="S100" s="385">
        <v>3</v>
      </c>
      <c r="T100" s="469" t="s">
        <v>572</v>
      </c>
      <c r="U100" s="407" t="s">
        <v>570</v>
      </c>
      <c r="V100" s="385" t="s">
        <v>139</v>
      </c>
      <c r="W100" s="380"/>
      <c r="X100" s="466"/>
    </row>
    <row r="101" spans="6:24">
      <c r="F101" s="415"/>
      <c r="G101" s="415"/>
      <c r="H101" s="415"/>
      <c r="I101" s="415"/>
      <c r="J101" s="415"/>
      <c r="K101" s="415"/>
      <c r="L101" s="415"/>
      <c r="M101" s="415"/>
      <c r="N101" s="415"/>
      <c r="O101" s="415"/>
      <c r="P101" s="412"/>
      <c r="Q101" s="382">
        <v>4</v>
      </c>
      <c r="R101" s="469" t="s">
        <v>61</v>
      </c>
      <c r="S101" s="385">
        <v>4</v>
      </c>
      <c r="T101" s="469" t="s">
        <v>573</v>
      </c>
      <c r="U101" s="407" t="s">
        <v>570</v>
      </c>
      <c r="V101" s="385" t="s">
        <v>139</v>
      </c>
      <c r="W101" s="380"/>
      <c r="X101" s="466"/>
    </row>
    <row r="102" spans="6:24">
      <c r="F102" s="415"/>
      <c r="G102" s="415"/>
      <c r="H102" s="415"/>
      <c r="I102" s="415"/>
      <c r="J102" s="415"/>
      <c r="K102" s="415"/>
      <c r="L102" s="415"/>
      <c r="M102" s="415"/>
      <c r="N102" s="415"/>
      <c r="O102" s="415"/>
      <c r="P102" s="412"/>
      <c r="Q102" s="382">
        <v>5</v>
      </c>
      <c r="R102" s="469" t="s">
        <v>485</v>
      </c>
      <c r="S102" s="385">
        <v>5</v>
      </c>
      <c r="T102" s="469" t="s">
        <v>574</v>
      </c>
      <c r="U102" s="407" t="s">
        <v>570</v>
      </c>
      <c r="V102" s="385" t="s">
        <v>139</v>
      </c>
      <c r="W102" s="380"/>
      <c r="X102" s="466"/>
    </row>
    <row r="103" spans="6:24">
      <c r="F103" s="415"/>
      <c r="G103" s="415"/>
      <c r="H103" s="415"/>
      <c r="I103" s="415"/>
      <c r="J103" s="415"/>
      <c r="K103" s="415"/>
      <c r="L103" s="415"/>
      <c r="M103" s="415"/>
      <c r="N103" s="415"/>
      <c r="O103" s="415"/>
      <c r="P103" s="412"/>
      <c r="Q103" s="382">
        <v>6</v>
      </c>
      <c r="R103" s="469" t="s">
        <v>486</v>
      </c>
      <c r="S103" s="385">
        <v>6</v>
      </c>
      <c r="T103" s="469" t="s">
        <v>575</v>
      </c>
      <c r="U103" s="407" t="s">
        <v>570</v>
      </c>
      <c r="V103" s="385" t="s">
        <v>139</v>
      </c>
      <c r="W103" s="380"/>
      <c r="X103" s="466"/>
    </row>
    <row r="104" spans="6:24">
      <c r="F104" s="415"/>
      <c r="G104" s="415"/>
      <c r="H104" s="415"/>
      <c r="I104" s="415"/>
      <c r="J104" s="415"/>
      <c r="K104" s="415"/>
      <c r="L104" s="415"/>
      <c r="M104" s="415"/>
      <c r="N104" s="415"/>
      <c r="O104" s="415"/>
      <c r="P104" s="412"/>
      <c r="Q104" s="382">
        <v>7</v>
      </c>
      <c r="R104" s="469" t="s">
        <v>58</v>
      </c>
      <c r="S104" s="385">
        <v>7</v>
      </c>
      <c r="T104" s="469" t="s">
        <v>576</v>
      </c>
      <c r="U104" s="407" t="s">
        <v>570</v>
      </c>
      <c r="V104" s="385" t="s">
        <v>139</v>
      </c>
      <c r="W104" s="380"/>
      <c r="X104" s="466"/>
    </row>
    <row r="105" spans="6:24">
      <c r="F105" s="415"/>
      <c r="G105" s="415"/>
      <c r="H105" s="415"/>
      <c r="I105" s="415"/>
      <c r="J105" s="415"/>
      <c r="K105" s="415"/>
      <c r="L105" s="415"/>
      <c r="M105" s="415"/>
      <c r="N105" s="415"/>
      <c r="O105" s="415"/>
      <c r="P105" s="412"/>
      <c r="Q105" s="382">
        <v>8</v>
      </c>
      <c r="R105" s="469" t="s">
        <v>59</v>
      </c>
      <c r="S105" s="385">
        <v>8</v>
      </c>
      <c r="T105" s="469" t="s">
        <v>577</v>
      </c>
      <c r="U105" s="407" t="s">
        <v>570</v>
      </c>
      <c r="V105" s="385" t="s">
        <v>139</v>
      </c>
      <c r="W105" s="380"/>
      <c r="X105" s="466"/>
    </row>
    <row r="106" spans="6:24">
      <c r="F106" s="415"/>
      <c r="G106" s="415"/>
      <c r="H106" s="415"/>
      <c r="I106" s="415"/>
      <c r="J106" s="415"/>
      <c r="K106" s="415"/>
      <c r="L106" s="415"/>
      <c r="M106" s="415"/>
      <c r="N106" s="415"/>
      <c r="O106" s="415"/>
      <c r="P106" s="412">
        <v>14</v>
      </c>
      <c r="Q106" s="382">
        <v>1</v>
      </c>
      <c r="R106" s="469" t="s">
        <v>64</v>
      </c>
      <c r="S106" s="385">
        <v>1</v>
      </c>
      <c r="T106" s="469" t="s">
        <v>64</v>
      </c>
      <c r="U106" s="407" t="s">
        <v>570</v>
      </c>
      <c r="V106" s="385" t="s">
        <v>139</v>
      </c>
      <c r="W106" s="380">
        <v>2012</v>
      </c>
      <c r="X106" s="466"/>
    </row>
    <row r="107" spans="6:24">
      <c r="F107" s="415"/>
      <c r="G107" s="415"/>
      <c r="H107" s="415"/>
      <c r="I107" s="415"/>
      <c r="J107" s="415"/>
      <c r="K107" s="415"/>
      <c r="L107" s="415"/>
      <c r="M107" s="415"/>
      <c r="N107" s="415"/>
      <c r="O107" s="415"/>
      <c r="P107" s="412"/>
      <c r="Q107" s="382">
        <v>2</v>
      </c>
      <c r="R107" s="469" t="s">
        <v>65</v>
      </c>
      <c r="S107" s="385">
        <v>2</v>
      </c>
      <c r="T107" s="469" t="s">
        <v>65</v>
      </c>
      <c r="U107" s="407" t="s">
        <v>570</v>
      </c>
      <c r="V107" s="385" t="s">
        <v>139</v>
      </c>
      <c r="W107" s="380">
        <v>2012</v>
      </c>
      <c r="X107" s="466"/>
    </row>
    <row r="108" spans="6:24">
      <c r="F108" s="415"/>
      <c r="G108" s="415"/>
      <c r="H108" s="415"/>
      <c r="I108" s="415"/>
      <c r="J108" s="415"/>
      <c r="K108" s="415"/>
      <c r="L108" s="415"/>
      <c r="M108" s="415"/>
      <c r="N108" s="415"/>
      <c r="O108" s="415"/>
      <c r="P108" s="412"/>
      <c r="Q108" s="382">
        <v>3</v>
      </c>
      <c r="R108" s="469" t="s">
        <v>66</v>
      </c>
      <c r="S108" s="385">
        <v>3</v>
      </c>
      <c r="T108" s="469" t="s">
        <v>66</v>
      </c>
      <c r="U108" s="407" t="s">
        <v>570</v>
      </c>
      <c r="V108" s="385" t="s">
        <v>139</v>
      </c>
      <c r="W108" s="380">
        <v>2012</v>
      </c>
      <c r="X108" s="466"/>
    </row>
    <row r="109" spans="6:24">
      <c r="F109" s="415"/>
      <c r="G109" s="415"/>
      <c r="H109" s="415"/>
      <c r="I109" s="415"/>
      <c r="J109" s="415"/>
      <c r="K109" s="415"/>
      <c r="L109" s="415"/>
      <c r="M109" s="415"/>
      <c r="N109" s="415"/>
      <c r="O109" s="415"/>
      <c r="P109" s="412"/>
      <c r="Q109" s="382">
        <v>4</v>
      </c>
      <c r="R109" s="469" t="s">
        <v>67</v>
      </c>
      <c r="S109" s="385">
        <v>4</v>
      </c>
      <c r="T109" s="469" t="s">
        <v>67</v>
      </c>
      <c r="U109" s="407" t="s">
        <v>570</v>
      </c>
      <c r="V109" s="385" t="s">
        <v>139</v>
      </c>
      <c r="W109" s="380">
        <v>2012</v>
      </c>
      <c r="X109" s="466"/>
    </row>
    <row r="110" spans="6:24">
      <c r="F110" s="415"/>
      <c r="G110" s="415"/>
      <c r="H110" s="415"/>
      <c r="I110" s="415"/>
      <c r="J110" s="415"/>
      <c r="K110" s="415"/>
      <c r="L110" s="415"/>
      <c r="M110" s="415"/>
      <c r="N110" s="415"/>
      <c r="O110" s="415"/>
      <c r="P110" s="412"/>
      <c r="Q110" s="382">
        <v>5</v>
      </c>
      <c r="R110" s="469" t="s">
        <v>68</v>
      </c>
      <c r="S110" s="385">
        <v>6</v>
      </c>
      <c r="T110" s="469" t="s">
        <v>68</v>
      </c>
      <c r="U110" s="407" t="s">
        <v>570</v>
      </c>
      <c r="V110" s="385" t="s">
        <v>139</v>
      </c>
      <c r="W110" s="380">
        <v>2012</v>
      </c>
      <c r="X110" s="466"/>
    </row>
    <row r="111" spans="6:24">
      <c r="F111" s="415"/>
      <c r="G111" s="415"/>
      <c r="H111" s="415"/>
      <c r="I111" s="415"/>
      <c r="J111" s="415"/>
      <c r="K111" s="415"/>
      <c r="L111" s="415"/>
      <c r="M111" s="415"/>
      <c r="N111" s="415"/>
      <c r="O111" s="415"/>
      <c r="P111" s="412"/>
      <c r="Q111" s="382">
        <v>6</v>
      </c>
      <c r="R111" s="469" t="s">
        <v>69</v>
      </c>
      <c r="S111" s="385">
        <v>7</v>
      </c>
      <c r="T111" s="469" t="s">
        <v>69</v>
      </c>
      <c r="U111" s="407" t="s">
        <v>570</v>
      </c>
      <c r="V111" s="385" t="s">
        <v>139</v>
      </c>
      <c r="W111" s="380">
        <v>2012</v>
      </c>
      <c r="X111" s="466"/>
    </row>
    <row r="112" spans="6:24">
      <c r="F112" s="415"/>
      <c r="G112" s="415"/>
      <c r="H112" s="415"/>
      <c r="I112" s="415"/>
      <c r="J112" s="415"/>
      <c r="K112" s="415"/>
      <c r="L112" s="415"/>
      <c r="M112" s="415"/>
      <c r="N112" s="415"/>
      <c r="O112" s="415"/>
      <c r="P112" s="412"/>
      <c r="Q112" s="382">
        <v>7</v>
      </c>
      <c r="R112" s="467" t="s">
        <v>70</v>
      </c>
      <c r="S112" s="385">
        <v>9</v>
      </c>
      <c r="T112" s="467" t="s">
        <v>506</v>
      </c>
      <c r="U112" s="407" t="s">
        <v>570</v>
      </c>
      <c r="V112" s="385" t="s">
        <v>139</v>
      </c>
      <c r="W112" s="380"/>
      <c r="X112" s="466"/>
    </row>
    <row r="113" spans="6:24">
      <c r="F113" s="415"/>
      <c r="G113" s="415"/>
      <c r="H113" s="415"/>
      <c r="I113" s="415"/>
      <c r="J113" s="415"/>
      <c r="K113" s="415"/>
      <c r="L113" s="415"/>
      <c r="M113" s="415"/>
      <c r="N113" s="415"/>
      <c r="O113" s="415"/>
      <c r="P113" s="412"/>
      <c r="Q113" s="382"/>
      <c r="R113" s="469"/>
      <c r="S113" s="385"/>
      <c r="T113" s="469"/>
      <c r="U113" s="407"/>
      <c r="V113" s="385" t="s">
        <v>139</v>
      </c>
      <c r="W113" s="380"/>
      <c r="X113" s="466"/>
    </row>
    <row r="114" spans="6:24">
      <c r="F114" s="415"/>
      <c r="G114" s="415"/>
      <c r="H114" s="415"/>
      <c r="I114" s="415"/>
      <c r="J114" s="415"/>
      <c r="K114" s="415"/>
      <c r="L114" s="415"/>
      <c r="M114" s="415"/>
      <c r="N114" s="415"/>
      <c r="O114" s="415"/>
      <c r="P114" s="412">
        <v>15</v>
      </c>
      <c r="Q114" s="382">
        <v>1</v>
      </c>
      <c r="R114" s="469" t="s">
        <v>74</v>
      </c>
      <c r="S114" s="385">
        <v>1</v>
      </c>
      <c r="T114" s="469" t="s">
        <v>74</v>
      </c>
      <c r="U114" s="407" t="s">
        <v>570</v>
      </c>
      <c r="V114" s="385" t="s">
        <v>139</v>
      </c>
      <c r="W114" s="380"/>
      <c r="X114" s="466"/>
    </row>
    <row r="115" spans="6:24">
      <c r="F115" s="415"/>
      <c r="G115" s="415"/>
      <c r="H115" s="415"/>
      <c r="I115" s="415"/>
      <c r="J115" s="415"/>
      <c r="K115" s="415"/>
      <c r="L115" s="415"/>
      <c r="M115" s="415"/>
      <c r="N115" s="415"/>
      <c r="O115" s="415"/>
      <c r="P115" s="412"/>
      <c r="Q115" s="382">
        <v>2</v>
      </c>
      <c r="R115" s="469" t="s">
        <v>75</v>
      </c>
      <c r="S115" s="385">
        <v>2</v>
      </c>
      <c r="T115" s="469" t="s">
        <v>75</v>
      </c>
      <c r="U115" s="407" t="s">
        <v>570</v>
      </c>
      <c r="V115" s="385" t="s">
        <v>139</v>
      </c>
      <c r="W115" s="380"/>
      <c r="X115" s="466"/>
    </row>
    <row r="116" spans="6:24">
      <c r="F116" s="415"/>
      <c r="G116" s="415"/>
      <c r="H116" s="415"/>
      <c r="I116" s="415"/>
      <c r="J116" s="415"/>
      <c r="K116" s="415"/>
      <c r="L116" s="415"/>
      <c r="M116" s="415"/>
      <c r="N116" s="415"/>
      <c r="O116" s="415"/>
      <c r="P116" s="412"/>
      <c r="Q116" s="382">
        <v>3</v>
      </c>
      <c r="R116" s="469" t="s">
        <v>76</v>
      </c>
      <c r="S116" s="385">
        <v>3</v>
      </c>
      <c r="T116" s="469" t="s">
        <v>76</v>
      </c>
      <c r="U116" s="407" t="s">
        <v>570</v>
      </c>
      <c r="V116" s="385" t="s">
        <v>139</v>
      </c>
      <c r="W116" s="380"/>
      <c r="X116" s="466"/>
    </row>
    <row r="117" spans="6:24">
      <c r="F117" s="415"/>
      <c r="G117" s="415"/>
      <c r="H117" s="415"/>
      <c r="I117" s="415"/>
      <c r="J117" s="415"/>
      <c r="K117" s="415"/>
      <c r="L117" s="415"/>
      <c r="M117" s="415"/>
      <c r="N117" s="415"/>
      <c r="O117" s="415"/>
      <c r="P117" s="412"/>
      <c r="Q117" s="382"/>
      <c r="R117" s="385"/>
      <c r="S117" s="385"/>
      <c r="T117" s="385"/>
      <c r="U117" s="407"/>
      <c r="V117" s="385" t="s">
        <v>139</v>
      </c>
      <c r="W117" s="380"/>
      <c r="X117" s="466"/>
    </row>
    <row r="118" spans="6:24">
      <c r="F118" s="415"/>
      <c r="G118" s="415"/>
      <c r="H118" s="415"/>
      <c r="I118" s="415"/>
      <c r="J118" s="415"/>
      <c r="K118" s="415"/>
      <c r="L118" s="415"/>
      <c r="M118" s="415"/>
      <c r="N118" s="415"/>
      <c r="O118" s="415"/>
      <c r="P118" s="412"/>
      <c r="Q118" s="382"/>
      <c r="R118" s="385"/>
      <c r="S118" s="385"/>
      <c r="T118" s="385"/>
      <c r="U118" s="407"/>
      <c r="V118" s="385" t="s">
        <v>139</v>
      </c>
      <c r="W118" s="380"/>
      <c r="X118" s="466"/>
    </row>
    <row r="119" spans="6:24">
      <c r="F119" s="415"/>
      <c r="G119" s="415"/>
      <c r="H119" s="415"/>
      <c r="I119" s="415"/>
      <c r="J119" s="415"/>
      <c r="K119" s="415"/>
      <c r="L119" s="415"/>
      <c r="M119" s="415"/>
      <c r="N119" s="415"/>
      <c r="O119" s="415"/>
      <c r="P119" s="412"/>
      <c r="Q119" s="382"/>
      <c r="R119" s="385"/>
      <c r="S119" s="385"/>
      <c r="T119" s="385"/>
      <c r="U119" s="407"/>
      <c r="V119" s="385" t="s">
        <v>139</v>
      </c>
      <c r="W119" s="380"/>
      <c r="X119" s="466"/>
    </row>
    <row r="120" spans="6:24"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2"/>
      <c r="Q120" s="382"/>
      <c r="R120" s="385"/>
      <c r="S120" s="385"/>
      <c r="T120" s="385"/>
      <c r="U120" s="407"/>
      <c r="V120" s="385" t="s">
        <v>139</v>
      </c>
      <c r="W120" s="380"/>
      <c r="X120" s="466"/>
    </row>
    <row r="121" spans="6:24">
      <c r="F121" s="415"/>
      <c r="G121" s="415"/>
      <c r="H121" s="415"/>
      <c r="I121" s="415"/>
      <c r="J121" s="415"/>
      <c r="K121" s="415"/>
      <c r="L121" s="415"/>
      <c r="M121" s="415"/>
      <c r="N121" s="415"/>
      <c r="O121" s="415"/>
      <c r="P121" s="412"/>
      <c r="Q121" s="382"/>
      <c r="R121" s="385"/>
      <c r="S121" s="385"/>
      <c r="T121" s="385"/>
      <c r="U121" s="407"/>
      <c r="V121" s="385" t="s">
        <v>139</v>
      </c>
      <c r="W121" s="380"/>
      <c r="X121" s="466"/>
    </row>
    <row r="122" spans="6:24">
      <c r="F122" s="415"/>
      <c r="G122" s="415"/>
      <c r="H122" s="415"/>
      <c r="I122" s="415"/>
      <c r="J122" s="415"/>
      <c r="K122" s="415"/>
      <c r="L122" s="415"/>
      <c r="M122" s="415"/>
      <c r="N122" s="415"/>
      <c r="O122" s="415"/>
      <c r="P122" s="412">
        <v>16</v>
      </c>
      <c r="Q122" s="382">
        <v>1</v>
      </c>
      <c r="R122" s="469" t="s">
        <v>78</v>
      </c>
      <c r="S122" s="385">
        <v>1</v>
      </c>
      <c r="T122" s="469" t="s">
        <v>78</v>
      </c>
      <c r="U122" s="407" t="s">
        <v>570</v>
      </c>
      <c r="V122" s="385" t="s">
        <v>139</v>
      </c>
      <c r="W122" s="380"/>
      <c r="X122" s="466"/>
    </row>
    <row r="123" spans="6:24">
      <c r="F123" s="415"/>
      <c r="G123" s="415"/>
      <c r="H123" s="415"/>
      <c r="I123" s="415"/>
      <c r="J123" s="415"/>
      <c r="K123" s="415"/>
      <c r="L123" s="415"/>
      <c r="M123" s="415"/>
      <c r="N123" s="415"/>
      <c r="O123" s="415"/>
      <c r="P123" s="412"/>
      <c r="Q123" s="382">
        <v>2</v>
      </c>
      <c r="R123" s="469" t="s">
        <v>79</v>
      </c>
      <c r="S123" s="385">
        <v>2</v>
      </c>
      <c r="T123" s="469" t="s">
        <v>79</v>
      </c>
      <c r="U123" s="407" t="s">
        <v>570</v>
      </c>
      <c r="V123" s="385" t="s">
        <v>139</v>
      </c>
      <c r="W123" s="380"/>
      <c r="X123" s="466"/>
    </row>
    <row r="124" spans="6:24">
      <c r="F124" s="415"/>
      <c r="G124" s="415"/>
      <c r="H124" s="415"/>
      <c r="I124" s="415"/>
      <c r="J124" s="415"/>
      <c r="K124" s="415"/>
      <c r="L124" s="415"/>
      <c r="M124" s="415"/>
      <c r="N124" s="415"/>
      <c r="O124" s="415"/>
      <c r="P124" s="412"/>
      <c r="Q124" s="382">
        <v>3</v>
      </c>
      <c r="R124" s="469" t="s">
        <v>80</v>
      </c>
      <c r="S124" s="385">
        <v>3</v>
      </c>
      <c r="T124" s="469" t="s">
        <v>80</v>
      </c>
      <c r="U124" s="407" t="s">
        <v>570</v>
      </c>
      <c r="V124" s="385" t="s">
        <v>139</v>
      </c>
      <c r="W124" s="380"/>
      <c r="X124" s="466"/>
    </row>
    <row r="125" spans="6:24">
      <c r="F125" s="415"/>
      <c r="G125" s="415"/>
      <c r="H125" s="415"/>
      <c r="I125" s="415"/>
      <c r="J125" s="415"/>
      <c r="K125" s="415"/>
      <c r="L125" s="415"/>
      <c r="M125" s="415"/>
      <c r="N125" s="415"/>
      <c r="O125" s="415"/>
      <c r="P125" s="412"/>
      <c r="Q125" s="382">
        <v>4</v>
      </c>
      <c r="R125" s="469" t="s">
        <v>81</v>
      </c>
      <c r="S125" s="385">
        <v>4</v>
      </c>
      <c r="T125" s="469" t="s">
        <v>81</v>
      </c>
      <c r="U125" s="407" t="s">
        <v>570</v>
      </c>
      <c r="V125" s="385" t="s">
        <v>139</v>
      </c>
      <c r="W125" s="380"/>
      <c r="X125" s="466"/>
    </row>
    <row r="126" spans="6:24">
      <c r="F126" s="415"/>
      <c r="G126" s="415"/>
      <c r="H126" s="415"/>
      <c r="I126" s="415"/>
      <c r="J126" s="415"/>
      <c r="K126" s="415"/>
      <c r="L126" s="415"/>
      <c r="M126" s="415"/>
      <c r="N126" s="415"/>
      <c r="O126" s="415"/>
      <c r="P126" s="412"/>
      <c r="Q126" s="382">
        <v>5</v>
      </c>
      <c r="R126" s="469" t="s">
        <v>82</v>
      </c>
      <c r="S126" s="385">
        <v>5</v>
      </c>
      <c r="T126" s="469" t="s">
        <v>82</v>
      </c>
      <c r="U126" s="407" t="s">
        <v>570</v>
      </c>
      <c r="V126" s="385" t="s">
        <v>139</v>
      </c>
      <c r="W126" s="380"/>
      <c r="X126" s="466"/>
    </row>
    <row r="127" spans="6:24">
      <c r="F127" s="415"/>
      <c r="G127" s="415"/>
      <c r="H127" s="415"/>
      <c r="I127" s="415"/>
      <c r="J127" s="415"/>
      <c r="K127" s="415"/>
      <c r="L127" s="415"/>
      <c r="M127" s="415"/>
      <c r="N127" s="415"/>
      <c r="O127" s="415"/>
      <c r="P127" s="412"/>
      <c r="Q127" s="382">
        <v>6</v>
      </c>
      <c r="R127" s="467" t="s">
        <v>83</v>
      </c>
      <c r="S127" s="385">
        <v>6</v>
      </c>
      <c r="T127" s="467" t="s">
        <v>83</v>
      </c>
      <c r="U127" s="407" t="s">
        <v>570</v>
      </c>
      <c r="V127" s="385" t="s">
        <v>139</v>
      </c>
      <c r="W127" s="380"/>
      <c r="X127" s="466"/>
    </row>
    <row r="128" spans="6:24">
      <c r="F128" s="415"/>
      <c r="G128" s="415"/>
      <c r="H128" s="415"/>
      <c r="I128" s="415"/>
      <c r="J128" s="415"/>
      <c r="K128" s="415"/>
      <c r="L128" s="415"/>
      <c r="M128" s="415"/>
      <c r="N128" s="415"/>
      <c r="O128" s="415"/>
      <c r="P128" s="412"/>
      <c r="Q128" s="382">
        <v>7</v>
      </c>
      <c r="R128" s="467" t="s">
        <v>84</v>
      </c>
      <c r="S128" s="385">
        <v>7</v>
      </c>
      <c r="T128" s="467" t="s">
        <v>84</v>
      </c>
      <c r="U128" s="407" t="s">
        <v>570</v>
      </c>
      <c r="V128" s="385" t="s">
        <v>139</v>
      </c>
      <c r="W128" s="380"/>
      <c r="X128" s="466"/>
    </row>
    <row r="129" spans="6:24">
      <c r="F129" s="415"/>
      <c r="G129" s="415"/>
      <c r="H129" s="415"/>
      <c r="I129" s="415"/>
      <c r="J129" s="415"/>
      <c r="K129" s="415"/>
      <c r="L129" s="415"/>
      <c r="M129" s="415"/>
      <c r="N129" s="415"/>
      <c r="O129" s="415"/>
      <c r="P129" s="412"/>
      <c r="Q129" s="382">
        <v>8</v>
      </c>
      <c r="R129" s="467" t="s">
        <v>85</v>
      </c>
      <c r="S129" s="385">
        <v>8</v>
      </c>
      <c r="T129" s="467" t="s">
        <v>85</v>
      </c>
      <c r="U129" s="407" t="s">
        <v>570</v>
      </c>
      <c r="V129" s="385" t="s">
        <v>139</v>
      </c>
      <c r="W129" s="380"/>
      <c r="X129" s="466"/>
    </row>
    <row r="130" spans="6:24">
      <c r="F130" s="415"/>
      <c r="G130" s="415"/>
      <c r="H130" s="415"/>
      <c r="I130" s="415"/>
      <c r="J130" s="415"/>
      <c r="K130" s="415"/>
      <c r="L130" s="415"/>
      <c r="M130" s="415"/>
      <c r="N130" s="415"/>
      <c r="O130" s="415"/>
      <c r="P130" s="412">
        <v>17</v>
      </c>
      <c r="Q130" s="382">
        <v>1</v>
      </c>
      <c r="R130" s="467" t="s">
        <v>444</v>
      </c>
      <c r="S130" s="385">
        <v>1</v>
      </c>
      <c r="T130" s="467" t="s">
        <v>444</v>
      </c>
      <c r="U130" s="407" t="s">
        <v>570</v>
      </c>
      <c r="V130" s="385" t="s">
        <v>139</v>
      </c>
      <c r="W130" s="380"/>
      <c r="X130" s="466"/>
    </row>
    <row r="131" spans="6:24">
      <c r="F131" s="415"/>
      <c r="G131" s="415"/>
      <c r="H131" s="415"/>
      <c r="I131" s="415"/>
      <c r="J131" s="415"/>
      <c r="K131" s="415"/>
      <c r="L131" s="415"/>
      <c r="M131" s="415"/>
      <c r="N131" s="415"/>
      <c r="O131" s="415"/>
      <c r="P131" s="412"/>
      <c r="Q131" s="382"/>
      <c r="R131" s="385"/>
      <c r="S131" s="385"/>
      <c r="T131" s="385"/>
      <c r="U131" s="407"/>
      <c r="V131" s="385" t="s">
        <v>139</v>
      </c>
      <c r="W131" s="380"/>
      <c r="X131" s="466"/>
    </row>
    <row r="132" spans="6:24">
      <c r="F132" s="415"/>
      <c r="G132" s="415"/>
      <c r="H132" s="415"/>
      <c r="I132" s="415"/>
      <c r="J132" s="415"/>
      <c r="K132" s="415"/>
      <c r="L132" s="415"/>
      <c r="M132" s="415"/>
      <c r="N132" s="415"/>
      <c r="O132" s="415"/>
      <c r="P132" s="412"/>
      <c r="Q132" s="382"/>
      <c r="R132" s="385"/>
      <c r="S132" s="385"/>
      <c r="T132" s="385"/>
      <c r="U132" s="407"/>
      <c r="V132" s="385" t="s">
        <v>139</v>
      </c>
      <c r="W132" s="380"/>
      <c r="X132" s="466"/>
    </row>
    <row r="133" spans="6:24">
      <c r="F133" s="415"/>
      <c r="G133" s="415"/>
      <c r="H133" s="415"/>
      <c r="I133" s="415"/>
      <c r="J133" s="415"/>
      <c r="K133" s="415"/>
      <c r="L133" s="415"/>
      <c r="M133" s="415"/>
      <c r="N133" s="415"/>
      <c r="O133" s="415"/>
      <c r="P133" s="412"/>
      <c r="Q133" s="382"/>
      <c r="R133" s="385"/>
      <c r="S133" s="385"/>
      <c r="T133" s="385"/>
      <c r="U133" s="407"/>
      <c r="V133" s="385" t="s">
        <v>139</v>
      </c>
      <c r="W133" s="380"/>
      <c r="X133" s="466"/>
    </row>
    <row r="134" spans="6:24">
      <c r="F134" s="415"/>
      <c r="G134" s="415"/>
      <c r="H134" s="415"/>
      <c r="I134" s="415"/>
      <c r="J134" s="415"/>
      <c r="K134" s="415"/>
      <c r="L134" s="415"/>
      <c r="M134" s="415"/>
      <c r="N134" s="415"/>
      <c r="O134" s="415"/>
      <c r="P134" s="412"/>
      <c r="Q134" s="382"/>
      <c r="R134" s="385"/>
      <c r="S134" s="385"/>
      <c r="T134" s="385"/>
      <c r="U134" s="407"/>
      <c r="V134" s="385" t="s">
        <v>139</v>
      </c>
      <c r="W134" s="380"/>
      <c r="X134" s="466"/>
    </row>
    <row r="135" spans="6:24">
      <c r="F135" s="415"/>
      <c r="G135" s="415"/>
      <c r="H135" s="415"/>
      <c r="I135" s="415"/>
      <c r="J135" s="415"/>
      <c r="K135" s="415"/>
      <c r="L135" s="415"/>
      <c r="M135" s="415"/>
      <c r="N135" s="415"/>
      <c r="O135" s="415"/>
      <c r="P135" s="412"/>
      <c r="Q135" s="382"/>
      <c r="R135" s="385"/>
      <c r="S135" s="385"/>
      <c r="T135" s="385"/>
      <c r="U135" s="407"/>
      <c r="V135" s="385" t="s">
        <v>139</v>
      </c>
      <c r="W135" s="380"/>
      <c r="X135" s="466"/>
    </row>
    <row r="136" spans="6:24">
      <c r="F136" s="415"/>
      <c r="G136" s="415"/>
      <c r="H136" s="415"/>
      <c r="I136" s="415"/>
      <c r="J136" s="415"/>
      <c r="K136" s="415"/>
      <c r="L136" s="415"/>
      <c r="M136" s="415"/>
      <c r="N136" s="415"/>
      <c r="O136" s="415"/>
      <c r="P136" s="412"/>
      <c r="Q136" s="382"/>
      <c r="R136" s="385"/>
      <c r="S136" s="385"/>
      <c r="T136" s="385"/>
      <c r="U136" s="407"/>
      <c r="V136" s="385" t="s">
        <v>139</v>
      </c>
      <c r="W136" s="380"/>
      <c r="X136" s="466"/>
    </row>
    <row r="137" spans="6:24">
      <c r="F137" s="415"/>
      <c r="G137" s="415"/>
      <c r="H137" s="415"/>
      <c r="I137" s="415"/>
      <c r="J137" s="415"/>
      <c r="K137" s="415"/>
      <c r="L137" s="415"/>
      <c r="M137" s="415"/>
      <c r="N137" s="415"/>
      <c r="O137" s="415"/>
      <c r="P137" s="412"/>
      <c r="Q137" s="382"/>
      <c r="R137" s="385"/>
      <c r="S137" s="385"/>
      <c r="T137" s="385"/>
      <c r="U137" s="407"/>
      <c r="V137" s="385" t="s">
        <v>139</v>
      </c>
      <c r="W137" s="380"/>
      <c r="X137" s="466"/>
    </row>
    <row r="138" spans="6:24">
      <c r="F138" s="415"/>
      <c r="G138" s="415"/>
      <c r="H138" s="415"/>
      <c r="I138" s="415"/>
      <c r="J138" s="415"/>
      <c r="K138" s="415"/>
      <c r="L138" s="415"/>
      <c r="M138" s="415"/>
      <c r="N138" s="415"/>
      <c r="O138" s="415"/>
      <c r="P138" s="412">
        <v>18</v>
      </c>
      <c r="Q138" s="382">
        <v>1</v>
      </c>
      <c r="R138" s="467" t="s">
        <v>88</v>
      </c>
      <c r="S138" s="385">
        <v>1</v>
      </c>
      <c r="T138" s="467" t="s">
        <v>88</v>
      </c>
      <c r="U138" s="407" t="s">
        <v>570</v>
      </c>
      <c r="V138" s="385" t="s">
        <v>139</v>
      </c>
      <c r="W138" s="380"/>
      <c r="X138" s="466"/>
    </row>
    <row r="139" spans="6:24">
      <c r="F139" s="415"/>
      <c r="G139" s="415"/>
      <c r="H139" s="415"/>
      <c r="I139" s="415"/>
      <c r="J139" s="415"/>
      <c r="K139" s="415"/>
      <c r="L139" s="415"/>
      <c r="M139" s="415"/>
      <c r="N139" s="415"/>
      <c r="O139" s="415"/>
      <c r="P139" s="412"/>
      <c r="Q139" s="382">
        <v>2</v>
      </c>
      <c r="R139" s="467" t="s">
        <v>89</v>
      </c>
      <c r="S139" s="385">
        <v>2</v>
      </c>
      <c r="T139" s="467" t="s">
        <v>89</v>
      </c>
      <c r="U139" s="407" t="s">
        <v>570</v>
      </c>
      <c r="V139" s="385" t="s">
        <v>139</v>
      </c>
      <c r="W139" s="380"/>
      <c r="X139" s="466"/>
    </row>
    <row r="140" spans="6:24">
      <c r="F140" s="415"/>
      <c r="G140" s="415"/>
      <c r="H140" s="415"/>
      <c r="I140" s="415"/>
      <c r="J140" s="415"/>
      <c r="K140" s="415"/>
      <c r="L140" s="415"/>
      <c r="M140" s="415"/>
      <c r="N140" s="415"/>
      <c r="O140" s="415"/>
      <c r="P140" s="412"/>
      <c r="Q140" s="382">
        <v>3</v>
      </c>
      <c r="R140" s="467" t="s">
        <v>90</v>
      </c>
      <c r="S140" s="385">
        <v>3</v>
      </c>
      <c r="T140" s="467" t="s">
        <v>90</v>
      </c>
      <c r="U140" s="407" t="s">
        <v>570</v>
      </c>
      <c r="V140" s="385" t="s">
        <v>139</v>
      </c>
      <c r="W140" s="380"/>
      <c r="X140" s="466"/>
    </row>
    <row r="141" spans="6:24">
      <c r="F141" s="415"/>
      <c r="G141" s="415"/>
      <c r="H141" s="415"/>
      <c r="I141" s="415"/>
      <c r="J141" s="415"/>
      <c r="K141" s="415"/>
      <c r="L141" s="415"/>
      <c r="M141" s="415"/>
      <c r="N141" s="415"/>
      <c r="O141" s="415"/>
      <c r="P141" s="412"/>
      <c r="Q141" s="382">
        <v>4</v>
      </c>
      <c r="R141" s="467" t="s">
        <v>91</v>
      </c>
      <c r="S141" s="385">
        <v>4</v>
      </c>
      <c r="T141" s="467" t="s">
        <v>91</v>
      </c>
      <c r="U141" s="407" t="s">
        <v>570</v>
      </c>
      <c r="V141" s="385" t="s">
        <v>139</v>
      </c>
      <c r="W141" s="380"/>
      <c r="X141" s="466"/>
    </row>
    <row r="142" spans="6:24">
      <c r="F142" s="415"/>
      <c r="G142" s="415"/>
      <c r="H142" s="415"/>
      <c r="I142" s="415"/>
      <c r="J142" s="415"/>
      <c r="K142" s="415"/>
      <c r="L142" s="415"/>
      <c r="M142" s="415"/>
      <c r="N142" s="415"/>
      <c r="O142" s="415"/>
      <c r="P142" s="412"/>
      <c r="Q142" s="382">
        <v>5</v>
      </c>
      <c r="R142" s="467" t="s">
        <v>92</v>
      </c>
      <c r="S142" s="385">
        <v>5</v>
      </c>
      <c r="T142" s="467" t="s">
        <v>92</v>
      </c>
      <c r="U142" s="407" t="s">
        <v>570</v>
      </c>
      <c r="V142" s="385" t="s">
        <v>139</v>
      </c>
      <c r="W142" s="380"/>
      <c r="X142" s="466"/>
    </row>
    <row r="143" spans="6:24">
      <c r="F143" s="415"/>
      <c r="G143" s="415"/>
      <c r="H143" s="415"/>
      <c r="I143" s="415"/>
      <c r="J143" s="415"/>
      <c r="K143" s="415"/>
      <c r="L143" s="415"/>
      <c r="M143" s="415"/>
      <c r="N143" s="415"/>
      <c r="O143" s="415"/>
      <c r="P143" s="412"/>
      <c r="Q143" s="382"/>
      <c r="R143" s="385"/>
      <c r="S143" s="385"/>
      <c r="T143" s="385"/>
      <c r="U143" s="407"/>
      <c r="V143" s="385" t="s">
        <v>139</v>
      </c>
      <c r="W143" s="380"/>
      <c r="X143" s="466"/>
    </row>
    <row r="144" spans="6:24">
      <c r="F144" s="415"/>
      <c r="G144" s="415"/>
      <c r="H144" s="415"/>
      <c r="I144" s="415"/>
      <c r="J144" s="415"/>
      <c r="K144" s="415"/>
      <c r="L144" s="415"/>
      <c r="M144" s="415"/>
      <c r="N144" s="415"/>
      <c r="O144" s="415"/>
      <c r="P144" s="412"/>
      <c r="Q144" s="382"/>
      <c r="R144" s="385"/>
      <c r="S144" s="385"/>
      <c r="T144" s="385"/>
      <c r="U144" s="407"/>
      <c r="V144" s="385" t="s">
        <v>139</v>
      </c>
      <c r="W144" s="380"/>
      <c r="X144" s="466"/>
    </row>
    <row r="145" spans="6:24">
      <c r="F145" s="415"/>
      <c r="G145" s="415"/>
      <c r="H145" s="415"/>
      <c r="I145" s="415"/>
      <c r="J145" s="415"/>
      <c r="K145" s="415"/>
      <c r="L145" s="415"/>
      <c r="M145" s="415"/>
      <c r="N145" s="415"/>
      <c r="O145" s="415"/>
      <c r="P145" s="412"/>
      <c r="Q145" s="382"/>
      <c r="R145" s="385"/>
      <c r="S145" s="385"/>
      <c r="T145" s="385"/>
      <c r="U145" s="407"/>
      <c r="V145" s="385" t="s">
        <v>139</v>
      </c>
      <c r="W145" s="380"/>
      <c r="X145" s="466"/>
    </row>
    <row r="146" spans="6:24">
      <c r="F146" s="415"/>
      <c r="G146" s="415"/>
      <c r="H146" s="415"/>
      <c r="I146" s="415"/>
      <c r="J146" s="415"/>
      <c r="K146" s="415"/>
      <c r="L146" s="415"/>
      <c r="M146" s="415"/>
      <c r="N146" s="415"/>
      <c r="O146" s="415"/>
      <c r="P146" s="412">
        <v>19</v>
      </c>
      <c r="Q146" s="382">
        <v>1</v>
      </c>
      <c r="R146" s="467" t="s">
        <v>88</v>
      </c>
      <c r="S146" s="385">
        <v>1</v>
      </c>
      <c r="T146" s="467" t="s">
        <v>88</v>
      </c>
      <c r="U146" s="407" t="s">
        <v>570</v>
      </c>
      <c r="V146" s="385" t="s">
        <v>139</v>
      </c>
      <c r="W146" s="380"/>
      <c r="X146" s="466"/>
    </row>
    <row r="147" spans="6:24">
      <c r="F147" s="415"/>
      <c r="G147" s="415"/>
      <c r="H147" s="415"/>
      <c r="I147" s="415"/>
      <c r="J147" s="415"/>
      <c r="K147" s="415"/>
      <c r="L147" s="415"/>
      <c r="M147" s="415"/>
      <c r="N147" s="415"/>
      <c r="O147" s="415"/>
      <c r="P147" s="412"/>
      <c r="Q147" s="382">
        <v>2</v>
      </c>
      <c r="R147" s="467" t="s">
        <v>89</v>
      </c>
      <c r="S147" s="385">
        <v>2</v>
      </c>
      <c r="T147" s="467" t="s">
        <v>89</v>
      </c>
      <c r="U147" s="407" t="s">
        <v>570</v>
      </c>
      <c r="V147" s="385" t="s">
        <v>139</v>
      </c>
      <c r="W147" s="380"/>
      <c r="X147" s="466"/>
    </row>
    <row r="148" spans="6:24">
      <c r="F148" s="415"/>
      <c r="G148" s="415"/>
      <c r="H148" s="415"/>
      <c r="I148" s="415"/>
      <c r="J148" s="415"/>
      <c r="K148" s="415"/>
      <c r="L148" s="415"/>
      <c r="M148" s="415"/>
      <c r="N148" s="415"/>
      <c r="O148" s="415"/>
      <c r="P148" s="412"/>
      <c r="Q148" s="382">
        <v>3</v>
      </c>
      <c r="R148" s="467" t="s">
        <v>90</v>
      </c>
      <c r="S148" s="385">
        <v>3</v>
      </c>
      <c r="T148" s="467" t="s">
        <v>90</v>
      </c>
      <c r="U148" s="407" t="s">
        <v>570</v>
      </c>
      <c r="V148" s="385" t="s">
        <v>139</v>
      </c>
      <c r="W148" s="380"/>
      <c r="X148" s="466"/>
    </row>
    <row r="149" spans="6:24">
      <c r="F149" s="415"/>
      <c r="G149" s="415"/>
      <c r="H149" s="415"/>
      <c r="I149" s="415"/>
      <c r="J149" s="415"/>
      <c r="K149" s="415"/>
      <c r="L149" s="415"/>
      <c r="M149" s="415"/>
      <c r="N149" s="415"/>
      <c r="O149" s="415"/>
      <c r="P149" s="412"/>
      <c r="Q149" s="382">
        <v>4</v>
      </c>
      <c r="R149" s="467" t="s">
        <v>91</v>
      </c>
      <c r="S149" s="385">
        <v>4</v>
      </c>
      <c r="T149" s="467" t="s">
        <v>91</v>
      </c>
      <c r="U149" s="407" t="s">
        <v>570</v>
      </c>
      <c r="V149" s="385" t="s">
        <v>139</v>
      </c>
      <c r="W149" s="380"/>
      <c r="X149" s="466"/>
    </row>
    <row r="150" spans="6:24">
      <c r="F150" s="415"/>
      <c r="G150" s="415"/>
      <c r="H150" s="415"/>
      <c r="I150" s="415"/>
      <c r="J150" s="415"/>
      <c r="K150" s="415"/>
      <c r="L150" s="415"/>
      <c r="M150" s="415"/>
      <c r="N150" s="415"/>
      <c r="O150" s="415"/>
      <c r="P150" s="412"/>
      <c r="Q150" s="382">
        <v>5</v>
      </c>
      <c r="R150" s="467" t="s">
        <v>92</v>
      </c>
      <c r="S150" s="385">
        <v>5</v>
      </c>
      <c r="T150" s="467" t="s">
        <v>92</v>
      </c>
      <c r="U150" s="407" t="s">
        <v>570</v>
      </c>
      <c r="V150" s="385" t="s">
        <v>139</v>
      </c>
      <c r="W150" s="380"/>
      <c r="X150" s="466"/>
    </row>
    <row r="151" spans="6:24">
      <c r="F151" s="415"/>
      <c r="G151" s="415"/>
      <c r="H151" s="415"/>
      <c r="I151" s="415"/>
      <c r="J151" s="415"/>
      <c r="K151" s="415"/>
      <c r="L151" s="415"/>
      <c r="M151" s="415"/>
      <c r="N151" s="415"/>
      <c r="O151" s="415"/>
      <c r="P151" s="412"/>
      <c r="Q151" s="382"/>
      <c r="R151" s="385"/>
      <c r="S151" s="385"/>
      <c r="T151" s="385"/>
      <c r="U151" s="407"/>
      <c r="V151" s="385" t="s">
        <v>139</v>
      </c>
      <c r="W151" s="380"/>
      <c r="X151" s="466"/>
    </row>
    <row r="152" spans="6:24">
      <c r="F152" s="415"/>
      <c r="G152" s="415"/>
      <c r="H152" s="415"/>
      <c r="I152" s="415"/>
      <c r="J152" s="415"/>
      <c r="K152" s="415"/>
      <c r="L152" s="415"/>
      <c r="M152" s="415"/>
      <c r="N152" s="415"/>
      <c r="O152" s="415"/>
      <c r="P152" s="412"/>
      <c r="Q152" s="382"/>
      <c r="R152" s="385"/>
      <c r="S152" s="385"/>
      <c r="T152" s="385"/>
      <c r="U152" s="407"/>
      <c r="V152" s="385" t="s">
        <v>139</v>
      </c>
      <c r="W152" s="380"/>
      <c r="X152" s="466"/>
    </row>
    <row r="153" spans="6:24">
      <c r="F153" s="415"/>
      <c r="G153" s="415"/>
      <c r="H153" s="415"/>
      <c r="I153" s="415"/>
      <c r="J153" s="415"/>
      <c r="K153" s="415"/>
      <c r="L153" s="415"/>
      <c r="M153" s="415"/>
      <c r="N153" s="415"/>
      <c r="O153" s="415"/>
      <c r="P153" s="412"/>
      <c r="Q153" s="382"/>
      <c r="R153" s="385"/>
      <c r="S153" s="385"/>
      <c r="T153" s="385"/>
      <c r="U153" s="407"/>
      <c r="V153" s="385" t="s">
        <v>139</v>
      </c>
      <c r="W153" s="380"/>
      <c r="X153" s="466"/>
    </row>
    <row r="154" spans="6:24">
      <c r="F154" s="415"/>
      <c r="G154" s="415"/>
      <c r="H154" s="415"/>
      <c r="I154" s="415"/>
      <c r="J154" s="415"/>
      <c r="K154" s="415"/>
      <c r="L154" s="415"/>
      <c r="M154" s="415"/>
      <c r="N154" s="415"/>
      <c r="O154" s="415"/>
      <c r="P154" s="412">
        <v>20</v>
      </c>
      <c r="Q154" s="382">
        <v>1</v>
      </c>
      <c r="R154" s="425" t="s">
        <v>98</v>
      </c>
      <c r="S154" s="385">
        <v>1</v>
      </c>
      <c r="T154" s="425" t="s">
        <v>98</v>
      </c>
      <c r="U154" s="407" t="s">
        <v>556</v>
      </c>
      <c r="V154" s="385" t="s">
        <v>139</v>
      </c>
      <c r="W154" s="380"/>
      <c r="X154" s="466"/>
    </row>
    <row r="155" spans="6:24" ht="14.25">
      <c r="F155" s="415"/>
      <c r="G155" s="415"/>
      <c r="H155" s="415"/>
      <c r="I155" s="415"/>
      <c r="J155" s="415"/>
      <c r="K155" s="415"/>
      <c r="L155" s="415"/>
      <c r="M155" s="415"/>
      <c r="N155" s="415"/>
      <c r="O155" s="415"/>
      <c r="P155" s="412"/>
      <c r="Q155" s="382">
        <v>2</v>
      </c>
      <c r="R155" s="425" t="s">
        <v>510</v>
      </c>
      <c r="S155" s="385">
        <v>2</v>
      </c>
      <c r="T155" s="425" t="s">
        <v>103</v>
      </c>
      <c r="U155" s="407" t="s">
        <v>556</v>
      </c>
      <c r="V155" s="385" t="s">
        <v>139</v>
      </c>
      <c r="W155" s="380"/>
      <c r="X155" s="466"/>
    </row>
    <row r="156" spans="6:24" ht="14.25">
      <c r="F156" s="415"/>
      <c r="G156" s="415"/>
      <c r="H156" s="415"/>
      <c r="I156" s="415"/>
      <c r="J156" s="415"/>
      <c r="K156" s="415"/>
      <c r="L156" s="415"/>
      <c r="M156" s="415"/>
      <c r="N156" s="415"/>
      <c r="O156" s="415"/>
      <c r="P156" s="412"/>
      <c r="Q156" s="382">
        <v>3</v>
      </c>
      <c r="R156" s="425" t="s">
        <v>511</v>
      </c>
      <c r="S156" s="385">
        <v>3</v>
      </c>
      <c r="T156" s="425" t="s">
        <v>104</v>
      </c>
      <c r="U156" s="407" t="s">
        <v>556</v>
      </c>
      <c r="V156" s="385" t="s">
        <v>139</v>
      </c>
      <c r="W156" s="380"/>
      <c r="X156" s="466"/>
    </row>
    <row r="157" spans="6:24">
      <c r="F157" s="415"/>
      <c r="G157" s="415"/>
      <c r="H157" s="415"/>
      <c r="I157" s="415"/>
      <c r="J157" s="415"/>
      <c r="K157" s="415"/>
      <c r="L157" s="415"/>
      <c r="M157" s="415"/>
      <c r="N157" s="415"/>
      <c r="O157" s="415"/>
      <c r="P157" s="412"/>
      <c r="Q157" s="382">
        <v>4</v>
      </c>
      <c r="R157" s="425" t="s">
        <v>99</v>
      </c>
      <c r="S157" s="385">
        <v>4</v>
      </c>
      <c r="T157" s="425" t="s">
        <v>519</v>
      </c>
      <c r="U157" s="407" t="s">
        <v>556</v>
      </c>
      <c r="V157" s="385" t="s">
        <v>139</v>
      </c>
      <c r="W157" s="380"/>
      <c r="X157" s="466"/>
    </row>
    <row r="158" spans="6:24">
      <c r="F158" s="415"/>
      <c r="G158" s="415"/>
      <c r="H158" s="415"/>
      <c r="I158" s="415"/>
      <c r="J158" s="415"/>
      <c r="K158" s="415"/>
      <c r="L158" s="415"/>
      <c r="M158" s="415"/>
      <c r="N158" s="415"/>
      <c r="O158" s="415"/>
      <c r="P158" s="412"/>
      <c r="Q158" s="382"/>
      <c r="R158" s="385"/>
      <c r="S158" s="385"/>
      <c r="T158" s="385"/>
      <c r="U158" s="407"/>
      <c r="V158" s="385" t="s">
        <v>139</v>
      </c>
      <c r="W158" s="380"/>
      <c r="X158" s="466"/>
    </row>
    <row r="159" spans="6:24">
      <c r="F159" s="415"/>
      <c r="G159" s="415"/>
      <c r="H159" s="415"/>
      <c r="I159" s="415"/>
      <c r="J159" s="415"/>
      <c r="K159" s="415"/>
      <c r="L159" s="415"/>
      <c r="M159" s="415"/>
      <c r="N159" s="415"/>
      <c r="O159" s="415"/>
      <c r="P159" s="412"/>
      <c r="Q159" s="382"/>
      <c r="R159" s="385"/>
      <c r="S159" s="385"/>
      <c r="T159" s="385"/>
      <c r="U159" s="407"/>
      <c r="V159" s="385" t="s">
        <v>139</v>
      </c>
      <c r="W159" s="380"/>
      <c r="X159" s="466"/>
    </row>
    <row r="160" spans="6:24">
      <c r="F160" s="415"/>
      <c r="G160" s="415"/>
      <c r="H160" s="415"/>
      <c r="I160" s="415"/>
      <c r="J160" s="415"/>
      <c r="K160" s="415"/>
      <c r="L160" s="415"/>
      <c r="M160" s="415"/>
      <c r="N160" s="415"/>
      <c r="O160" s="415"/>
      <c r="P160" s="412"/>
      <c r="Q160" s="382"/>
      <c r="R160" s="385"/>
      <c r="S160" s="385"/>
      <c r="T160" s="385"/>
      <c r="U160" s="407"/>
      <c r="V160" s="385" t="s">
        <v>139</v>
      </c>
      <c r="W160" s="380"/>
      <c r="X160" s="466"/>
    </row>
    <row r="161" spans="6:24">
      <c r="F161" s="415"/>
      <c r="G161" s="415"/>
      <c r="H161" s="415"/>
      <c r="I161" s="415"/>
      <c r="J161" s="415"/>
      <c r="K161" s="415"/>
      <c r="L161" s="415"/>
      <c r="M161" s="415"/>
      <c r="N161" s="415"/>
      <c r="O161" s="415"/>
      <c r="P161" s="412"/>
      <c r="Q161" s="382"/>
      <c r="R161" s="385"/>
      <c r="S161" s="385"/>
      <c r="T161" s="385"/>
      <c r="U161" s="407"/>
      <c r="V161" s="385" t="s">
        <v>139</v>
      </c>
      <c r="W161" s="380"/>
      <c r="X161" s="466"/>
    </row>
    <row r="162" spans="6:24" ht="14.25">
      <c r="F162" s="415"/>
      <c r="G162" s="415"/>
      <c r="H162" s="415"/>
      <c r="I162" s="415"/>
      <c r="J162" s="415"/>
      <c r="K162" s="415"/>
      <c r="L162" s="415"/>
      <c r="M162" s="415"/>
      <c r="N162" s="415"/>
      <c r="O162" s="415"/>
      <c r="P162" s="412">
        <v>21</v>
      </c>
      <c r="Q162" s="382">
        <v>1</v>
      </c>
      <c r="R162" s="425" t="s">
        <v>512</v>
      </c>
      <c r="S162" s="385">
        <v>1</v>
      </c>
      <c r="T162" s="425" t="s">
        <v>103</v>
      </c>
      <c r="U162" s="407" t="s">
        <v>556</v>
      </c>
      <c r="V162" s="385" t="s">
        <v>139</v>
      </c>
      <c r="W162" s="380"/>
      <c r="X162" s="466"/>
    </row>
    <row r="163" spans="6:24" ht="14.25">
      <c r="F163" s="415"/>
      <c r="G163" s="415"/>
      <c r="H163" s="415"/>
      <c r="I163" s="415"/>
      <c r="J163" s="415"/>
      <c r="K163" s="415"/>
      <c r="L163" s="415"/>
      <c r="M163" s="415"/>
      <c r="N163" s="415"/>
      <c r="O163" s="415"/>
      <c r="P163" s="412"/>
      <c r="Q163" s="382">
        <v>2</v>
      </c>
      <c r="R163" s="425" t="s">
        <v>513</v>
      </c>
      <c r="S163" s="385">
        <v>2</v>
      </c>
      <c r="T163" s="425" t="s">
        <v>104</v>
      </c>
      <c r="U163" s="407" t="s">
        <v>556</v>
      </c>
      <c r="V163" s="385" t="s">
        <v>139</v>
      </c>
      <c r="W163" s="380"/>
      <c r="X163" s="466"/>
    </row>
    <row r="164" spans="6:24">
      <c r="F164" s="415"/>
      <c r="G164" s="415"/>
      <c r="H164" s="415"/>
      <c r="I164" s="415"/>
      <c r="J164" s="415"/>
      <c r="K164" s="415"/>
      <c r="L164" s="415"/>
      <c r="M164" s="415"/>
      <c r="N164" s="415"/>
      <c r="O164" s="415"/>
      <c r="P164" s="412"/>
      <c r="Q164" s="382">
        <v>3</v>
      </c>
      <c r="R164" s="425" t="s">
        <v>99</v>
      </c>
      <c r="S164" s="385">
        <v>3</v>
      </c>
      <c r="T164" s="425" t="s">
        <v>520</v>
      </c>
      <c r="U164" s="407" t="s">
        <v>556</v>
      </c>
      <c r="V164" s="385" t="s">
        <v>139</v>
      </c>
      <c r="W164" s="380"/>
      <c r="X164" s="466"/>
    </row>
    <row r="165" spans="6:24">
      <c r="F165" s="415"/>
      <c r="G165" s="415"/>
      <c r="H165" s="415"/>
      <c r="I165" s="415"/>
      <c r="J165" s="415"/>
      <c r="K165" s="415"/>
      <c r="L165" s="415"/>
      <c r="M165" s="415"/>
      <c r="N165" s="415"/>
      <c r="O165" s="415"/>
      <c r="P165" s="412"/>
      <c r="Q165" s="382"/>
      <c r="R165" s="385"/>
      <c r="S165" s="385"/>
      <c r="T165" s="385"/>
      <c r="U165" s="407"/>
      <c r="V165" s="385" t="s">
        <v>139</v>
      </c>
      <c r="W165" s="380"/>
      <c r="X165" s="466"/>
    </row>
    <row r="166" spans="6:24">
      <c r="F166" s="415"/>
      <c r="G166" s="415"/>
      <c r="H166" s="415"/>
      <c r="I166" s="415"/>
      <c r="J166" s="415"/>
      <c r="K166" s="415"/>
      <c r="L166" s="415"/>
      <c r="M166" s="415"/>
      <c r="N166" s="415"/>
      <c r="O166" s="415"/>
      <c r="P166" s="412"/>
      <c r="Q166" s="382"/>
      <c r="R166" s="385"/>
      <c r="S166" s="385"/>
      <c r="T166" s="385"/>
      <c r="U166" s="407"/>
      <c r="V166" s="385" t="s">
        <v>139</v>
      </c>
      <c r="W166" s="380"/>
      <c r="X166" s="466"/>
    </row>
    <row r="167" spans="6:24">
      <c r="F167" s="415"/>
      <c r="G167" s="415"/>
      <c r="H167" s="415"/>
      <c r="I167" s="415"/>
      <c r="J167" s="415"/>
      <c r="K167" s="415"/>
      <c r="L167" s="415"/>
      <c r="M167" s="415"/>
      <c r="N167" s="415"/>
      <c r="O167" s="415"/>
      <c r="P167" s="412"/>
      <c r="Q167" s="382"/>
      <c r="R167" s="385"/>
      <c r="S167" s="385"/>
      <c r="T167" s="385"/>
      <c r="U167" s="407"/>
      <c r="V167" s="385" t="s">
        <v>139</v>
      </c>
      <c r="W167" s="380"/>
      <c r="X167" s="466"/>
    </row>
    <row r="168" spans="6:24">
      <c r="F168" s="415"/>
      <c r="G168" s="415"/>
      <c r="H168" s="415"/>
      <c r="I168" s="415"/>
      <c r="J168" s="415"/>
      <c r="K168" s="415"/>
      <c r="L168" s="415"/>
      <c r="M168" s="415"/>
      <c r="N168" s="415"/>
      <c r="O168" s="415"/>
      <c r="P168" s="412"/>
      <c r="Q168" s="382"/>
      <c r="R168" s="385"/>
      <c r="S168" s="385"/>
      <c r="T168" s="385"/>
      <c r="U168" s="407"/>
      <c r="V168" s="385" t="s">
        <v>139</v>
      </c>
      <c r="W168" s="380"/>
      <c r="X168" s="466"/>
    </row>
    <row r="169" spans="6:24">
      <c r="F169" s="415"/>
      <c r="G169" s="415"/>
      <c r="H169" s="415"/>
      <c r="I169" s="415"/>
      <c r="J169" s="415"/>
      <c r="K169" s="415"/>
      <c r="L169" s="415"/>
      <c r="M169" s="415"/>
      <c r="N169" s="415"/>
      <c r="O169" s="415"/>
      <c r="P169" s="412"/>
      <c r="Q169" s="382"/>
      <c r="R169" s="385"/>
      <c r="S169" s="385"/>
      <c r="T169" s="385"/>
      <c r="U169" s="407"/>
      <c r="V169" s="385" t="s">
        <v>139</v>
      </c>
      <c r="W169" s="380"/>
      <c r="X169" s="466"/>
    </row>
    <row r="170" spans="6:24">
      <c r="F170" s="415"/>
      <c r="G170" s="415"/>
      <c r="H170" s="415"/>
      <c r="I170" s="415"/>
      <c r="J170" s="415"/>
      <c r="K170" s="415"/>
      <c r="L170" s="415"/>
      <c r="M170" s="415"/>
      <c r="N170" s="415"/>
      <c r="O170" s="415"/>
      <c r="P170" s="412">
        <v>22</v>
      </c>
      <c r="Q170" s="382">
        <v>1</v>
      </c>
      <c r="R170" s="425" t="s">
        <v>102</v>
      </c>
      <c r="S170" s="385">
        <v>1</v>
      </c>
      <c r="T170" s="425" t="s">
        <v>102</v>
      </c>
      <c r="U170" s="407" t="s">
        <v>556</v>
      </c>
      <c r="V170" s="385" t="s">
        <v>139</v>
      </c>
      <c r="W170" s="380"/>
      <c r="X170" s="466"/>
    </row>
    <row r="171" spans="6:24">
      <c r="F171" s="415"/>
      <c r="G171" s="415"/>
      <c r="H171" s="415"/>
      <c r="I171" s="415"/>
      <c r="J171" s="415"/>
      <c r="K171" s="415"/>
      <c r="L171" s="415"/>
      <c r="M171" s="415"/>
      <c r="N171" s="415"/>
      <c r="O171" s="415"/>
      <c r="P171" s="412"/>
      <c r="Q171" s="382">
        <v>2</v>
      </c>
      <c r="R171" s="425" t="s">
        <v>103</v>
      </c>
      <c r="S171" s="385">
        <v>2</v>
      </c>
      <c r="T171" s="425" t="s">
        <v>103</v>
      </c>
      <c r="U171" s="407" t="s">
        <v>556</v>
      </c>
      <c r="V171" s="385" t="s">
        <v>139</v>
      </c>
      <c r="W171" s="380"/>
      <c r="X171" s="466"/>
    </row>
    <row r="172" spans="6:24">
      <c r="F172" s="415"/>
      <c r="G172" s="415"/>
      <c r="H172" s="415"/>
      <c r="I172" s="415"/>
      <c r="J172" s="415"/>
      <c r="K172" s="415"/>
      <c r="L172" s="415"/>
      <c r="M172" s="415"/>
      <c r="N172" s="415"/>
      <c r="O172" s="415"/>
      <c r="P172" s="412"/>
      <c r="Q172" s="382">
        <v>3</v>
      </c>
      <c r="R172" s="425" t="s">
        <v>104</v>
      </c>
      <c r="S172" s="385">
        <v>3</v>
      </c>
      <c r="T172" s="425" t="s">
        <v>104</v>
      </c>
      <c r="U172" s="407" t="s">
        <v>556</v>
      </c>
      <c r="V172" s="385" t="s">
        <v>139</v>
      </c>
      <c r="W172" s="380"/>
      <c r="X172" s="466"/>
    </row>
    <row r="173" spans="6:24">
      <c r="F173" s="415"/>
      <c r="G173" s="415"/>
      <c r="H173" s="415"/>
      <c r="I173" s="415"/>
      <c r="J173" s="415"/>
      <c r="K173" s="415"/>
      <c r="L173" s="415"/>
      <c r="M173" s="415"/>
      <c r="N173" s="415"/>
      <c r="O173" s="415"/>
      <c r="P173" s="412"/>
      <c r="Q173" s="382">
        <v>4</v>
      </c>
      <c r="R173" s="425" t="s">
        <v>99</v>
      </c>
      <c r="S173" s="385">
        <v>4</v>
      </c>
      <c r="T173" s="425" t="s">
        <v>519</v>
      </c>
      <c r="U173" s="407" t="s">
        <v>556</v>
      </c>
      <c r="V173" s="385" t="s">
        <v>139</v>
      </c>
      <c r="W173" s="380"/>
      <c r="X173" s="466"/>
    </row>
    <row r="174" spans="6:24">
      <c r="F174" s="415"/>
      <c r="G174" s="415"/>
      <c r="H174" s="415"/>
      <c r="I174" s="415"/>
      <c r="J174" s="415"/>
      <c r="K174" s="415"/>
      <c r="L174" s="415"/>
      <c r="M174" s="415"/>
      <c r="N174" s="415"/>
      <c r="O174" s="415"/>
      <c r="P174" s="412"/>
      <c r="Q174" s="382"/>
      <c r="R174" s="385"/>
      <c r="S174" s="385"/>
      <c r="T174" s="385"/>
      <c r="U174" s="407"/>
      <c r="V174" s="385" t="s">
        <v>139</v>
      </c>
      <c r="W174" s="380"/>
      <c r="X174" s="466"/>
    </row>
    <row r="175" spans="6:24">
      <c r="F175" s="415"/>
      <c r="G175" s="415"/>
      <c r="H175" s="415"/>
      <c r="I175" s="415"/>
      <c r="J175" s="415"/>
      <c r="K175" s="415"/>
      <c r="L175" s="415"/>
      <c r="M175" s="415"/>
      <c r="N175" s="415"/>
      <c r="O175" s="415"/>
      <c r="P175" s="412"/>
      <c r="Q175" s="382"/>
      <c r="R175" s="385"/>
      <c r="S175" s="385"/>
      <c r="T175" s="385"/>
      <c r="U175" s="407"/>
      <c r="V175" s="385" t="s">
        <v>139</v>
      </c>
      <c r="W175" s="380"/>
      <c r="X175" s="466"/>
    </row>
    <row r="176" spans="6:24">
      <c r="F176" s="415"/>
      <c r="G176" s="415"/>
      <c r="H176" s="415"/>
      <c r="I176" s="415"/>
      <c r="J176" s="415"/>
      <c r="K176" s="415"/>
      <c r="L176" s="415"/>
      <c r="M176" s="415"/>
      <c r="N176" s="415"/>
      <c r="O176" s="415"/>
      <c r="P176" s="412"/>
      <c r="Q176" s="382"/>
      <c r="R176" s="385"/>
      <c r="S176" s="385"/>
      <c r="T176" s="385"/>
      <c r="U176" s="407"/>
      <c r="V176" s="385" t="s">
        <v>139</v>
      </c>
      <c r="W176" s="380"/>
      <c r="X176" s="466"/>
    </row>
    <row r="177" spans="6:24">
      <c r="F177" s="415"/>
      <c r="G177" s="415"/>
      <c r="H177" s="415"/>
      <c r="I177" s="415"/>
      <c r="J177" s="415"/>
      <c r="K177" s="415"/>
      <c r="L177" s="415"/>
      <c r="M177" s="415"/>
      <c r="N177" s="415"/>
      <c r="O177" s="415"/>
      <c r="P177" s="412"/>
      <c r="Q177" s="382"/>
      <c r="R177" s="385"/>
      <c r="S177" s="385"/>
      <c r="T177" s="385"/>
      <c r="U177" s="407"/>
      <c r="V177" s="385" t="s">
        <v>139</v>
      </c>
      <c r="W177" s="380"/>
      <c r="X177" s="466"/>
    </row>
    <row r="178" spans="6:24" ht="14.25">
      <c r="F178" s="415"/>
      <c r="G178" s="415"/>
      <c r="H178" s="415"/>
      <c r="I178" s="415"/>
      <c r="J178" s="415"/>
      <c r="K178" s="415"/>
      <c r="L178" s="415"/>
      <c r="M178" s="415"/>
      <c r="N178" s="415"/>
      <c r="O178" s="415"/>
      <c r="P178" s="412">
        <v>23</v>
      </c>
      <c r="Q178" s="382">
        <v>1</v>
      </c>
      <c r="R178" s="420" t="s">
        <v>514</v>
      </c>
      <c r="S178" s="385">
        <v>1</v>
      </c>
      <c r="T178" s="420" t="s">
        <v>110</v>
      </c>
      <c r="U178" s="407" t="s">
        <v>578</v>
      </c>
      <c r="V178" s="385" t="s">
        <v>139</v>
      </c>
      <c r="W178" s="380">
        <v>2003</v>
      </c>
      <c r="X178" s="466"/>
    </row>
    <row r="179" spans="6:24">
      <c r="F179" s="415"/>
      <c r="G179" s="415"/>
      <c r="H179" s="415"/>
      <c r="I179" s="415"/>
      <c r="J179" s="415"/>
      <c r="K179" s="415"/>
      <c r="L179" s="415"/>
      <c r="M179" s="415"/>
      <c r="N179" s="415"/>
      <c r="O179" s="415"/>
      <c r="P179" s="412"/>
      <c r="Q179" s="382">
        <v>2</v>
      </c>
      <c r="R179" s="420" t="s">
        <v>102</v>
      </c>
      <c r="S179" s="385">
        <v>2</v>
      </c>
      <c r="T179" s="420" t="s">
        <v>102</v>
      </c>
      <c r="U179" s="407" t="s">
        <v>578</v>
      </c>
      <c r="V179" s="385" t="s">
        <v>139</v>
      </c>
      <c r="W179" s="380"/>
      <c r="X179" s="466"/>
    </row>
    <row r="180" spans="6:24">
      <c r="F180" s="415"/>
      <c r="G180" s="415"/>
      <c r="H180" s="415"/>
      <c r="I180" s="415"/>
      <c r="J180" s="415"/>
      <c r="K180" s="415"/>
      <c r="L180" s="415"/>
      <c r="M180" s="415"/>
      <c r="N180" s="415"/>
      <c r="O180" s="415"/>
      <c r="P180" s="412"/>
      <c r="Q180" s="382">
        <v>3</v>
      </c>
      <c r="R180" s="420" t="s">
        <v>107</v>
      </c>
      <c r="S180" s="385">
        <v>3</v>
      </c>
      <c r="T180" s="420" t="s">
        <v>107</v>
      </c>
      <c r="U180" s="407" t="s">
        <v>578</v>
      </c>
      <c r="V180" s="385" t="s">
        <v>139</v>
      </c>
      <c r="W180" s="380"/>
      <c r="X180" s="466"/>
    </row>
    <row r="181" spans="6:24">
      <c r="F181" s="415"/>
      <c r="G181" s="415"/>
      <c r="H181" s="415"/>
      <c r="I181" s="415"/>
      <c r="J181" s="415"/>
      <c r="K181" s="415"/>
      <c r="L181" s="415"/>
      <c r="M181" s="415"/>
      <c r="N181" s="415"/>
      <c r="O181" s="415"/>
      <c r="P181" s="412"/>
      <c r="Q181" s="382">
        <v>4</v>
      </c>
      <c r="R181" s="425" t="s">
        <v>99</v>
      </c>
      <c r="S181" s="385">
        <v>4</v>
      </c>
      <c r="T181" s="425" t="s">
        <v>521</v>
      </c>
      <c r="U181" s="407" t="s">
        <v>578</v>
      </c>
      <c r="V181" s="385" t="s">
        <v>139</v>
      </c>
      <c r="W181" s="380"/>
      <c r="X181" s="466"/>
    </row>
    <row r="182" spans="6:24">
      <c r="F182" s="415"/>
      <c r="G182" s="415"/>
      <c r="H182" s="415"/>
      <c r="I182" s="415"/>
      <c r="J182" s="415"/>
      <c r="K182" s="415"/>
      <c r="L182" s="415"/>
      <c r="M182" s="415"/>
      <c r="N182" s="415"/>
      <c r="O182" s="415"/>
      <c r="P182" s="412"/>
      <c r="Q182" s="382"/>
      <c r="R182" s="385"/>
      <c r="S182" s="385"/>
      <c r="T182" s="385"/>
      <c r="U182" s="407"/>
      <c r="V182" s="385" t="s">
        <v>139</v>
      </c>
      <c r="W182" s="380"/>
      <c r="X182" s="466"/>
    </row>
    <row r="183" spans="6:24">
      <c r="F183" s="415"/>
      <c r="G183" s="415"/>
      <c r="H183" s="415"/>
      <c r="I183" s="415"/>
      <c r="J183" s="415"/>
      <c r="K183" s="415"/>
      <c r="L183" s="415"/>
      <c r="M183" s="415"/>
      <c r="N183" s="415"/>
      <c r="O183" s="415"/>
      <c r="P183" s="412"/>
      <c r="Q183" s="382"/>
      <c r="R183" s="385"/>
      <c r="S183" s="385"/>
      <c r="T183" s="385"/>
      <c r="U183" s="407"/>
      <c r="V183" s="385" t="s">
        <v>139</v>
      </c>
      <c r="W183" s="380"/>
      <c r="X183" s="466"/>
    </row>
    <row r="184" spans="6:24">
      <c r="F184" s="415"/>
      <c r="G184" s="415"/>
      <c r="H184" s="415"/>
      <c r="I184" s="415"/>
      <c r="J184" s="415"/>
      <c r="K184" s="415"/>
      <c r="L184" s="415"/>
      <c r="M184" s="415"/>
      <c r="N184" s="415"/>
      <c r="O184" s="415"/>
      <c r="P184" s="412"/>
      <c r="Q184" s="382"/>
      <c r="R184" s="385"/>
      <c r="S184" s="385"/>
      <c r="T184" s="385"/>
      <c r="U184" s="407"/>
      <c r="V184" s="385" t="s">
        <v>139</v>
      </c>
      <c r="W184" s="380"/>
      <c r="X184" s="466"/>
    </row>
    <row r="185" spans="6:24">
      <c r="F185" s="415"/>
      <c r="G185" s="415"/>
      <c r="H185" s="415"/>
      <c r="I185" s="415"/>
      <c r="J185" s="415"/>
      <c r="K185" s="415"/>
      <c r="L185" s="415"/>
      <c r="M185" s="415"/>
      <c r="N185" s="415"/>
      <c r="O185" s="415"/>
      <c r="P185" s="412"/>
      <c r="Q185" s="382"/>
      <c r="R185" s="385"/>
      <c r="S185" s="385"/>
      <c r="T185" s="385"/>
      <c r="U185" s="407"/>
      <c r="V185" s="385" t="s">
        <v>139</v>
      </c>
      <c r="W185" s="380"/>
      <c r="X185" s="466"/>
    </row>
    <row r="186" spans="6:24" ht="14.25">
      <c r="F186" s="415"/>
      <c r="G186" s="415"/>
      <c r="H186" s="415"/>
      <c r="I186" s="415"/>
      <c r="J186" s="415"/>
      <c r="K186" s="415"/>
      <c r="L186" s="415"/>
      <c r="M186" s="415"/>
      <c r="N186" s="415"/>
      <c r="O186" s="415"/>
      <c r="P186" s="412">
        <v>24</v>
      </c>
      <c r="Q186" s="382">
        <v>1</v>
      </c>
      <c r="R186" s="420" t="s">
        <v>514</v>
      </c>
      <c r="S186" s="385">
        <v>1</v>
      </c>
      <c r="T186" s="420" t="s">
        <v>110</v>
      </c>
      <c r="U186" s="407" t="s">
        <v>578</v>
      </c>
      <c r="V186" s="385" t="s">
        <v>139</v>
      </c>
      <c r="W186" s="380">
        <v>2003</v>
      </c>
      <c r="X186" s="466"/>
    </row>
    <row r="187" spans="6:24">
      <c r="F187" s="415"/>
      <c r="G187" s="415"/>
      <c r="H187" s="415"/>
      <c r="I187" s="415"/>
      <c r="J187" s="415"/>
      <c r="K187" s="415"/>
      <c r="L187" s="415"/>
      <c r="M187" s="415"/>
      <c r="N187" s="415"/>
      <c r="O187" s="415"/>
      <c r="P187" s="412"/>
      <c r="Q187" s="382">
        <v>2</v>
      </c>
      <c r="R187" s="420" t="s">
        <v>102</v>
      </c>
      <c r="S187" s="385">
        <v>2</v>
      </c>
      <c r="T187" s="420" t="s">
        <v>102</v>
      </c>
      <c r="U187" s="407" t="s">
        <v>578</v>
      </c>
      <c r="V187" s="385" t="s">
        <v>139</v>
      </c>
      <c r="W187" s="380"/>
      <c r="X187" s="466"/>
    </row>
    <row r="188" spans="6:24">
      <c r="F188" s="415"/>
      <c r="G188" s="415"/>
      <c r="H188" s="415"/>
      <c r="I188" s="415"/>
      <c r="J188" s="415"/>
      <c r="K188" s="415"/>
      <c r="L188" s="415"/>
      <c r="M188" s="415"/>
      <c r="N188" s="415"/>
      <c r="O188" s="415"/>
      <c r="P188" s="412"/>
      <c r="Q188" s="382">
        <v>3</v>
      </c>
      <c r="R188" s="420" t="s">
        <v>107</v>
      </c>
      <c r="S188" s="385">
        <v>3</v>
      </c>
      <c r="T188" s="420" t="s">
        <v>107</v>
      </c>
      <c r="U188" s="407" t="s">
        <v>578</v>
      </c>
      <c r="V188" s="385" t="s">
        <v>139</v>
      </c>
      <c r="W188" s="380"/>
      <c r="X188" s="466"/>
    </row>
    <row r="189" spans="6:24">
      <c r="F189" s="415"/>
      <c r="G189" s="415"/>
      <c r="H189" s="415"/>
      <c r="I189" s="415"/>
      <c r="J189" s="415"/>
      <c r="K189" s="415"/>
      <c r="L189" s="415"/>
      <c r="M189" s="415"/>
      <c r="N189" s="415"/>
      <c r="O189" s="415"/>
      <c r="P189" s="412"/>
      <c r="Q189" s="382">
        <v>4</v>
      </c>
      <c r="R189" s="425" t="s">
        <v>99</v>
      </c>
      <c r="S189" s="385">
        <v>4</v>
      </c>
      <c r="T189" s="425" t="s">
        <v>521</v>
      </c>
      <c r="U189" s="407" t="s">
        <v>578</v>
      </c>
      <c r="V189" s="385" t="s">
        <v>139</v>
      </c>
      <c r="W189" s="380"/>
      <c r="X189" s="466"/>
    </row>
    <row r="190" spans="6:24">
      <c r="F190" s="415"/>
      <c r="G190" s="415"/>
      <c r="H190" s="415"/>
      <c r="I190" s="415"/>
      <c r="J190" s="415"/>
      <c r="K190" s="415"/>
      <c r="L190" s="415"/>
      <c r="M190" s="415"/>
      <c r="N190" s="415"/>
      <c r="O190" s="415"/>
      <c r="P190" s="412"/>
      <c r="Q190" s="382"/>
      <c r="R190" s="385"/>
      <c r="S190" s="385"/>
      <c r="T190" s="385"/>
      <c r="U190" s="407"/>
      <c r="V190" s="385" t="s">
        <v>139</v>
      </c>
      <c r="W190" s="380"/>
      <c r="X190" s="466"/>
    </row>
    <row r="191" spans="6:24">
      <c r="F191" s="415"/>
      <c r="G191" s="415"/>
      <c r="H191" s="415"/>
      <c r="I191" s="415"/>
      <c r="J191" s="415"/>
      <c r="K191" s="415"/>
      <c r="L191" s="415"/>
      <c r="M191" s="415"/>
      <c r="N191" s="415"/>
      <c r="O191" s="415"/>
      <c r="P191" s="412"/>
      <c r="Q191" s="382"/>
      <c r="R191" s="385"/>
      <c r="S191" s="385"/>
      <c r="T191" s="385"/>
      <c r="U191" s="407"/>
      <c r="V191" s="385" t="s">
        <v>139</v>
      </c>
      <c r="W191" s="380"/>
      <c r="X191" s="466"/>
    </row>
    <row r="192" spans="6:24">
      <c r="F192" s="415"/>
      <c r="G192" s="415"/>
      <c r="H192" s="415"/>
      <c r="I192" s="415"/>
      <c r="J192" s="415"/>
      <c r="K192" s="415"/>
      <c r="L192" s="415"/>
      <c r="M192" s="415"/>
      <c r="N192" s="415"/>
      <c r="O192" s="415"/>
      <c r="P192" s="412"/>
      <c r="Q192" s="382"/>
      <c r="R192" s="385"/>
      <c r="S192" s="385"/>
      <c r="T192" s="385"/>
      <c r="U192" s="407"/>
      <c r="V192" s="385" t="s">
        <v>139</v>
      </c>
      <c r="W192" s="380"/>
      <c r="X192" s="466"/>
    </row>
    <row r="193" spans="6:24">
      <c r="F193" s="415"/>
      <c r="G193" s="415"/>
      <c r="H193" s="415"/>
      <c r="I193" s="415"/>
      <c r="J193" s="415"/>
      <c r="K193" s="415"/>
      <c r="L193" s="415"/>
      <c r="M193" s="415"/>
      <c r="N193" s="415"/>
      <c r="O193" s="415"/>
      <c r="P193" s="412"/>
      <c r="Q193" s="382"/>
      <c r="R193" s="385"/>
      <c r="S193" s="385"/>
      <c r="T193" s="385"/>
      <c r="U193" s="407"/>
      <c r="V193" s="385" t="s">
        <v>139</v>
      </c>
      <c r="W193" s="380"/>
      <c r="X193" s="466"/>
    </row>
    <row r="194" spans="6:24" ht="14.25">
      <c r="F194" s="415"/>
      <c r="G194" s="415"/>
      <c r="H194" s="415"/>
      <c r="I194" s="415"/>
      <c r="J194" s="415"/>
      <c r="K194" s="415"/>
      <c r="L194" s="415"/>
      <c r="M194" s="415"/>
      <c r="N194" s="415"/>
      <c r="O194" s="415"/>
      <c r="P194" s="412">
        <v>25</v>
      </c>
      <c r="Q194" s="382">
        <v>1</v>
      </c>
      <c r="R194" s="420" t="s">
        <v>514</v>
      </c>
      <c r="S194" s="385">
        <v>1</v>
      </c>
      <c r="T194" s="420" t="s">
        <v>110</v>
      </c>
      <c r="U194" s="407" t="s">
        <v>578</v>
      </c>
      <c r="V194" s="385" t="s">
        <v>139</v>
      </c>
      <c r="W194" s="380">
        <v>2003</v>
      </c>
      <c r="X194" s="466"/>
    </row>
    <row r="195" spans="6:24">
      <c r="F195" s="415"/>
      <c r="G195" s="415"/>
      <c r="H195" s="415"/>
      <c r="I195" s="415"/>
      <c r="J195" s="415"/>
      <c r="K195" s="415"/>
      <c r="L195" s="415"/>
      <c r="M195" s="415"/>
      <c r="N195" s="415"/>
      <c r="O195" s="415"/>
      <c r="P195" s="412"/>
      <c r="Q195" s="382">
        <v>2</v>
      </c>
      <c r="R195" s="420" t="s">
        <v>102</v>
      </c>
      <c r="S195" s="385">
        <v>2</v>
      </c>
      <c r="T195" s="420" t="s">
        <v>102</v>
      </c>
      <c r="U195" s="407" t="s">
        <v>578</v>
      </c>
      <c r="V195" s="385" t="s">
        <v>139</v>
      </c>
      <c r="W195" s="380"/>
      <c r="X195" s="466"/>
    </row>
    <row r="196" spans="6:24">
      <c r="F196" s="415"/>
      <c r="G196" s="415"/>
      <c r="H196" s="415"/>
      <c r="I196" s="415"/>
      <c r="J196" s="415"/>
      <c r="K196" s="415"/>
      <c r="L196" s="415"/>
      <c r="M196" s="415"/>
      <c r="N196" s="415"/>
      <c r="O196" s="415"/>
      <c r="P196" s="412"/>
      <c r="Q196" s="382">
        <v>3</v>
      </c>
      <c r="R196" s="420" t="s">
        <v>107</v>
      </c>
      <c r="S196" s="385">
        <v>3</v>
      </c>
      <c r="T196" s="420" t="s">
        <v>107</v>
      </c>
      <c r="U196" s="407" t="s">
        <v>578</v>
      </c>
      <c r="V196" s="385" t="s">
        <v>139</v>
      </c>
      <c r="W196" s="380"/>
      <c r="X196" s="466"/>
    </row>
    <row r="197" spans="6:24">
      <c r="F197" s="415"/>
      <c r="G197" s="415"/>
      <c r="H197" s="415"/>
      <c r="I197" s="415"/>
      <c r="J197" s="415"/>
      <c r="K197" s="415"/>
      <c r="L197" s="415"/>
      <c r="M197" s="415"/>
      <c r="N197" s="415"/>
      <c r="O197" s="415"/>
      <c r="P197" s="412"/>
      <c r="Q197" s="382">
        <v>4</v>
      </c>
      <c r="R197" s="425" t="s">
        <v>99</v>
      </c>
      <c r="S197" s="385">
        <v>4</v>
      </c>
      <c r="T197" s="425" t="s">
        <v>521</v>
      </c>
      <c r="U197" s="407" t="s">
        <v>578</v>
      </c>
      <c r="V197" s="385" t="s">
        <v>139</v>
      </c>
      <c r="W197" s="380"/>
      <c r="X197" s="466"/>
    </row>
    <row r="198" spans="6:24">
      <c r="F198" s="415"/>
      <c r="G198" s="415"/>
      <c r="H198" s="415"/>
      <c r="I198" s="415"/>
      <c r="J198" s="415"/>
      <c r="K198" s="415"/>
      <c r="L198" s="415"/>
      <c r="M198" s="415"/>
      <c r="N198" s="415"/>
      <c r="O198" s="415"/>
      <c r="P198" s="412"/>
      <c r="Q198" s="382"/>
      <c r="R198" s="385"/>
      <c r="S198" s="385"/>
      <c r="T198" s="385"/>
      <c r="U198" s="407"/>
      <c r="V198" s="385" t="s">
        <v>139</v>
      </c>
      <c r="W198" s="380"/>
      <c r="X198" s="466"/>
    </row>
    <row r="199" spans="6:24">
      <c r="F199" s="415"/>
      <c r="G199" s="415"/>
      <c r="H199" s="415"/>
      <c r="I199" s="415"/>
      <c r="J199" s="415"/>
      <c r="K199" s="415"/>
      <c r="L199" s="415"/>
      <c r="M199" s="415"/>
      <c r="N199" s="415"/>
      <c r="O199" s="415"/>
      <c r="P199" s="412"/>
      <c r="Q199" s="382"/>
      <c r="R199" s="385"/>
      <c r="S199" s="385"/>
      <c r="T199" s="385"/>
      <c r="U199" s="407"/>
      <c r="V199" s="385" t="s">
        <v>139</v>
      </c>
      <c r="W199" s="380"/>
      <c r="X199" s="466"/>
    </row>
    <row r="200" spans="6:24">
      <c r="F200" s="415"/>
      <c r="G200" s="415"/>
      <c r="H200" s="415"/>
      <c r="I200" s="415"/>
      <c r="J200" s="415"/>
      <c r="K200" s="415"/>
      <c r="L200" s="415"/>
      <c r="M200" s="415"/>
      <c r="N200" s="415"/>
      <c r="O200" s="415"/>
      <c r="P200" s="412"/>
      <c r="Q200" s="382"/>
      <c r="R200" s="385"/>
      <c r="S200" s="385"/>
      <c r="T200" s="385"/>
      <c r="U200" s="407"/>
      <c r="V200" s="385" t="s">
        <v>139</v>
      </c>
      <c r="W200" s="380"/>
      <c r="X200" s="466"/>
    </row>
    <row r="201" spans="6:24">
      <c r="F201" s="415"/>
      <c r="G201" s="415"/>
      <c r="H201" s="415"/>
      <c r="I201" s="415"/>
      <c r="J201" s="415"/>
      <c r="K201" s="415"/>
      <c r="L201" s="415"/>
      <c r="M201" s="415"/>
      <c r="N201" s="415"/>
      <c r="O201" s="415"/>
      <c r="P201" s="412"/>
      <c r="Q201" s="382"/>
      <c r="R201" s="385"/>
      <c r="S201" s="385"/>
      <c r="T201" s="385"/>
      <c r="U201" s="407"/>
      <c r="V201" s="385" t="s">
        <v>139</v>
      </c>
      <c r="W201" s="380"/>
      <c r="X201" s="466"/>
    </row>
    <row r="202" spans="6:24" ht="14.25">
      <c r="F202" s="415"/>
      <c r="G202" s="415"/>
      <c r="H202" s="415"/>
      <c r="I202" s="415"/>
      <c r="J202" s="415"/>
      <c r="K202" s="415"/>
      <c r="L202" s="415"/>
      <c r="M202" s="415"/>
      <c r="N202" s="415"/>
      <c r="O202" s="415"/>
      <c r="P202" s="412">
        <v>26</v>
      </c>
      <c r="Q202" s="382">
        <v>1</v>
      </c>
      <c r="R202" s="420" t="s">
        <v>515</v>
      </c>
      <c r="S202" s="385">
        <v>1</v>
      </c>
      <c r="T202" s="420" t="s">
        <v>110</v>
      </c>
      <c r="U202" s="407" t="s">
        <v>578</v>
      </c>
      <c r="V202" s="385" t="s">
        <v>139</v>
      </c>
      <c r="W202" s="380">
        <v>2003</v>
      </c>
      <c r="X202" s="466"/>
    </row>
    <row r="203" spans="6:24" ht="14.25">
      <c r="F203" s="415"/>
      <c r="G203" s="415"/>
      <c r="H203" s="415"/>
      <c r="I203" s="415"/>
      <c r="J203" s="415"/>
      <c r="K203" s="415"/>
      <c r="L203" s="415"/>
      <c r="M203" s="415"/>
      <c r="N203" s="415"/>
      <c r="O203" s="415"/>
      <c r="P203" s="412"/>
      <c r="Q203" s="382">
        <v>2</v>
      </c>
      <c r="R203" s="420" t="s">
        <v>516</v>
      </c>
      <c r="S203" s="385">
        <v>2</v>
      </c>
      <c r="T203" s="420" t="s">
        <v>102</v>
      </c>
      <c r="U203" s="407" t="s">
        <v>578</v>
      </c>
      <c r="V203" s="385" t="s">
        <v>139</v>
      </c>
      <c r="W203" s="380"/>
      <c r="X203" s="466"/>
    </row>
    <row r="204" spans="6:24" ht="14.25">
      <c r="F204" s="415"/>
      <c r="G204" s="415"/>
      <c r="H204" s="415"/>
      <c r="I204" s="415"/>
      <c r="J204" s="415"/>
      <c r="K204" s="415"/>
      <c r="L204" s="415"/>
      <c r="M204" s="415"/>
      <c r="N204" s="415"/>
      <c r="O204" s="415"/>
      <c r="P204" s="412"/>
      <c r="Q204" s="382">
        <v>3</v>
      </c>
      <c r="R204" s="420" t="s">
        <v>517</v>
      </c>
      <c r="S204" s="385">
        <v>3</v>
      </c>
      <c r="T204" s="420" t="s">
        <v>107</v>
      </c>
      <c r="U204" s="407" t="s">
        <v>578</v>
      </c>
      <c r="V204" s="385" t="s">
        <v>139</v>
      </c>
      <c r="W204" s="380"/>
      <c r="X204" s="466"/>
    </row>
    <row r="205" spans="6:24">
      <c r="F205" s="415"/>
      <c r="G205" s="415"/>
      <c r="H205" s="415"/>
      <c r="I205" s="415"/>
      <c r="J205" s="415"/>
      <c r="K205" s="415"/>
      <c r="L205" s="415"/>
      <c r="M205" s="415"/>
      <c r="N205" s="415"/>
      <c r="O205" s="415"/>
      <c r="P205" s="412"/>
      <c r="Q205" s="382">
        <v>4</v>
      </c>
      <c r="R205" s="425" t="s">
        <v>99</v>
      </c>
      <c r="S205" s="385">
        <v>4</v>
      </c>
      <c r="T205" s="425" t="s">
        <v>521</v>
      </c>
      <c r="U205" s="407" t="s">
        <v>578</v>
      </c>
      <c r="V205" s="385" t="s">
        <v>139</v>
      </c>
      <c r="W205" s="380"/>
      <c r="X205" s="466"/>
    </row>
    <row r="206" spans="6:24">
      <c r="F206" s="415"/>
      <c r="G206" s="415"/>
      <c r="H206" s="415"/>
      <c r="I206" s="415"/>
      <c r="J206" s="415"/>
      <c r="K206" s="415"/>
      <c r="L206" s="415"/>
      <c r="M206" s="415"/>
      <c r="N206" s="415"/>
      <c r="O206" s="415"/>
      <c r="P206" s="412"/>
      <c r="Q206" s="382"/>
      <c r="R206" s="385"/>
      <c r="S206" s="385"/>
      <c r="T206" s="385"/>
      <c r="U206" s="407"/>
      <c r="V206" s="385" t="s">
        <v>139</v>
      </c>
      <c r="W206" s="380"/>
      <c r="X206" s="466"/>
    </row>
    <row r="207" spans="6:24">
      <c r="F207" s="415"/>
      <c r="G207" s="415"/>
      <c r="H207" s="415"/>
      <c r="I207" s="415"/>
      <c r="J207" s="415"/>
      <c r="K207" s="415"/>
      <c r="L207" s="415"/>
      <c r="M207" s="415"/>
      <c r="N207" s="415"/>
      <c r="O207" s="415"/>
      <c r="P207" s="412"/>
      <c r="Q207" s="382"/>
      <c r="R207" s="385"/>
      <c r="S207" s="385"/>
      <c r="T207" s="385"/>
      <c r="U207" s="407"/>
      <c r="V207" s="385" t="s">
        <v>139</v>
      </c>
      <c r="W207" s="380"/>
      <c r="X207" s="466"/>
    </row>
    <row r="208" spans="6:24">
      <c r="F208" s="415"/>
      <c r="G208" s="415"/>
      <c r="H208" s="415"/>
      <c r="I208" s="415"/>
      <c r="J208" s="415"/>
      <c r="K208" s="415"/>
      <c r="L208" s="415"/>
      <c r="M208" s="415"/>
      <c r="N208" s="415"/>
      <c r="O208" s="415"/>
      <c r="P208" s="412"/>
      <c r="Q208" s="382"/>
      <c r="R208" s="385"/>
      <c r="S208" s="385"/>
      <c r="T208" s="385"/>
      <c r="U208" s="407"/>
      <c r="V208" s="385" t="s">
        <v>139</v>
      </c>
      <c r="W208" s="380"/>
      <c r="X208" s="466"/>
    </row>
    <row r="209" spans="6:24">
      <c r="F209" s="415"/>
      <c r="G209" s="415"/>
      <c r="H209" s="415"/>
      <c r="I209" s="415"/>
      <c r="J209" s="415"/>
      <c r="K209" s="415"/>
      <c r="L209" s="415"/>
      <c r="M209" s="415"/>
      <c r="N209" s="415"/>
      <c r="O209" s="415"/>
      <c r="P209" s="412"/>
      <c r="Q209" s="382"/>
      <c r="R209" s="385"/>
      <c r="S209" s="385"/>
      <c r="T209" s="385"/>
      <c r="U209" s="407"/>
      <c r="V209" s="385" t="s">
        <v>139</v>
      </c>
      <c r="W209" s="380"/>
      <c r="X209" s="466"/>
    </row>
    <row r="210" spans="6:24" ht="14.25">
      <c r="F210" s="415"/>
      <c r="G210" s="415"/>
      <c r="H210" s="415"/>
      <c r="I210" s="415"/>
      <c r="J210" s="415"/>
      <c r="K210" s="415"/>
      <c r="L210" s="415"/>
      <c r="M210" s="415"/>
      <c r="N210" s="415"/>
      <c r="O210" s="415"/>
      <c r="P210" s="412">
        <v>27</v>
      </c>
      <c r="Q210" s="382">
        <v>1</v>
      </c>
      <c r="R210" s="420" t="s">
        <v>515</v>
      </c>
      <c r="S210" s="385">
        <v>1</v>
      </c>
      <c r="T210" s="420" t="s">
        <v>110</v>
      </c>
      <c r="U210" s="407" t="s">
        <v>578</v>
      </c>
      <c r="V210" s="385" t="s">
        <v>139</v>
      </c>
      <c r="W210" s="380">
        <v>2003</v>
      </c>
      <c r="X210" s="466"/>
    </row>
    <row r="211" spans="6:24" ht="14.25">
      <c r="F211" s="415"/>
      <c r="G211" s="415"/>
      <c r="H211" s="415"/>
      <c r="I211" s="415"/>
      <c r="J211" s="415"/>
      <c r="K211" s="415"/>
      <c r="L211" s="415"/>
      <c r="M211" s="415"/>
      <c r="N211" s="415"/>
      <c r="O211" s="415"/>
      <c r="P211" s="412"/>
      <c r="Q211" s="382">
        <v>2</v>
      </c>
      <c r="R211" s="420" t="s">
        <v>518</v>
      </c>
      <c r="S211" s="385">
        <v>2</v>
      </c>
      <c r="T211" s="420" t="s">
        <v>102</v>
      </c>
      <c r="U211" s="407" t="s">
        <v>578</v>
      </c>
      <c r="V211" s="385" t="s">
        <v>139</v>
      </c>
      <c r="W211" s="380"/>
      <c r="X211" s="466"/>
    </row>
    <row r="212" spans="6:24" ht="14.25">
      <c r="F212" s="415"/>
      <c r="G212" s="415"/>
      <c r="H212" s="415"/>
      <c r="I212" s="415"/>
      <c r="J212" s="415"/>
      <c r="K212" s="415"/>
      <c r="L212" s="415"/>
      <c r="M212" s="415"/>
      <c r="N212" s="415"/>
      <c r="O212" s="415"/>
      <c r="P212" s="412"/>
      <c r="Q212" s="382">
        <v>3</v>
      </c>
      <c r="R212" s="420" t="s">
        <v>517</v>
      </c>
      <c r="S212" s="385">
        <v>3</v>
      </c>
      <c r="T212" s="420" t="s">
        <v>107</v>
      </c>
      <c r="U212" s="407" t="s">
        <v>578</v>
      </c>
      <c r="V212" s="385" t="s">
        <v>139</v>
      </c>
      <c r="W212" s="380"/>
      <c r="X212" s="466"/>
    </row>
    <row r="213" spans="6:24">
      <c r="F213" s="415"/>
      <c r="G213" s="415"/>
      <c r="H213" s="415"/>
      <c r="I213" s="415"/>
      <c r="J213" s="415"/>
      <c r="K213" s="415"/>
      <c r="L213" s="415"/>
      <c r="M213" s="415"/>
      <c r="N213" s="415"/>
      <c r="O213" s="415"/>
      <c r="P213" s="412"/>
      <c r="Q213" s="382">
        <v>4</v>
      </c>
      <c r="R213" s="425" t="s">
        <v>99</v>
      </c>
      <c r="S213" s="385">
        <v>4</v>
      </c>
      <c r="T213" s="425" t="s">
        <v>521</v>
      </c>
      <c r="U213" s="407" t="s">
        <v>578</v>
      </c>
      <c r="V213" s="385" t="s">
        <v>139</v>
      </c>
      <c r="W213" s="380"/>
      <c r="X213" s="466"/>
    </row>
    <row r="214" spans="6:24">
      <c r="F214" s="415"/>
      <c r="G214" s="415"/>
      <c r="H214" s="415"/>
      <c r="I214" s="415"/>
      <c r="J214" s="415"/>
      <c r="K214" s="415"/>
      <c r="L214" s="415"/>
      <c r="M214" s="415"/>
      <c r="N214" s="415"/>
      <c r="O214" s="415"/>
      <c r="P214" s="412"/>
      <c r="Q214" s="382"/>
      <c r="R214" s="385"/>
      <c r="S214" s="385"/>
      <c r="T214" s="385"/>
      <c r="U214" s="407"/>
      <c r="V214" s="385" t="s">
        <v>139</v>
      </c>
      <c r="W214" s="380"/>
      <c r="X214" s="466"/>
    </row>
    <row r="215" spans="6:24">
      <c r="F215" s="415"/>
      <c r="G215" s="415"/>
      <c r="H215" s="415"/>
      <c r="I215" s="415"/>
      <c r="J215" s="415"/>
      <c r="K215" s="415"/>
      <c r="L215" s="415"/>
      <c r="M215" s="415"/>
      <c r="N215" s="415"/>
      <c r="O215" s="415"/>
      <c r="P215" s="412"/>
      <c r="Q215" s="382"/>
      <c r="R215" s="385"/>
      <c r="S215" s="385"/>
      <c r="T215" s="385"/>
      <c r="U215" s="407"/>
      <c r="V215" s="385" t="s">
        <v>139</v>
      </c>
      <c r="W215" s="380"/>
      <c r="X215" s="466"/>
    </row>
    <row r="216" spans="6:24">
      <c r="F216" s="415"/>
      <c r="G216" s="415"/>
      <c r="H216" s="415"/>
      <c r="I216" s="415"/>
      <c r="J216" s="415"/>
      <c r="K216" s="415"/>
      <c r="L216" s="415"/>
      <c r="M216" s="415"/>
      <c r="N216" s="415"/>
      <c r="O216" s="415"/>
      <c r="P216" s="412"/>
      <c r="Q216" s="382"/>
      <c r="R216" s="385"/>
      <c r="S216" s="385"/>
      <c r="T216" s="385"/>
      <c r="U216" s="407"/>
      <c r="V216" s="385" t="s">
        <v>139</v>
      </c>
      <c r="W216" s="380"/>
      <c r="X216" s="466"/>
    </row>
    <row r="217" spans="6:24">
      <c r="F217" s="415"/>
      <c r="G217" s="415"/>
      <c r="H217" s="415"/>
      <c r="I217" s="415"/>
      <c r="J217" s="415"/>
      <c r="K217" s="415"/>
      <c r="L217" s="415"/>
      <c r="M217" s="415"/>
      <c r="N217" s="415"/>
      <c r="O217" s="415"/>
      <c r="P217" s="412"/>
      <c r="Q217" s="382"/>
      <c r="R217" s="385"/>
      <c r="S217" s="385"/>
      <c r="T217" s="385"/>
      <c r="U217" s="407"/>
      <c r="V217" s="385" t="s">
        <v>139</v>
      </c>
      <c r="W217" s="380"/>
      <c r="X217" s="466"/>
    </row>
    <row r="218" spans="6:24">
      <c r="F218" s="415"/>
      <c r="G218" s="415"/>
      <c r="H218" s="415"/>
      <c r="I218" s="415"/>
      <c r="J218" s="415"/>
      <c r="K218" s="415"/>
      <c r="L218" s="415"/>
      <c r="M218" s="415"/>
      <c r="N218" s="415"/>
      <c r="O218" s="415"/>
      <c r="P218" s="412">
        <v>28</v>
      </c>
      <c r="Q218" s="382">
        <v>1</v>
      </c>
      <c r="R218" s="420" t="s">
        <v>110</v>
      </c>
      <c r="S218" s="385">
        <v>1</v>
      </c>
      <c r="T218" s="420" t="s">
        <v>110</v>
      </c>
      <c r="U218" s="407" t="s">
        <v>578</v>
      </c>
      <c r="V218" s="385" t="s">
        <v>139</v>
      </c>
      <c r="W218" s="380">
        <v>2003</v>
      </c>
      <c r="X218" s="466"/>
    </row>
    <row r="219" spans="6:24">
      <c r="F219" s="415"/>
      <c r="G219" s="415"/>
      <c r="H219" s="415"/>
      <c r="I219" s="415"/>
      <c r="J219" s="415"/>
      <c r="K219" s="415"/>
      <c r="L219" s="415"/>
      <c r="M219" s="415"/>
      <c r="N219" s="415"/>
      <c r="O219" s="415"/>
      <c r="P219" s="412"/>
      <c r="Q219" s="382">
        <v>2</v>
      </c>
      <c r="R219" s="420" t="s">
        <v>102</v>
      </c>
      <c r="S219" s="385">
        <v>2</v>
      </c>
      <c r="T219" s="420" t="s">
        <v>102</v>
      </c>
      <c r="U219" s="407" t="s">
        <v>578</v>
      </c>
      <c r="V219" s="385" t="s">
        <v>139</v>
      </c>
      <c r="W219" s="380"/>
      <c r="X219" s="466"/>
    </row>
    <row r="220" spans="6:24">
      <c r="F220" s="415"/>
      <c r="G220" s="415"/>
      <c r="H220" s="415"/>
      <c r="I220" s="415"/>
      <c r="J220" s="415"/>
      <c r="K220" s="415"/>
      <c r="L220" s="415"/>
      <c r="M220" s="415"/>
      <c r="N220" s="415"/>
      <c r="O220" s="415"/>
      <c r="P220" s="412"/>
      <c r="Q220" s="382">
        <v>3</v>
      </c>
      <c r="R220" s="420" t="s">
        <v>107</v>
      </c>
      <c r="S220" s="385">
        <v>3</v>
      </c>
      <c r="T220" s="420" t="s">
        <v>107</v>
      </c>
      <c r="U220" s="407" t="s">
        <v>578</v>
      </c>
      <c r="V220" s="385" t="s">
        <v>139</v>
      </c>
      <c r="W220" s="380"/>
      <c r="X220" s="466"/>
    </row>
    <row r="221" spans="6:24">
      <c r="F221" s="415"/>
      <c r="G221" s="415"/>
      <c r="H221" s="415"/>
      <c r="I221" s="415"/>
      <c r="J221" s="415"/>
      <c r="K221" s="415"/>
      <c r="L221" s="415"/>
      <c r="M221" s="415"/>
      <c r="N221" s="415"/>
      <c r="O221" s="415"/>
      <c r="P221" s="412"/>
      <c r="Q221" s="382">
        <v>4</v>
      </c>
      <c r="R221" s="420" t="s">
        <v>114</v>
      </c>
      <c r="S221" s="385">
        <v>4</v>
      </c>
      <c r="T221" s="425" t="s">
        <v>521</v>
      </c>
      <c r="U221" s="407" t="s">
        <v>578</v>
      </c>
      <c r="V221" s="385" t="s">
        <v>139</v>
      </c>
      <c r="W221" s="380"/>
      <c r="X221" s="466"/>
    </row>
    <row r="222" spans="6:24">
      <c r="F222" s="415"/>
      <c r="G222" s="415"/>
      <c r="H222" s="415"/>
      <c r="I222" s="415"/>
      <c r="J222" s="415"/>
      <c r="K222" s="415"/>
      <c r="L222" s="415"/>
      <c r="M222" s="415"/>
      <c r="N222" s="415"/>
      <c r="O222" s="415"/>
      <c r="P222" s="412"/>
      <c r="Q222" s="382"/>
      <c r="R222" s="385"/>
      <c r="S222" s="385"/>
      <c r="T222" s="385"/>
      <c r="U222" s="407"/>
      <c r="V222" s="385" t="s">
        <v>139</v>
      </c>
      <c r="W222" s="380"/>
      <c r="X222" s="466"/>
    </row>
    <row r="223" spans="6:24">
      <c r="F223" s="415"/>
      <c r="G223" s="415"/>
      <c r="H223" s="415"/>
      <c r="I223" s="415"/>
      <c r="J223" s="415"/>
      <c r="K223" s="415"/>
      <c r="L223" s="415"/>
      <c r="M223" s="415"/>
      <c r="N223" s="415"/>
      <c r="O223" s="415"/>
      <c r="P223" s="412"/>
      <c r="Q223" s="382"/>
      <c r="R223" s="385"/>
      <c r="S223" s="385"/>
      <c r="T223" s="385"/>
      <c r="U223" s="407"/>
      <c r="V223" s="385" t="s">
        <v>139</v>
      </c>
      <c r="W223" s="380"/>
      <c r="X223" s="466"/>
    </row>
    <row r="224" spans="6:24">
      <c r="F224" s="415"/>
      <c r="G224" s="415"/>
      <c r="H224" s="415"/>
      <c r="I224" s="415"/>
      <c r="J224" s="415"/>
      <c r="K224" s="415"/>
      <c r="L224" s="415"/>
      <c r="M224" s="415"/>
      <c r="N224" s="415"/>
      <c r="O224" s="415"/>
      <c r="P224" s="412"/>
      <c r="Q224" s="382"/>
      <c r="R224" s="385"/>
      <c r="S224" s="385"/>
      <c r="T224" s="385"/>
      <c r="U224" s="407"/>
      <c r="V224" s="385" t="s">
        <v>139</v>
      </c>
      <c r="W224" s="380"/>
      <c r="X224" s="466"/>
    </row>
    <row r="225" spans="6:24">
      <c r="F225" s="415"/>
      <c r="G225" s="415"/>
      <c r="H225" s="415"/>
      <c r="I225" s="415"/>
      <c r="J225" s="415"/>
      <c r="K225" s="415"/>
      <c r="L225" s="415"/>
      <c r="M225" s="415"/>
      <c r="N225" s="415"/>
      <c r="O225" s="415"/>
      <c r="P225" s="412"/>
      <c r="Q225" s="382"/>
      <c r="R225" s="385"/>
      <c r="S225" s="385"/>
      <c r="T225" s="385"/>
      <c r="U225" s="407"/>
      <c r="V225" s="385" t="s">
        <v>139</v>
      </c>
      <c r="W225" s="380"/>
      <c r="X225" s="466"/>
    </row>
    <row r="226" spans="6:24">
      <c r="F226" s="415"/>
      <c r="G226" s="415"/>
      <c r="H226" s="415"/>
      <c r="I226" s="415"/>
      <c r="J226" s="415"/>
      <c r="K226" s="415"/>
      <c r="L226" s="415"/>
      <c r="M226" s="415"/>
      <c r="N226" s="415"/>
      <c r="O226" s="415"/>
      <c r="P226" s="412">
        <v>29</v>
      </c>
      <c r="Q226" s="382">
        <v>1</v>
      </c>
      <c r="R226" s="420" t="s">
        <v>110</v>
      </c>
      <c r="S226" s="385">
        <v>1</v>
      </c>
      <c r="T226" s="420" t="s">
        <v>110</v>
      </c>
      <c r="U226" s="407" t="s">
        <v>578</v>
      </c>
      <c r="V226" s="385" t="s">
        <v>139</v>
      </c>
      <c r="W226" s="380">
        <v>2003</v>
      </c>
      <c r="X226" s="466"/>
    </row>
    <row r="227" spans="6:24">
      <c r="F227" s="415"/>
      <c r="G227" s="415"/>
      <c r="H227" s="415"/>
      <c r="I227" s="415"/>
      <c r="J227" s="415"/>
      <c r="K227" s="415"/>
      <c r="L227" s="415"/>
      <c r="M227" s="415"/>
      <c r="N227" s="415"/>
      <c r="O227" s="415"/>
      <c r="P227" s="412"/>
      <c r="Q227" s="382">
        <v>2</v>
      </c>
      <c r="R227" s="420" t="s">
        <v>102</v>
      </c>
      <c r="S227" s="385">
        <v>2</v>
      </c>
      <c r="T227" s="420" t="s">
        <v>102</v>
      </c>
      <c r="U227" s="407" t="s">
        <v>578</v>
      </c>
      <c r="V227" s="385" t="s">
        <v>139</v>
      </c>
      <c r="W227" s="380"/>
      <c r="X227" s="466"/>
    </row>
    <row r="228" spans="6:24">
      <c r="F228" s="415"/>
      <c r="G228" s="415"/>
      <c r="H228" s="415"/>
      <c r="I228" s="415"/>
      <c r="J228" s="415"/>
      <c r="K228" s="415"/>
      <c r="L228" s="415"/>
      <c r="M228" s="415"/>
      <c r="N228" s="415"/>
      <c r="O228" s="415"/>
      <c r="P228" s="412"/>
      <c r="Q228" s="382">
        <v>3</v>
      </c>
      <c r="R228" s="420" t="s">
        <v>107</v>
      </c>
      <c r="S228" s="385">
        <v>3</v>
      </c>
      <c r="T228" s="420" t="s">
        <v>107</v>
      </c>
      <c r="U228" s="407" t="s">
        <v>578</v>
      </c>
      <c r="V228" s="385" t="s">
        <v>139</v>
      </c>
      <c r="W228" s="380"/>
      <c r="X228" s="466"/>
    </row>
    <row r="229" spans="6:24">
      <c r="F229" s="415"/>
      <c r="G229" s="415"/>
      <c r="H229" s="415"/>
      <c r="I229" s="415"/>
      <c r="J229" s="415"/>
      <c r="K229" s="415"/>
      <c r="L229" s="415"/>
      <c r="M229" s="415"/>
      <c r="N229" s="415"/>
      <c r="O229" s="415"/>
      <c r="P229" s="412"/>
      <c r="Q229" s="382">
        <v>4</v>
      </c>
      <c r="R229" s="425" t="s">
        <v>99</v>
      </c>
      <c r="S229" s="385">
        <v>4</v>
      </c>
      <c r="T229" s="425" t="s">
        <v>521</v>
      </c>
      <c r="U229" s="407" t="s">
        <v>578</v>
      </c>
      <c r="V229" s="385" t="s">
        <v>139</v>
      </c>
      <c r="W229" s="380"/>
      <c r="X229" s="466"/>
    </row>
    <row r="230" spans="6:24">
      <c r="F230" s="415"/>
      <c r="G230" s="415"/>
      <c r="H230" s="415"/>
      <c r="I230" s="415"/>
      <c r="J230" s="415"/>
      <c r="K230" s="415"/>
      <c r="L230" s="415"/>
      <c r="M230" s="415"/>
      <c r="N230" s="415"/>
      <c r="O230" s="415"/>
      <c r="P230" s="412"/>
      <c r="Q230" s="382"/>
      <c r="R230" s="385"/>
      <c r="S230" s="385"/>
      <c r="T230" s="385"/>
      <c r="U230" s="407"/>
      <c r="V230" s="385" t="s">
        <v>139</v>
      </c>
      <c r="W230" s="380"/>
      <c r="X230" s="466"/>
    </row>
    <row r="231" spans="6:24">
      <c r="F231" s="415"/>
      <c r="G231" s="415"/>
      <c r="H231" s="415"/>
      <c r="I231" s="415"/>
      <c r="J231" s="415"/>
      <c r="K231" s="415"/>
      <c r="L231" s="415"/>
      <c r="M231" s="415"/>
      <c r="N231" s="415"/>
      <c r="O231" s="415"/>
      <c r="P231" s="412"/>
      <c r="Q231" s="382"/>
      <c r="R231" s="385"/>
      <c r="S231" s="385"/>
      <c r="T231" s="385"/>
      <c r="U231" s="407"/>
      <c r="V231" s="385" t="s">
        <v>139</v>
      </c>
      <c r="W231" s="380"/>
      <c r="X231" s="466"/>
    </row>
    <row r="232" spans="6:24">
      <c r="F232" s="415"/>
      <c r="G232" s="415"/>
      <c r="H232" s="415"/>
      <c r="I232" s="415"/>
      <c r="J232" s="415"/>
      <c r="K232" s="415"/>
      <c r="L232" s="415"/>
      <c r="M232" s="415"/>
      <c r="N232" s="415"/>
      <c r="O232" s="415"/>
      <c r="P232" s="412"/>
      <c r="Q232" s="382"/>
      <c r="R232" s="385"/>
      <c r="S232" s="385"/>
      <c r="T232" s="385"/>
      <c r="U232" s="407"/>
      <c r="V232" s="385" t="s">
        <v>139</v>
      </c>
      <c r="W232" s="380"/>
      <c r="X232" s="466"/>
    </row>
    <row r="233" spans="6:24">
      <c r="F233" s="415"/>
      <c r="G233" s="415"/>
      <c r="H233" s="415"/>
      <c r="I233" s="415"/>
      <c r="J233" s="415"/>
      <c r="K233" s="415"/>
      <c r="L233" s="415"/>
      <c r="M233" s="415"/>
      <c r="N233" s="415"/>
      <c r="O233" s="415"/>
      <c r="P233" s="412"/>
      <c r="Q233" s="382"/>
      <c r="R233" s="385"/>
      <c r="S233" s="385"/>
      <c r="T233" s="385"/>
      <c r="U233" s="407"/>
      <c r="V233" s="385" t="s">
        <v>139</v>
      </c>
      <c r="W233" s="380"/>
      <c r="X233" s="466"/>
    </row>
    <row r="234" spans="6:24">
      <c r="F234" s="415"/>
      <c r="G234" s="415"/>
      <c r="H234" s="415"/>
      <c r="I234" s="415"/>
      <c r="J234" s="415"/>
      <c r="K234" s="415"/>
      <c r="L234" s="415"/>
      <c r="M234" s="415"/>
      <c r="N234" s="415"/>
      <c r="O234" s="415"/>
      <c r="P234" s="412">
        <v>30</v>
      </c>
      <c r="Q234" s="382">
        <v>1</v>
      </c>
      <c r="R234" s="385" t="s">
        <v>123</v>
      </c>
      <c r="S234" s="382">
        <v>1</v>
      </c>
      <c r="T234" s="385" t="s">
        <v>123</v>
      </c>
      <c r="U234" s="407" t="s">
        <v>579</v>
      </c>
      <c r="V234" s="407" t="s">
        <v>580</v>
      </c>
      <c r="W234" s="380"/>
      <c r="X234" s="466"/>
    </row>
    <row r="235" spans="6:24">
      <c r="F235" s="415"/>
      <c r="G235" s="415"/>
      <c r="H235" s="415"/>
      <c r="I235" s="415"/>
      <c r="J235" s="415"/>
      <c r="K235" s="415"/>
      <c r="L235" s="415"/>
      <c r="M235" s="415"/>
      <c r="N235" s="415"/>
      <c r="O235" s="415"/>
      <c r="P235" s="412"/>
      <c r="Q235" s="382">
        <v>2</v>
      </c>
      <c r="R235" s="385" t="s">
        <v>535</v>
      </c>
      <c r="S235" s="382">
        <v>2</v>
      </c>
      <c r="T235" s="385" t="s">
        <v>535</v>
      </c>
      <c r="U235" s="407" t="s">
        <v>579</v>
      </c>
      <c r="V235" s="407" t="s">
        <v>580</v>
      </c>
      <c r="W235" s="380"/>
      <c r="X235" s="466"/>
    </row>
    <row r="236" spans="6:24">
      <c r="F236" s="415"/>
      <c r="G236" s="415"/>
      <c r="H236" s="415"/>
      <c r="I236" s="415"/>
      <c r="J236" s="415"/>
      <c r="K236" s="415"/>
      <c r="L236" s="415"/>
      <c r="M236" s="415"/>
      <c r="N236" s="415"/>
      <c r="O236" s="415"/>
      <c r="P236" s="412"/>
      <c r="Q236" s="382"/>
      <c r="R236" s="385"/>
      <c r="S236" s="385"/>
      <c r="T236" s="385"/>
      <c r="U236" s="407" t="s">
        <v>139</v>
      </c>
      <c r="V236" s="385" t="s">
        <v>139</v>
      </c>
      <c r="W236" s="380"/>
      <c r="X236" s="466"/>
    </row>
    <row r="237" spans="6:24">
      <c r="F237" s="415"/>
      <c r="G237" s="415"/>
      <c r="H237" s="415"/>
      <c r="I237" s="415"/>
      <c r="J237" s="415"/>
      <c r="K237" s="415"/>
      <c r="L237" s="415"/>
      <c r="M237" s="415"/>
      <c r="N237" s="415"/>
      <c r="O237" s="415"/>
      <c r="P237" s="412"/>
      <c r="Q237" s="382"/>
      <c r="R237" s="385"/>
      <c r="S237" s="385"/>
      <c r="T237" s="385"/>
      <c r="U237" s="407" t="s">
        <v>139</v>
      </c>
      <c r="V237" s="385" t="s">
        <v>139</v>
      </c>
      <c r="W237" s="380"/>
      <c r="X237" s="466"/>
    </row>
    <row r="238" spans="6:24">
      <c r="F238" s="415"/>
      <c r="G238" s="415"/>
      <c r="H238" s="415"/>
      <c r="I238" s="415"/>
      <c r="J238" s="415"/>
      <c r="K238" s="415"/>
      <c r="L238" s="415"/>
      <c r="M238" s="415"/>
      <c r="N238" s="415"/>
      <c r="O238" s="415"/>
      <c r="P238" s="412"/>
      <c r="Q238" s="382"/>
      <c r="R238" s="385"/>
      <c r="S238" s="385"/>
      <c r="T238" s="385"/>
      <c r="U238" s="407" t="s">
        <v>139</v>
      </c>
      <c r="V238" s="385" t="s">
        <v>139</v>
      </c>
      <c r="W238" s="380"/>
      <c r="X238" s="466"/>
    </row>
    <row r="239" spans="6:24">
      <c r="F239" s="415"/>
      <c r="G239" s="415"/>
      <c r="H239" s="415"/>
      <c r="I239" s="415"/>
      <c r="J239" s="415"/>
      <c r="K239" s="415"/>
      <c r="L239" s="415"/>
      <c r="M239" s="415"/>
      <c r="N239" s="415"/>
      <c r="O239" s="415"/>
      <c r="P239" s="412"/>
      <c r="Q239" s="382"/>
      <c r="R239" s="385"/>
      <c r="S239" s="385"/>
      <c r="T239" s="385"/>
      <c r="U239" s="407" t="s">
        <v>139</v>
      </c>
      <c r="V239" s="385" t="s">
        <v>139</v>
      </c>
      <c r="W239" s="380"/>
      <c r="X239" s="466"/>
    </row>
    <row r="240" spans="6:24">
      <c r="F240" s="415"/>
      <c r="G240" s="415"/>
      <c r="H240" s="415"/>
      <c r="I240" s="415"/>
      <c r="J240" s="415"/>
      <c r="K240" s="415"/>
      <c r="L240" s="415"/>
      <c r="M240" s="415"/>
      <c r="N240" s="415"/>
      <c r="O240" s="415"/>
      <c r="P240" s="412"/>
      <c r="Q240" s="382"/>
      <c r="R240" s="385"/>
      <c r="S240" s="385"/>
      <c r="T240" s="385"/>
      <c r="U240" s="407" t="s">
        <v>139</v>
      </c>
      <c r="V240" s="385" t="s">
        <v>139</v>
      </c>
      <c r="W240" s="380"/>
      <c r="X240" s="466"/>
    </row>
    <row r="241" spans="6:24">
      <c r="F241" s="415"/>
      <c r="G241" s="415"/>
      <c r="H241" s="415"/>
      <c r="I241" s="415"/>
      <c r="J241" s="415"/>
      <c r="K241" s="415"/>
      <c r="L241" s="415"/>
      <c r="M241" s="415"/>
      <c r="N241" s="415"/>
      <c r="O241" s="415"/>
      <c r="P241" s="412"/>
      <c r="Q241" s="382"/>
      <c r="R241" s="385"/>
      <c r="S241" s="385"/>
      <c r="T241" s="385"/>
      <c r="U241" s="407" t="s">
        <v>139</v>
      </c>
      <c r="V241" s="385" t="s">
        <v>139</v>
      </c>
      <c r="W241" s="380"/>
      <c r="X241" s="466"/>
    </row>
    <row r="242" spans="6:24">
      <c r="F242" s="415"/>
      <c r="G242" s="415"/>
      <c r="H242" s="415"/>
      <c r="I242" s="415"/>
      <c r="J242" s="415"/>
      <c r="K242" s="415"/>
      <c r="L242" s="415"/>
      <c r="M242" s="415"/>
      <c r="N242" s="415"/>
      <c r="O242" s="415"/>
      <c r="P242" s="412">
        <v>31</v>
      </c>
      <c r="Q242" s="382">
        <v>1</v>
      </c>
      <c r="R242" s="385" t="s">
        <v>123</v>
      </c>
      <c r="S242" s="382">
        <v>1</v>
      </c>
      <c r="T242" s="385" t="s">
        <v>123</v>
      </c>
      <c r="U242" s="407" t="s">
        <v>570</v>
      </c>
      <c r="V242" s="385" t="s">
        <v>624</v>
      </c>
      <c r="W242" s="380"/>
      <c r="X242" s="466"/>
    </row>
    <row r="243" spans="6:24">
      <c r="F243" s="415"/>
      <c r="G243" s="415"/>
      <c r="H243" s="415"/>
      <c r="I243" s="415"/>
      <c r="J243" s="415"/>
      <c r="K243" s="415"/>
      <c r="L243" s="415"/>
      <c r="M243" s="415"/>
      <c r="N243" s="415"/>
      <c r="O243" s="415"/>
      <c r="P243" s="412"/>
      <c r="Q243" s="382">
        <v>2</v>
      </c>
      <c r="R243" s="385" t="s">
        <v>535</v>
      </c>
      <c r="S243" s="382">
        <v>2</v>
      </c>
      <c r="T243" s="385" t="s">
        <v>535</v>
      </c>
      <c r="U243" s="407" t="s">
        <v>570</v>
      </c>
      <c r="V243" s="385" t="s">
        <v>624</v>
      </c>
      <c r="W243" s="380"/>
      <c r="X243" s="466"/>
    </row>
    <row r="244" spans="6:24">
      <c r="F244" s="415"/>
      <c r="G244" s="415"/>
      <c r="H244" s="415"/>
      <c r="I244" s="415"/>
      <c r="J244" s="415"/>
      <c r="K244" s="415"/>
      <c r="L244" s="415"/>
      <c r="M244" s="415"/>
      <c r="N244" s="415"/>
      <c r="O244" s="415"/>
      <c r="P244" s="412"/>
      <c r="Q244" s="382"/>
      <c r="R244" s="385"/>
      <c r="S244" s="385"/>
      <c r="T244" s="385"/>
      <c r="U244" s="407" t="s">
        <v>139</v>
      </c>
      <c r="V244" s="385" t="s">
        <v>139</v>
      </c>
      <c r="W244" s="380"/>
      <c r="X244" s="466"/>
    </row>
    <row r="245" spans="6:24">
      <c r="F245" s="415"/>
      <c r="G245" s="415"/>
      <c r="H245" s="415"/>
      <c r="I245" s="415"/>
      <c r="J245" s="415"/>
      <c r="K245" s="415"/>
      <c r="L245" s="415"/>
      <c r="M245" s="415"/>
      <c r="N245" s="415"/>
      <c r="O245" s="415"/>
      <c r="P245" s="412"/>
      <c r="Q245" s="382"/>
      <c r="R245" s="385"/>
      <c r="S245" s="385"/>
      <c r="T245" s="385"/>
      <c r="U245" s="407" t="s">
        <v>139</v>
      </c>
      <c r="V245" s="385" t="s">
        <v>139</v>
      </c>
      <c r="W245" s="380"/>
      <c r="X245" s="466"/>
    </row>
    <row r="246" spans="6:24">
      <c r="F246" s="415"/>
      <c r="G246" s="415"/>
      <c r="H246" s="415"/>
      <c r="I246" s="415"/>
      <c r="J246" s="415"/>
      <c r="K246" s="415"/>
      <c r="L246" s="415"/>
      <c r="M246" s="415"/>
      <c r="N246" s="415"/>
      <c r="O246" s="415"/>
      <c r="P246" s="412"/>
      <c r="Q246" s="382"/>
      <c r="R246" s="385"/>
      <c r="S246" s="385"/>
      <c r="T246" s="385"/>
      <c r="U246" s="407" t="s">
        <v>139</v>
      </c>
      <c r="V246" s="385" t="s">
        <v>139</v>
      </c>
      <c r="W246" s="380"/>
      <c r="X246" s="466"/>
    </row>
    <row r="247" spans="6:24">
      <c r="F247" s="415"/>
      <c r="G247" s="415"/>
      <c r="H247" s="415"/>
      <c r="I247" s="415"/>
      <c r="J247" s="415"/>
      <c r="K247" s="415"/>
      <c r="L247" s="415"/>
      <c r="M247" s="415"/>
      <c r="N247" s="415"/>
      <c r="O247" s="415"/>
      <c r="P247" s="412"/>
      <c r="Q247" s="382"/>
      <c r="R247" s="385"/>
      <c r="S247" s="385"/>
      <c r="T247" s="385"/>
      <c r="U247" s="407" t="s">
        <v>139</v>
      </c>
      <c r="V247" s="385" t="s">
        <v>139</v>
      </c>
      <c r="W247" s="380"/>
      <c r="X247" s="466"/>
    </row>
    <row r="248" spans="6:24">
      <c r="F248" s="415"/>
      <c r="G248" s="415"/>
      <c r="H248" s="415"/>
      <c r="I248" s="415"/>
      <c r="J248" s="415"/>
      <c r="K248" s="415"/>
      <c r="L248" s="415"/>
      <c r="M248" s="415"/>
      <c r="N248" s="415"/>
      <c r="O248" s="415"/>
      <c r="P248" s="412"/>
      <c r="Q248" s="382"/>
      <c r="R248" s="385"/>
      <c r="S248" s="385"/>
      <c r="T248" s="385"/>
      <c r="U248" s="407" t="s">
        <v>139</v>
      </c>
      <c r="V248" s="385" t="s">
        <v>139</v>
      </c>
      <c r="W248" s="380"/>
      <c r="X248" s="466"/>
    </row>
    <row r="249" spans="6:24">
      <c r="F249" s="415"/>
      <c r="G249" s="415"/>
      <c r="H249" s="415"/>
      <c r="I249" s="415"/>
      <c r="J249" s="415"/>
      <c r="K249" s="415"/>
      <c r="L249" s="415"/>
      <c r="M249" s="415"/>
      <c r="N249" s="415"/>
      <c r="O249" s="415"/>
      <c r="P249" s="412"/>
      <c r="Q249" s="382"/>
      <c r="R249" s="385"/>
      <c r="S249" s="385"/>
      <c r="T249" s="385"/>
      <c r="U249" s="407" t="s">
        <v>139</v>
      </c>
      <c r="V249" s="385" t="s">
        <v>139</v>
      </c>
      <c r="W249" s="380"/>
      <c r="X249" s="466"/>
    </row>
    <row r="250" spans="6:24">
      <c r="F250" s="415"/>
      <c r="G250" s="415"/>
      <c r="H250" s="415"/>
      <c r="I250" s="415"/>
      <c r="J250" s="415"/>
      <c r="K250" s="415"/>
      <c r="L250" s="415"/>
      <c r="M250" s="415"/>
      <c r="N250" s="415"/>
      <c r="O250" s="415"/>
      <c r="P250" s="412">
        <v>32</v>
      </c>
      <c r="Q250" s="382">
        <v>1</v>
      </c>
      <c r="R250" s="385" t="s">
        <v>123</v>
      </c>
      <c r="S250" s="382">
        <v>1</v>
      </c>
      <c r="T250" s="385" t="s">
        <v>123</v>
      </c>
      <c r="U250" s="407" t="s">
        <v>581</v>
      </c>
      <c r="V250" s="407" t="s">
        <v>582</v>
      </c>
      <c r="W250" s="380"/>
      <c r="X250" s="466"/>
    </row>
    <row r="251" spans="6:24">
      <c r="F251" s="415"/>
      <c r="G251" s="415"/>
      <c r="H251" s="415"/>
      <c r="I251" s="415"/>
      <c r="J251" s="415"/>
      <c r="K251" s="415"/>
      <c r="L251" s="415"/>
      <c r="M251" s="415"/>
      <c r="N251" s="415"/>
      <c r="O251" s="415"/>
      <c r="P251" s="412"/>
      <c r="Q251" s="382">
        <v>2</v>
      </c>
      <c r="R251" s="385" t="s">
        <v>535</v>
      </c>
      <c r="S251" s="382">
        <v>2</v>
      </c>
      <c r="T251" s="385" t="s">
        <v>535</v>
      </c>
      <c r="U251" s="407" t="s">
        <v>581</v>
      </c>
      <c r="V251" s="407" t="s">
        <v>582</v>
      </c>
      <c r="W251" s="380">
        <v>2003</v>
      </c>
      <c r="X251" s="466"/>
    </row>
    <row r="252" spans="6:24">
      <c r="F252" s="415"/>
      <c r="G252" s="415"/>
      <c r="H252" s="415"/>
      <c r="I252" s="415"/>
      <c r="J252" s="415"/>
      <c r="K252" s="415"/>
      <c r="L252" s="415"/>
      <c r="M252" s="415"/>
      <c r="N252" s="415"/>
      <c r="O252" s="415"/>
      <c r="P252" s="412"/>
      <c r="Q252" s="382"/>
      <c r="R252" s="385"/>
      <c r="S252" s="385"/>
      <c r="T252" s="385"/>
      <c r="U252" s="407" t="s">
        <v>139</v>
      </c>
      <c r="V252" s="385" t="s">
        <v>139</v>
      </c>
      <c r="W252" s="380"/>
      <c r="X252" s="466"/>
    </row>
    <row r="253" spans="6:24">
      <c r="F253" s="415"/>
      <c r="G253" s="415"/>
      <c r="H253" s="415"/>
      <c r="I253" s="415"/>
      <c r="J253" s="415"/>
      <c r="K253" s="415"/>
      <c r="L253" s="415"/>
      <c r="M253" s="415"/>
      <c r="N253" s="415"/>
      <c r="O253" s="415"/>
      <c r="P253" s="412"/>
      <c r="Q253" s="382"/>
      <c r="R253" s="385"/>
      <c r="S253" s="385"/>
      <c r="T253" s="385"/>
      <c r="U253" s="407" t="s">
        <v>139</v>
      </c>
      <c r="V253" s="385" t="s">
        <v>139</v>
      </c>
      <c r="W253" s="380"/>
      <c r="X253" s="466"/>
    </row>
    <row r="254" spans="6:24">
      <c r="F254" s="415"/>
      <c r="G254" s="415"/>
      <c r="H254" s="415"/>
      <c r="I254" s="415"/>
      <c r="J254" s="415"/>
      <c r="K254" s="415"/>
      <c r="L254" s="415"/>
      <c r="M254" s="415"/>
      <c r="N254" s="415"/>
      <c r="O254" s="415"/>
      <c r="P254" s="412"/>
      <c r="Q254" s="382"/>
      <c r="R254" s="385"/>
      <c r="S254" s="385"/>
      <c r="T254" s="385"/>
      <c r="U254" s="407" t="s">
        <v>139</v>
      </c>
      <c r="V254" s="385" t="s">
        <v>139</v>
      </c>
      <c r="W254" s="380"/>
      <c r="X254" s="466"/>
    </row>
    <row r="255" spans="6:24">
      <c r="F255" s="415"/>
      <c r="G255" s="415"/>
      <c r="H255" s="415"/>
      <c r="I255" s="415"/>
      <c r="J255" s="415"/>
      <c r="K255" s="415"/>
      <c r="L255" s="415"/>
      <c r="M255" s="415"/>
      <c r="N255" s="415"/>
      <c r="O255" s="415"/>
      <c r="P255" s="412"/>
      <c r="Q255" s="382"/>
      <c r="R255" s="385"/>
      <c r="S255" s="385"/>
      <c r="T255" s="385"/>
      <c r="U255" s="407" t="s">
        <v>139</v>
      </c>
      <c r="V255" s="385" t="s">
        <v>139</v>
      </c>
      <c r="W255" s="380"/>
      <c r="X255" s="466"/>
    </row>
    <row r="256" spans="6:24">
      <c r="F256" s="415"/>
      <c r="G256" s="415"/>
      <c r="H256" s="415"/>
      <c r="I256" s="415"/>
      <c r="J256" s="415"/>
      <c r="K256" s="415"/>
      <c r="L256" s="415"/>
      <c r="M256" s="415"/>
      <c r="N256" s="415"/>
      <c r="O256" s="415"/>
      <c r="P256" s="412"/>
      <c r="Q256" s="382"/>
      <c r="R256" s="385"/>
      <c r="S256" s="385"/>
      <c r="T256" s="385"/>
      <c r="U256" s="407" t="s">
        <v>139</v>
      </c>
      <c r="V256" s="385" t="s">
        <v>139</v>
      </c>
      <c r="W256" s="380"/>
      <c r="X256" s="466"/>
    </row>
    <row r="257" spans="6:24">
      <c r="F257" s="415"/>
      <c r="G257" s="415"/>
      <c r="H257" s="415"/>
      <c r="I257" s="415"/>
      <c r="J257" s="415"/>
      <c r="K257" s="415"/>
      <c r="L257" s="415"/>
      <c r="M257" s="415"/>
      <c r="N257" s="415"/>
      <c r="O257" s="415"/>
      <c r="P257" s="412"/>
      <c r="Q257" s="382"/>
      <c r="R257" s="385"/>
      <c r="S257" s="385"/>
      <c r="T257" s="385"/>
      <c r="U257" s="407" t="s">
        <v>139</v>
      </c>
      <c r="V257" s="385" t="s">
        <v>139</v>
      </c>
      <c r="W257" s="380"/>
      <c r="X257" s="466"/>
    </row>
    <row r="258" spans="6:24">
      <c r="F258" s="415"/>
      <c r="G258" s="415"/>
      <c r="H258" s="415"/>
      <c r="I258" s="415"/>
      <c r="J258" s="415"/>
      <c r="K258" s="415"/>
      <c r="L258" s="415"/>
      <c r="M258" s="415"/>
      <c r="N258" s="415"/>
      <c r="O258" s="415"/>
      <c r="P258" s="412">
        <v>33</v>
      </c>
      <c r="Q258" s="382">
        <v>1</v>
      </c>
      <c r="R258" s="385" t="s">
        <v>596</v>
      </c>
      <c r="S258" s="385">
        <v>2</v>
      </c>
      <c r="T258" s="385" t="s">
        <v>596</v>
      </c>
      <c r="U258" s="407" t="s">
        <v>583</v>
      </c>
      <c r="V258" s="407" t="s">
        <v>584</v>
      </c>
      <c r="W258" s="380"/>
      <c r="X258" s="466"/>
    </row>
    <row r="259" spans="6:24">
      <c r="F259" s="415"/>
      <c r="G259" s="415"/>
      <c r="H259" s="415"/>
      <c r="I259" s="415"/>
      <c r="J259" s="415"/>
      <c r="K259" s="415"/>
      <c r="L259" s="415"/>
      <c r="M259" s="415"/>
      <c r="N259" s="415"/>
      <c r="O259" s="415"/>
      <c r="P259" s="412"/>
      <c r="Q259" s="382">
        <v>2</v>
      </c>
      <c r="R259" s="385" t="s">
        <v>597</v>
      </c>
      <c r="S259" s="385">
        <v>3</v>
      </c>
      <c r="T259" s="385" t="s">
        <v>597</v>
      </c>
      <c r="U259" s="407" t="s">
        <v>583</v>
      </c>
      <c r="V259" s="407" t="s">
        <v>584</v>
      </c>
      <c r="W259" s="380"/>
      <c r="X259" s="466"/>
    </row>
    <row r="260" spans="6:24">
      <c r="F260" s="415"/>
      <c r="G260" s="415"/>
      <c r="H260" s="415"/>
      <c r="I260" s="415"/>
      <c r="J260" s="415"/>
      <c r="K260" s="415"/>
      <c r="L260" s="415"/>
      <c r="M260" s="415"/>
      <c r="N260" s="415"/>
      <c r="O260" s="415"/>
      <c r="P260" s="412"/>
      <c r="Q260" s="382">
        <v>3</v>
      </c>
      <c r="R260" s="385" t="s">
        <v>595</v>
      </c>
      <c r="S260" s="385">
        <v>5</v>
      </c>
      <c r="T260" s="385" t="s">
        <v>595</v>
      </c>
      <c r="U260" s="407" t="s">
        <v>583</v>
      </c>
      <c r="V260" s="407" t="s">
        <v>584</v>
      </c>
      <c r="W260" s="380"/>
      <c r="X260" s="466"/>
    </row>
    <row r="261" spans="6:24">
      <c r="F261" s="415"/>
      <c r="G261" s="415"/>
      <c r="H261" s="415"/>
      <c r="I261" s="415"/>
      <c r="J261" s="415"/>
      <c r="K261" s="415"/>
      <c r="L261" s="415"/>
      <c r="M261" s="415"/>
      <c r="N261" s="415"/>
      <c r="O261" s="415"/>
      <c r="P261" s="412"/>
      <c r="Q261" s="382">
        <v>4</v>
      </c>
      <c r="R261" s="385" t="s">
        <v>594</v>
      </c>
      <c r="S261" s="385">
        <v>6</v>
      </c>
      <c r="T261" s="385" t="s">
        <v>594</v>
      </c>
      <c r="U261" s="407" t="s">
        <v>583</v>
      </c>
      <c r="V261" s="407" t="s">
        <v>584</v>
      </c>
      <c r="W261" s="380"/>
      <c r="X261" s="466"/>
    </row>
    <row r="262" spans="6:24">
      <c r="F262" s="415"/>
      <c r="G262" s="415"/>
      <c r="H262" s="415"/>
      <c r="I262" s="415"/>
      <c r="J262" s="415"/>
      <c r="K262" s="415"/>
      <c r="L262" s="415"/>
      <c r="M262" s="415"/>
      <c r="N262" s="415"/>
      <c r="O262" s="415"/>
      <c r="P262" s="412"/>
      <c r="Q262" s="382">
        <v>5</v>
      </c>
      <c r="R262" s="385" t="s">
        <v>592</v>
      </c>
      <c r="S262" s="382">
        <v>8</v>
      </c>
      <c r="T262" s="385" t="s">
        <v>592</v>
      </c>
      <c r="U262" s="407" t="s">
        <v>583</v>
      </c>
      <c r="V262" s="407" t="s">
        <v>584</v>
      </c>
      <c r="W262" s="380"/>
      <c r="X262" s="466"/>
    </row>
    <row r="263" spans="6:24">
      <c r="F263" s="415"/>
      <c r="G263" s="415"/>
      <c r="H263" s="415"/>
      <c r="I263" s="415"/>
      <c r="J263" s="415"/>
      <c r="K263" s="415"/>
      <c r="L263" s="415"/>
      <c r="M263" s="415"/>
      <c r="N263" s="415"/>
      <c r="O263" s="415"/>
      <c r="P263" s="412"/>
      <c r="Q263" s="382">
        <v>6</v>
      </c>
      <c r="R263" s="385" t="s">
        <v>593</v>
      </c>
      <c r="S263" s="382">
        <v>9</v>
      </c>
      <c r="T263" s="385" t="s">
        <v>593</v>
      </c>
      <c r="U263" s="407" t="s">
        <v>583</v>
      </c>
      <c r="V263" s="407" t="s">
        <v>584</v>
      </c>
      <c r="W263" s="380"/>
      <c r="X263" s="466"/>
    </row>
    <row r="264" spans="6:24">
      <c r="F264" s="415"/>
      <c r="G264" s="415"/>
      <c r="H264" s="415"/>
      <c r="I264" s="415"/>
      <c r="J264" s="415"/>
      <c r="K264" s="415"/>
      <c r="L264" s="415"/>
      <c r="M264" s="415"/>
      <c r="N264" s="415"/>
      <c r="O264" s="415"/>
      <c r="P264" s="412"/>
      <c r="Q264" s="382"/>
      <c r="R264" s="385"/>
      <c r="S264" s="385"/>
      <c r="T264" s="385"/>
      <c r="U264" s="407" t="s">
        <v>139</v>
      </c>
      <c r="V264" s="385" t="s">
        <v>139</v>
      </c>
      <c r="W264" s="380"/>
      <c r="X264" s="466"/>
    </row>
    <row r="265" spans="6:24">
      <c r="F265" s="415"/>
      <c r="G265" s="415"/>
      <c r="H265" s="415"/>
      <c r="I265" s="415"/>
      <c r="J265" s="415"/>
      <c r="K265" s="415"/>
      <c r="L265" s="415"/>
      <c r="M265" s="415"/>
      <c r="N265" s="415"/>
      <c r="O265" s="415"/>
      <c r="P265" s="412"/>
      <c r="Q265" s="382"/>
      <c r="R265" s="385"/>
      <c r="S265" s="385"/>
      <c r="T265" s="385"/>
      <c r="U265" s="407" t="s">
        <v>139</v>
      </c>
      <c r="V265" s="385" t="s">
        <v>139</v>
      </c>
      <c r="W265" s="380"/>
      <c r="X265" s="466"/>
    </row>
    <row r="266" spans="6:24">
      <c r="F266" s="415"/>
      <c r="G266" s="415"/>
      <c r="H266" s="415"/>
      <c r="I266" s="415"/>
      <c r="J266" s="415"/>
      <c r="K266" s="415"/>
      <c r="L266" s="415"/>
      <c r="M266" s="415"/>
      <c r="N266" s="415"/>
      <c r="O266" s="415"/>
      <c r="P266" s="412">
        <v>34</v>
      </c>
      <c r="Q266" s="382">
        <v>1</v>
      </c>
      <c r="R266" s="385" t="s">
        <v>123</v>
      </c>
      <c r="S266" s="382">
        <v>1</v>
      </c>
      <c r="T266" s="385" t="s">
        <v>123</v>
      </c>
      <c r="U266" s="407" t="s">
        <v>579</v>
      </c>
      <c r="V266" s="407" t="s">
        <v>586</v>
      </c>
      <c r="W266" s="380"/>
      <c r="X266" s="466"/>
    </row>
    <row r="267" spans="6:24">
      <c r="F267" s="415"/>
      <c r="G267" s="415"/>
      <c r="H267" s="415"/>
      <c r="I267" s="415"/>
      <c r="J267" s="415"/>
      <c r="K267" s="415"/>
      <c r="L267" s="415"/>
      <c r="M267" s="415"/>
      <c r="N267" s="415"/>
      <c r="O267" s="415"/>
      <c r="P267" s="412"/>
      <c r="Q267" s="382">
        <v>2</v>
      </c>
      <c r="R267" s="385" t="s">
        <v>535</v>
      </c>
      <c r="S267" s="382">
        <v>2</v>
      </c>
      <c r="T267" s="385" t="s">
        <v>535</v>
      </c>
      <c r="U267" s="407" t="s">
        <v>579</v>
      </c>
      <c r="V267" s="407" t="s">
        <v>586</v>
      </c>
      <c r="W267" s="380"/>
      <c r="X267" s="466"/>
    </row>
    <row r="268" spans="6:24">
      <c r="F268" s="415"/>
      <c r="G268" s="415"/>
      <c r="H268" s="415"/>
      <c r="I268" s="415"/>
      <c r="J268" s="415"/>
      <c r="K268" s="415"/>
      <c r="L268" s="415"/>
      <c r="M268" s="415"/>
      <c r="N268" s="415"/>
      <c r="O268" s="415"/>
      <c r="P268" s="412"/>
      <c r="Q268" s="382"/>
      <c r="R268" s="385"/>
      <c r="S268" s="385"/>
      <c r="T268" s="385"/>
      <c r="U268" s="407" t="s">
        <v>139</v>
      </c>
      <c r="V268" s="385" t="s">
        <v>139</v>
      </c>
      <c r="W268" s="380"/>
      <c r="X268" s="466"/>
    </row>
    <row r="269" spans="6:24">
      <c r="F269" s="415"/>
      <c r="G269" s="415"/>
      <c r="H269" s="415"/>
      <c r="I269" s="415"/>
      <c r="J269" s="415"/>
      <c r="K269" s="415"/>
      <c r="L269" s="415"/>
      <c r="M269" s="415"/>
      <c r="N269" s="415"/>
      <c r="O269" s="415"/>
      <c r="P269" s="412"/>
      <c r="Q269" s="382"/>
      <c r="R269" s="385"/>
      <c r="S269" s="385"/>
      <c r="T269" s="385"/>
      <c r="U269" s="407" t="s">
        <v>139</v>
      </c>
      <c r="V269" s="385" t="s">
        <v>139</v>
      </c>
      <c r="W269" s="380"/>
      <c r="X269" s="466"/>
    </row>
    <row r="270" spans="6:24">
      <c r="F270" s="415"/>
      <c r="G270" s="415"/>
      <c r="H270" s="415"/>
      <c r="I270" s="415"/>
      <c r="J270" s="415"/>
      <c r="K270" s="415"/>
      <c r="L270" s="415"/>
      <c r="M270" s="415"/>
      <c r="N270" s="415"/>
      <c r="O270" s="415"/>
      <c r="P270" s="412"/>
      <c r="Q270" s="382"/>
      <c r="R270" s="385"/>
      <c r="S270" s="385"/>
      <c r="T270" s="385"/>
      <c r="U270" s="407" t="s">
        <v>139</v>
      </c>
      <c r="V270" s="385" t="s">
        <v>139</v>
      </c>
      <c r="W270" s="380"/>
      <c r="X270" s="466"/>
    </row>
    <row r="271" spans="6:24">
      <c r="F271" s="415"/>
      <c r="G271" s="415"/>
      <c r="H271" s="415"/>
      <c r="I271" s="415"/>
      <c r="J271" s="415"/>
      <c r="K271" s="415"/>
      <c r="L271" s="415"/>
      <c r="M271" s="415"/>
      <c r="N271" s="415"/>
      <c r="O271" s="415"/>
      <c r="P271" s="412"/>
      <c r="Q271" s="382"/>
      <c r="R271" s="385"/>
      <c r="S271" s="385"/>
      <c r="T271" s="385"/>
      <c r="U271" s="407" t="s">
        <v>139</v>
      </c>
      <c r="V271" s="385" t="s">
        <v>139</v>
      </c>
      <c r="W271" s="380"/>
      <c r="X271" s="466"/>
    </row>
    <row r="272" spans="6:24">
      <c r="F272" s="415"/>
      <c r="G272" s="415"/>
      <c r="H272" s="415"/>
      <c r="I272" s="415"/>
      <c r="J272" s="415"/>
      <c r="K272" s="415"/>
      <c r="L272" s="415"/>
      <c r="M272" s="415"/>
      <c r="N272" s="415"/>
      <c r="O272" s="415"/>
      <c r="P272" s="412"/>
      <c r="Q272" s="382"/>
      <c r="R272" s="385"/>
      <c r="S272" s="385"/>
      <c r="T272" s="385"/>
      <c r="U272" s="407" t="s">
        <v>139</v>
      </c>
      <c r="V272" s="385" t="s">
        <v>139</v>
      </c>
      <c r="W272" s="380"/>
      <c r="X272" s="466"/>
    </row>
    <row r="273" spans="6:24">
      <c r="F273" s="415"/>
      <c r="G273" s="415"/>
      <c r="H273" s="415"/>
      <c r="I273" s="415"/>
      <c r="J273" s="415"/>
      <c r="K273" s="415"/>
      <c r="L273" s="415"/>
      <c r="M273" s="415"/>
      <c r="N273" s="415"/>
      <c r="O273" s="415"/>
      <c r="P273" s="412"/>
      <c r="Q273" s="382"/>
      <c r="R273" s="385"/>
      <c r="S273" s="385"/>
      <c r="T273" s="385"/>
      <c r="U273" s="407" t="s">
        <v>139</v>
      </c>
      <c r="V273" s="385" t="s">
        <v>139</v>
      </c>
      <c r="W273" s="380"/>
      <c r="X273" s="466"/>
    </row>
    <row r="274" spans="6:24">
      <c r="F274" s="415"/>
      <c r="G274" s="415"/>
      <c r="H274" s="415"/>
      <c r="I274" s="415"/>
      <c r="J274" s="415"/>
      <c r="K274" s="415"/>
      <c r="L274" s="415"/>
      <c r="M274" s="415"/>
      <c r="N274" s="415"/>
      <c r="O274" s="415"/>
      <c r="P274" s="412">
        <v>35</v>
      </c>
      <c r="Q274" s="382">
        <v>1</v>
      </c>
      <c r="R274" s="385" t="s">
        <v>123</v>
      </c>
      <c r="S274" s="382">
        <v>1</v>
      </c>
      <c r="T274" s="385" t="s">
        <v>123</v>
      </c>
      <c r="U274" s="407" t="s">
        <v>585</v>
      </c>
      <c r="V274" s="407" t="s">
        <v>587</v>
      </c>
      <c r="W274" s="380">
        <v>2003</v>
      </c>
      <c r="X274" s="466"/>
    </row>
    <row r="275" spans="6:24">
      <c r="F275" s="415"/>
      <c r="G275" s="415"/>
      <c r="H275" s="415"/>
      <c r="I275" s="415"/>
      <c r="J275" s="415"/>
      <c r="K275" s="415"/>
      <c r="L275" s="415"/>
      <c r="M275" s="415"/>
      <c r="N275" s="415"/>
      <c r="O275" s="415"/>
      <c r="P275" s="412"/>
      <c r="Q275" s="382">
        <v>2</v>
      </c>
      <c r="R275" s="385" t="s">
        <v>535</v>
      </c>
      <c r="S275" s="382">
        <v>2</v>
      </c>
      <c r="T275" s="385" t="s">
        <v>535</v>
      </c>
      <c r="U275" s="407" t="s">
        <v>585</v>
      </c>
      <c r="V275" s="407" t="s">
        <v>587</v>
      </c>
      <c r="W275" s="380">
        <v>2003</v>
      </c>
      <c r="X275" s="466"/>
    </row>
    <row r="276" spans="6:24">
      <c r="F276" s="415"/>
      <c r="G276" s="415"/>
      <c r="H276" s="415"/>
      <c r="I276" s="415"/>
      <c r="J276" s="415"/>
      <c r="K276" s="415"/>
      <c r="L276" s="415"/>
      <c r="M276" s="415"/>
      <c r="N276" s="415"/>
      <c r="O276" s="415"/>
      <c r="P276" s="412"/>
      <c r="Q276" s="382"/>
      <c r="R276" s="385"/>
      <c r="S276" s="385"/>
      <c r="T276" s="385"/>
      <c r="U276" s="407" t="s">
        <v>139</v>
      </c>
      <c r="V276" s="385" t="s">
        <v>139</v>
      </c>
      <c r="W276" s="380"/>
      <c r="X276" s="466"/>
    </row>
    <row r="277" spans="6:24">
      <c r="F277" s="415"/>
      <c r="G277" s="415"/>
      <c r="H277" s="415"/>
      <c r="I277" s="415"/>
      <c r="J277" s="415"/>
      <c r="K277" s="415"/>
      <c r="L277" s="415"/>
      <c r="M277" s="415"/>
      <c r="N277" s="415"/>
      <c r="O277" s="415"/>
      <c r="P277" s="412"/>
      <c r="Q277" s="382"/>
      <c r="R277" s="385"/>
      <c r="S277" s="385"/>
      <c r="T277" s="385"/>
      <c r="U277" s="407" t="s">
        <v>139</v>
      </c>
      <c r="V277" s="385" t="s">
        <v>139</v>
      </c>
      <c r="W277" s="380"/>
      <c r="X277" s="466"/>
    </row>
    <row r="278" spans="6:24">
      <c r="F278" s="415"/>
      <c r="G278" s="415"/>
      <c r="H278" s="415"/>
      <c r="I278" s="415"/>
      <c r="J278" s="415"/>
      <c r="K278" s="415"/>
      <c r="L278" s="415"/>
      <c r="M278" s="415"/>
      <c r="N278" s="415"/>
      <c r="O278" s="415"/>
      <c r="P278" s="412"/>
      <c r="Q278" s="382"/>
      <c r="R278" s="385"/>
      <c r="S278" s="385"/>
      <c r="T278" s="385"/>
      <c r="U278" s="407" t="s">
        <v>139</v>
      </c>
      <c r="V278" s="385" t="s">
        <v>139</v>
      </c>
      <c r="W278" s="380"/>
      <c r="X278" s="466"/>
    </row>
    <row r="279" spans="6:24">
      <c r="F279" s="415"/>
      <c r="G279" s="415"/>
      <c r="H279" s="415"/>
      <c r="I279" s="415"/>
      <c r="J279" s="415"/>
      <c r="K279" s="415"/>
      <c r="L279" s="415"/>
      <c r="M279" s="415"/>
      <c r="N279" s="415"/>
      <c r="O279" s="415"/>
      <c r="P279" s="412"/>
      <c r="Q279" s="382"/>
      <c r="R279" s="385"/>
      <c r="S279" s="385"/>
      <c r="T279" s="385"/>
      <c r="U279" s="407" t="s">
        <v>139</v>
      </c>
      <c r="V279" s="385" t="s">
        <v>139</v>
      </c>
      <c r="W279" s="380"/>
      <c r="X279" s="466"/>
    </row>
    <row r="280" spans="6:24">
      <c r="F280" s="415"/>
      <c r="G280" s="415"/>
      <c r="H280" s="415"/>
      <c r="I280" s="415"/>
      <c r="J280" s="415"/>
      <c r="K280" s="415"/>
      <c r="L280" s="415"/>
      <c r="M280" s="415"/>
      <c r="N280" s="415"/>
      <c r="O280" s="415"/>
      <c r="P280" s="412"/>
      <c r="Q280" s="382"/>
      <c r="R280" s="385"/>
      <c r="S280" s="385"/>
      <c r="T280" s="385"/>
      <c r="U280" s="407" t="s">
        <v>139</v>
      </c>
      <c r="V280" s="385" t="s">
        <v>139</v>
      </c>
      <c r="W280" s="380"/>
      <c r="X280" s="466"/>
    </row>
    <row r="281" spans="6:24">
      <c r="F281" s="415"/>
      <c r="G281" s="415"/>
      <c r="H281" s="415"/>
      <c r="I281" s="415"/>
      <c r="J281" s="415"/>
      <c r="K281" s="415"/>
      <c r="L281" s="415"/>
      <c r="M281" s="415"/>
      <c r="N281" s="415"/>
      <c r="O281" s="415"/>
      <c r="P281" s="412"/>
      <c r="Q281" s="382"/>
      <c r="R281" s="385"/>
      <c r="S281" s="385"/>
      <c r="T281" s="385"/>
      <c r="U281" s="407" t="s">
        <v>139</v>
      </c>
      <c r="V281" s="385" t="s">
        <v>139</v>
      </c>
      <c r="W281" s="380"/>
      <c r="X281" s="466"/>
    </row>
    <row r="282" spans="6:24">
      <c r="F282" s="415"/>
      <c r="G282" s="415"/>
      <c r="H282" s="415"/>
      <c r="I282" s="415"/>
      <c r="J282" s="415"/>
      <c r="K282" s="415"/>
      <c r="L282" s="415"/>
      <c r="M282" s="415"/>
      <c r="N282" s="415"/>
      <c r="O282" s="415"/>
      <c r="P282" s="412">
        <v>36</v>
      </c>
      <c r="Q282" s="382">
        <v>1</v>
      </c>
      <c r="R282" s="385" t="s">
        <v>123</v>
      </c>
      <c r="S282" s="382">
        <v>1</v>
      </c>
      <c r="T282" s="385" t="s">
        <v>123</v>
      </c>
      <c r="U282" s="407" t="s">
        <v>585</v>
      </c>
      <c r="V282" s="407" t="s">
        <v>587</v>
      </c>
      <c r="W282" s="380"/>
      <c r="X282" s="466"/>
    </row>
    <row r="283" spans="6:24">
      <c r="F283" s="415"/>
      <c r="G283" s="415"/>
      <c r="H283" s="415"/>
      <c r="I283" s="415"/>
      <c r="J283" s="415"/>
      <c r="K283" s="415"/>
      <c r="L283" s="415"/>
      <c r="M283" s="415"/>
      <c r="N283" s="415"/>
      <c r="O283" s="415"/>
      <c r="P283" s="412"/>
      <c r="Q283" s="382">
        <v>2</v>
      </c>
      <c r="R283" s="385" t="s">
        <v>535</v>
      </c>
      <c r="S283" s="382">
        <v>2</v>
      </c>
      <c r="T283" s="385" t="s">
        <v>535</v>
      </c>
      <c r="U283" s="407" t="s">
        <v>585</v>
      </c>
      <c r="V283" s="407" t="s">
        <v>587</v>
      </c>
      <c r="W283" s="380"/>
      <c r="X283" s="466"/>
    </row>
    <row r="284" spans="6:24">
      <c r="F284" s="415"/>
      <c r="G284" s="415"/>
      <c r="H284" s="415"/>
      <c r="I284" s="415"/>
      <c r="J284" s="415"/>
      <c r="K284" s="415"/>
      <c r="L284" s="415"/>
      <c r="M284" s="415"/>
      <c r="N284" s="415"/>
      <c r="O284" s="415"/>
      <c r="P284" s="412"/>
      <c r="Q284" s="382"/>
      <c r="R284" s="385"/>
      <c r="S284" s="385"/>
      <c r="T284" s="385"/>
      <c r="U284" s="407" t="s">
        <v>139</v>
      </c>
      <c r="V284" s="385" t="s">
        <v>139</v>
      </c>
      <c r="W284" s="380"/>
      <c r="X284" s="466"/>
    </row>
    <row r="285" spans="6:24">
      <c r="F285" s="415"/>
      <c r="G285" s="415"/>
      <c r="H285" s="415"/>
      <c r="I285" s="415"/>
      <c r="J285" s="415"/>
      <c r="K285" s="415"/>
      <c r="L285" s="415"/>
      <c r="M285" s="415"/>
      <c r="N285" s="415"/>
      <c r="O285" s="415"/>
      <c r="P285" s="412"/>
      <c r="Q285" s="382"/>
      <c r="R285" s="385"/>
      <c r="S285" s="385"/>
      <c r="T285" s="385"/>
      <c r="U285" s="407" t="s">
        <v>139</v>
      </c>
      <c r="V285" s="385" t="s">
        <v>139</v>
      </c>
      <c r="W285" s="380"/>
      <c r="X285" s="466"/>
    </row>
    <row r="286" spans="6:24">
      <c r="F286" s="415"/>
      <c r="G286" s="415"/>
      <c r="H286" s="415"/>
      <c r="I286" s="415"/>
      <c r="J286" s="415"/>
      <c r="K286" s="415"/>
      <c r="L286" s="415"/>
      <c r="M286" s="415"/>
      <c r="N286" s="415"/>
      <c r="O286" s="415"/>
      <c r="P286" s="412"/>
      <c r="Q286" s="382"/>
      <c r="R286" s="385"/>
      <c r="S286" s="385"/>
      <c r="T286" s="385"/>
      <c r="U286" s="407" t="s">
        <v>139</v>
      </c>
      <c r="V286" s="385" t="s">
        <v>139</v>
      </c>
      <c r="W286" s="380"/>
      <c r="X286" s="466"/>
    </row>
    <row r="287" spans="6:24">
      <c r="F287" s="415"/>
      <c r="G287" s="415"/>
      <c r="H287" s="415"/>
      <c r="I287" s="415"/>
      <c r="J287" s="415"/>
      <c r="K287" s="415"/>
      <c r="L287" s="415"/>
      <c r="M287" s="415"/>
      <c r="N287" s="415"/>
      <c r="O287" s="415"/>
      <c r="P287" s="412"/>
      <c r="Q287" s="382"/>
      <c r="R287" s="385"/>
      <c r="S287" s="385"/>
      <c r="T287" s="385"/>
      <c r="U287" s="407" t="s">
        <v>139</v>
      </c>
      <c r="V287" s="385" t="s">
        <v>139</v>
      </c>
      <c r="W287" s="380"/>
      <c r="X287" s="466"/>
    </row>
    <row r="288" spans="6:24">
      <c r="F288" s="415"/>
      <c r="G288" s="415"/>
      <c r="H288" s="415"/>
      <c r="I288" s="415"/>
      <c r="J288" s="415"/>
      <c r="K288" s="415"/>
      <c r="L288" s="415"/>
      <c r="M288" s="415"/>
      <c r="N288" s="415"/>
      <c r="O288" s="415"/>
      <c r="P288" s="412"/>
      <c r="Q288" s="382"/>
      <c r="R288" s="385"/>
      <c r="S288" s="385"/>
      <c r="T288" s="385"/>
      <c r="U288" s="407" t="s">
        <v>139</v>
      </c>
      <c r="V288" s="385" t="s">
        <v>139</v>
      </c>
      <c r="W288" s="380"/>
      <c r="X288" s="466"/>
    </row>
    <row r="289" spans="6:24">
      <c r="F289" s="415"/>
      <c r="G289" s="415"/>
      <c r="H289" s="415"/>
      <c r="I289" s="415"/>
      <c r="J289" s="415"/>
      <c r="K289" s="415"/>
      <c r="L289" s="415"/>
      <c r="M289" s="415"/>
      <c r="N289" s="415"/>
      <c r="O289" s="415"/>
      <c r="P289" s="412"/>
      <c r="Q289" s="382"/>
      <c r="R289" s="385"/>
      <c r="S289" s="385"/>
      <c r="T289" s="385"/>
      <c r="U289" s="407" t="s">
        <v>139</v>
      </c>
      <c r="V289" s="385" t="s">
        <v>139</v>
      </c>
      <c r="W289" s="380"/>
      <c r="X289" s="466"/>
    </row>
    <row r="290" spans="6:24">
      <c r="F290" s="415"/>
      <c r="G290" s="415"/>
      <c r="H290" s="415"/>
      <c r="I290" s="415"/>
      <c r="J290" s="415"/>
      <c r="K290" s="415"/>
      <c r="L290" s="415"/>
      <c r="M290" s="415"/>
      <c r="N290" s="415"/>
      <c r="O290" s="415"/>
      <c r="P290" s="412">
        <v>37</v>
      </c>
      <c r="Q290" s="382">
        <v>1</v>
      </c>
      <c r="R290" s="385" t="s">
        <v>123</v>
      </c>
      <c r="S290" s="382">
        <v>1</v>
      </c>
      <c r="T290" s="385" t="s">
        <v>123</v>
      </c>
      <c r="U290" s="407" t="s">
        <v>585</v>
      </c>
      <c r="V290" s="407" t="s">
        <v>587</v>
      </c>
      <c r="W290" s="380"/>
      <c r="X290" s="466"/>
    </row>
    <row r="291" spans="6:24">
      <c r="F291" s="415"/>
      <c r="G291" s="415"/>
      <c r="H291" s="415"/>
      <c r="I291" s="415"/>
      <c r="J291" s="415"/>
      <c r="K291" s="415"/>
      <c r="L291" s="415"/>
      <c r="M291" s="415"/>
      <c r="N291" s="415"/>
      <c r="O291" s="415"/>
      <c r="P291" s="412"/>
      <c r="Q291" s="382">
        <v>2</v>
      </c>
      <c r="R291" s="385" t="s">
        <v>535</v>
      </c>
      <c r="S291" s="382">
        <v>2</v>
      </c>
      <c r="T291" s="385" t="s">
        <v>535</v>
      </c>
      <c r="U291" s="407" t="s">
        <v>585</v>
      </c>
      <c r="V291" s="407" t="s">
        <v>587</v>
      </c>
      <c r="W291" s="380"/>
      <c r="X291" s="466"/>
    </row>
    <row r="292" spans="6:24">
      <c r="F292" s="415"/>
      <c r="G292" s="415"/>
      <c r="H292" s="415"/>
      <c r="I292" s="415"/>
      <c r="J292" s="415"/>
      <c r="K292" s="415"/>
      <c r="L292" s="415"/>
      <c r="M292" s="415"/>
      <c r="N292" s="415"/>
      <c r="O292" s="415"/>
      <c r="P292" s="412"/>
      <c r="Q292" s="382"/>
      <c r="R292" s="385"/>
      <c r="S292" s="385"/>
      <c r="T292" s="385"/>
      <c r="U292" s="407" t="s">
        <v>139</v>
      </c>
      <c r="V292" s="385" t="s">
        <v>139</v>
      </c>
      <c r="W292" s="380"/>
      <c r="X292" s="466"/>
    </row>
    <row r="293" spans="6:24">
      <c r="F293" s="415"/>
      <c r="G293" s="415"/>
      <c r="H293" s="415"/>
      <c r="I293" s="415"/>
      <c r="J293" s="415"/>
      <c r="K293" s="415"/>
      <c r="L293" s="415"/>
      <c r="M293" s="415"/>
      <c r="N293" s="415"/>
      <c r="O293" s="415"/>
      <c r="P293" s="412"/>
      <c r="Q293" s="382"/>
      <c r="R293" s="385"/>
      <c r="S293" s="385"/>
      <c r="T293" s="385"/>
      <c r="U293" s="407" t="s">
        <v>139</v>
      </c>
      <c r="V293" s="385" t="s">
        <v>139</v>
      </c>
      <c r="W293" s="380"/>
      <c r="X293" s="466"/>
    </row>
    <row r="294" spans="6:24">
      <c r="F294" s="415"/>
      <c r="G294" s="415"/>
      <c r="H294" s="415"/>
      <c r="I294" s="415"/>
      <c r="J294" s="415"/>
      <c r="K294" s="415"/>
      <c r="L294" s="415"/>
      <c r="M294" s="415"/>
      <c r="N294" s="415"/>
      <c r="O294" s="415"/>
      <c r="P294" s="412"/>
      <c r="Q294" s="382"/>
      <c r="R294" s="385"/>
      <c r="S294" s="385"/>
      <c r="T294" s="385"/>
      <c r="U294" s="407" t="s">
        <v>139</v>
      </c>
      <c r="V294" s="385" t="s">
        <v>139</v>
      </c>
      <c r="W294" s="380"/>
      <c r="X294" s="466"/>
    </row>
    <row r="295" spans="6:24">
      <c r="F295" s="415"/>
      <c r="G295" s="415"/>
      <c r="H295" s="415"/>
      <c r="I295" s="415"/>
      <c r="J295" s="415"/>
      <c r="K295" s="415"/>
      <c r="L295" s="415"/>
      <c r="M295" s="415"/>
      <c r="N295" s="415"/>
      <c r="O295" s="415"/>
      <c r="P295" s="412"/>
      <c r="Q295" s="382"/>
      <c r="R295" s="385"/>
      <c r="S295" s="385"/>
      <c r="T295" s="385"/>
      <c r="U295" s="407" t="s">
        <v>139</v>
      </c>
      <c r="V295" s="385" t="s">
        <v>139</v>
      </c>
      <c r="W295" s="380"/>
      <c r="X295" s="466"/>
    </row>
    <row r="296" spans="6:24">
      <c r="F296" s="415"/>
      <c r="G296" s="415"/>
      <c r="H296" s="415"/>
      <c r="I296" s="415"/>
      <c r="J296" s="415"/>
      <c r="K296" s="415"/>
      <c r="L296" s="415"/>
      <c r="M296" s="415"/>
      <c r="N296" s="415"/>
      <c r="O296" s="415"/>
      <c r="P296" s="412"/>
      <c r="Q296" s="382"/>
      <c r="R296" s="385"/>
      <c r="S296" s="385"/>
      <c r="T296" s="385"/>
      <c r="U296" s="407" t="s">
        <v>139</v>
      </c>
      <c r="V296" s="385" t="s">
        <v>139</v>
      </c>
      <c r="W296" s="380"/>
      <c r="X296" s="466"/>
    </row>
    <row r="297" spans="6:24">
      <c r="F297" s="415"/>
      <c r="G297" s="415"/>
      <c r="H297" s="415"/>
      <c r="I297" s="415"/>
      <c r="J297" s="415"/>
      <c r="K297" s="415"/>
      <c r="L297" s="415"/>
      <c r="M297" s="415"/>
      <c r="N297" s="415"/>
      <c r="O297" s="415"/>
      <c r="P297" s="412"/>
      <c r="Q297" s="382"/>
      <c r="R297" s="385"/>
      <c r="S297" s="385"/>
      <c r="T297" s="385"/>
      <c r="U297" s="407" t="s">
        <v>139</v>
      </c>
      <c r="V297" s="385" t="s">
        <v>139</v>
      </c>
      <c r="W297" s="380"/>
      <c r="X297" s="466"/>
    </row>
    <row r="298" spans="6:24">
      <c r="F298" s="415"/>
      <c r="G298" s="415"/>
      <c r="H298" s="415"/>
      <c r="I298" s="415"/>
      <c r="J298" s="415"/>
      <c r="K298" s="415"/>
      <c r="L298" s="415"/>
      <c r="M298" s="415"/>
      <c r="N298" s="415"/>
      <c r="O298" s="415"/>
      <c r="P298" s="412">
        <v>38</v>
      </c>
      <c r="Q298" s="382">
        <v>1</v>
      </c>
      <c r="R298" s="385" t="s">
        <v>539</v>
      </c>
      <c r="S298" s="382">
        <v>2</v>
      </c>
      <c r="T298" s="385" t="s">
        <v>539</v>
      </c>
      <c r="U298" s="407" t="s">
        <v>557</v>
      </c>
      <c r="V298" s="407" t="s">
        <v>588</v>
      </c>
      <c r="W298" s="380"/>
      <c r="X298" s="466"/>
    </row>
    <row r="299" spans="6:24">
      <c r="F299" s="415"/>
      <c r="G299" s="415"/>
      <c r="H299" s="415"/>
      <c r="I299" s="415"/>
      <c r="J299" s="415"/>
      <c r="K299" s="415"/>
      <c r="L299" s="415"/>
      <c r="M299" s="415"/>
      <c r="N299" s="415"/>
      <c r="O299" s="415"/>
      <c r="P299" s="412"/>
      <c r="Q299" s="382">
        <v>2</v>
      </c>
      <c r="R299" s="385" t="s">
        <v>540</v>
      </c>
      <c r="S299" s="382">
        <v>3</v>
      </c>
      <c r="T299" s="385" t="s">
        <v>540</v>
      </c>
      <c r="U299" s="407" t="s">
        <v>557</v>
      </c>
      <c r="V299" s="407" t="s">
        <v>588</v>
      </c>
      <c r="W299" s="380">
        <v>2003</v>
      </c>
      <c r="X299" s="466"/>
    </row>
    <row r="300" spans="6:24">
      <c r="F300" s="415"/>
      <c r="G300" s="415"/>
      <c r="H300" s="415"/>
      <c r="I300" s="415"/>
      <c r="J300" s="415"/>
      <c r="K300" s="415"/>
      <c r="L300" s="415"/>
      <c r="M300" s="415"/>
      <c r="N300" s="415"/>
      <c r="O300" s="415"/>
      <c r="P300" s="412"/>
      <c r="Q300" s="382">
        <v>3</v>
      </c>
      <c r="R300" s="385" t="s">
        <v>541</v>
      </c>
      <c r="S300" s="385">
        <v>5</v>
      </c>
      <c r="T300" s="385" t="s">
        <v>541</v>
      </c>
      <c r="U300" s="407" t="s">
        <v>557</v>
      </c>
      <c r="V300" s="407" t="s">
        <v>588</v>
      </c>
      <c r="W300" s="380"/>
      <c r="X300" s="466"/>
    </row>
    <row r="301" spans="6:24">
      <c r="F301" s="415"/>
      <c r="G301" s="415"/>
      <c r="H301" s="415"/>
      <c r="I301" s="415"/>
      <c r="J301" s="415"/>
      <c r="K301" s="415"/>
      <c r="L301" s="415"/>
      <c r="M301" s="415"/>
      <c r="N301" s="415"/>
      <c r="O301" s="415"/>
      <c r="P301" s="412"/>
      <c r="Q301" s="382">
        <v>4</v>
      </c>
      <c r="R301" s="385" t="s">
        <v>542</v>
      </c>
      <c r="S301" s="385">
        <v>6</v>
      </c>
      <c r="T301" s="385" t="s">
        <v>547</v>
      </c>
      <c r="U301" s="407" t="s">
        <v>557</v>
      </c>
      <c r="V301" s="407" t="s">
        <v>588</v>
      </c>
      <c r="W301" s="380">
        <v>2003</v>
      </c>
      <c r="X301" s="466"/>
    </row>
    <row r="302" spans="6:24">
      <c r="F302" s="415"/>
      <c r="G302" s="415"/>
      <c r="H302" s="415"/>
      <c r="I302" s="415"/>
      <c r="J302" s="415"/>
      <c r="K302" s="415"/>
      <c r="L302" s="415"/>
      <c r="M302" s="415"/>
      <c r="N302" s="415"/>
      <c r="O302" s="415"/>
      <c r="P302" s="412"/>
      <c r="Q302" s="382">
        <v>5</v>
      </c>
      <c r="R302" s="385" t="s">
        <v>543</v>
      </c>
      <c r="S302" s="385">
        <v>8</v>
      </c>
      <c r="T302" s="385" t="s">
        <v>543</v>
      </c>
      <c r="U302" s="407" t="s">
        <v>557</v>
      </c>
      <c r="V302" s="407" t="s">
        <v>588</v>
      </c>
      <c r="W302" s="380"/>
      <c r="X302" s="466"/>
    </row>
    <row r="303" spans="6:24">
      <c r="F303" s="415"/>
      <c r="G303" s="415"/>
      <c r="H303" s="415"/>
      <c r="I303" s="415"/>
      <c r="J303" s="415"/>
      <c r="K303" s="415"/>
      <c r="L303" s="415"/>
      <c r="M303" s="415"/>
      <c r="N303" s="415"/>
      <c r="O303" s="415"/>
      <c r="P303" s="412"/>
      <c r="Q303" s="382">
        <v>6</v>
      </c>
      <c r="R303" s="385" t="s">
        <v>544</v>
      </c>
      <c r="S303" s="385">
        <v>9</v>
      </c>
      <c r="T303" s="385" t="s">
        <v>544</v>
      </c>
      <c r="U303" s="407" t="s">
        <v>557</v>
      </c>
      <c r="V303" s="407" t="s">
        <v>588</v>
      </c>
      <c r="W303" s="380"/>
      <c r="X303" s="466"/>
    </row>
    <row r="304" spans="6:24">
      <c r="F304" s="415"/>
      <c r="G304" s="415"/>
      <c r="H304" s="415"/>
      <c r="I304" s="415"/>
      <c r="J304" s="415"/>
      <c r="K304" s="415"/>
      <c r="L304" s="415"/>
      <c r="M304" s="415"/>
      <c r="N304" s="415"/>
      <c r="O304" s="415"/>
      <c r="P304" s="412"/>
      <c r="Q304" s="382">
        <v>7</v>
      </c>
      <c r="R304" s="385" t="s">
        <v>545</v>
      </c>
      <c r="S304" s="385">
        <v>11</v>
      </c>
      <c r="T304" s="385" t="s">
        <v>545</v>
      </c>
      <c r="U304" s="407" t="s">
        <v>557</v>
      </c>
      <c r="V304" s="407" t="s">
        <v>588</v>
      </c>
      <c r="W304" s="380"/>
      <c r="X304" s="466"/>
    </row>
    <row r="305" spans="6:24">
      <c r="F305" s="415"/>
      <c r="G305" s="415"/>
      <c r="H305" s="415"/>
      <c r="I305" s="415"/>
      <c r="J305" s="415"/>
      <c r="K305" s="415"/>
      <c r="L305" s="415"/>
      <c r="M305" s="415"/>
      <c r="N305" s="415"/>
      <c r="O305" s="415"/>
      <c r="P305" s="412"/>
      <c r="Q305" s="382">
        <v>8</v>
      </c>
      <c r="R305" s="385" t="s">
        <v>546</v>
      </c>
      <c r="S305" s="385">
        <v>12</v>
      </c>
      <c r="T305" s="385" t="s">
        <v>546</v>
      </c>
      <c r="U305" s="407" t="s">
        <v>557</v>
      </c>
      <c r="V305" s="407" t="s">
        <v>588</v>
      </c>
      <c r="W305" s="380"/>
      <c r="X305" s="466"/>
    </row>
    <row r="306" spans="6:24">
      <c r="F306" s="415"/>
      <c r="G306" s="415"/>
      <c r="H306" s="415"/>
      <c r="I306" s="415"/>
      <c r="J306" s="415"/>
      <c r="K306" s="415"/>
      <c r="L306" s="415"/>
      <c r="M306" s="415"/>
      <c r="N306" s="415"/>
      <c r="O306" s="415"/>
      <c r="P306" s="412">
        <v>39</v>
      </c>
      <c r="Q306" s="382">
        <v>1</v>
      </c>
      <c r="R306" s="385" t="s">
        <v>548</v>
      </c>
      <c r="S306" s="382">
        <v>2</v>
      </c>
      <c r="T306" s="385" t="s">
        <v>548</v>
      </c>
      <c r="U306" s="407" t="s">
        <v>570</v>
      </c>
      <c r="V306" s="385" t="s">
        <v>624</v>
      </c>
      <c r="W306" s="380"/>
      <c r="X306" s="466"/>
    </row>
    <row r="307" spans="6:24">
      <c r="F307" s="415"/>
      <c r="G307" s="415"/>
      <c r="H307" s="415"/>
      <c r="I307" s="415"/>
      <c r="J307" s="415"/>
      <c r="K307" s="415"/>
      <c r="L307" s="415"/>
      <c r="M307" s="415"/>
      <c r="N307" s="415"/>
      <c r="O307" s="415"/>
      <c r="P307" s="412"/>
      <c r="Q307" s="382">
        <v>2</v>
      </c>
      <c r="R307" s="385" t="s">
        <v>549</v>
      </c>
      <c r="S307" s="382">
        <v>3</v>
      </c>
      <c r="T307" s="385" t="s">
        <v>549</v>
      </c>
      <c r="U307" s="407" t="s">
        <v>570</v>
      </c>
      <c r="V307" s="385" t="s">
        <v>624</v>
      </c>
      <c r="W307" s="380"/>
      <c r="X307" s="466"/>
    </row>
    <row r="308" spans="6:24">
      <c r="F308" s="415"/>
      <c r="G308" s="415"/>
      <c r="H308" s="415"/>
      <c r="I308" s="415"/>
      <c r="J308" s="415"/>
      <c r="K308" s="415"/>
      <c r="L308" s="415"/>
      <c r="M308" s="415"/>
      <c r="N308" s="415"/>
      <c r="O308" s="415"/>
      <c r="P308" s="412"/>
      <c r="Q308" s="382">
        <v>3</v>
      </c>
      <c r="R308" s="385" t="s">
        <v>550</v>
      </c>
      <c r="S308" s="385">
        <v>5</v>
      </c>
      <c r="T308" s="385" t="s">
        <v>550</v>
      </c>
      <c r="U308" s="407" t="s">
        <v>570</v>
      </c>
      <c r="V308" s="385" t="s">
        <v>624</v>
      </c>
      <c r="W308" s="380"/>
      <c r="X308" s="466"/>
    </row>
    <row r="309" spans="6:24">
      <c r="F309" s="415"/>
      <c r="G309" s="415"/>
      <c r="H309" s="415"/>
      <c r="I309" s="415"/>
      <c r="J309" s="415"/>
      <c r="K309" s="415"/>
      <c r="L309" s="415"/>
      <c r="M309" s="415"/>
      <c r="N309" s="415"/>
      <c r="O309" s="415"/>
      <c r="P309" s="412"/>
      <c r="Q309" s="382">
        <v>4</v>
      </c>
      <c r="R309" s="385" t="s">
        <v>551</v>
      </c>
      <c r="S309" s="385">
        <v>6</v>
      </c>
      <c r="T309" s="385" t="s">
        <v>551</v>
      </c>
      <c r="U309" s="407" t="s">
        <v>570</v>
      </c>
      <c r="V309" s="385" t="s">
        <v>624</v>
      </c>
      <c r="W309" s="380"/>
      <c r="X309" s="466"/>
    </row>
    <row r="310" spans="6:24">
      <c r="F310" s="415"/>
      <c r="G310" s="415"/>
      <c r="H310" s="415"/>
      <c r="I310" s="415"/>
      <c r="J310" s="415"/>
      <c r="K310" s="415"/>
      <c r="L310" s="415"/>
      <c r="M310" s="415"/>
      <c r="N310" s="415"/>
      <c r="O310" s="415"/>
      <c r="P310" s="412"/>
      <c r="Q310" s="382"/>
      <c r="R310" s="385"/>
      <c r="S310" s="385"/>
      <c r="T310" s="385"/>
      <c r="U310" s="407" t="s">
        <v>139</v>
      </c>
      <c r="V310" s="385" t="s">
        <v>139</v>
      </c>
      <c r="W310" s="380"/>
      <c r="X310" s="466"/>
    </row>
    <row r="311" spans="6:24">
      <c r="F311" s="415"/>
      <c r="G311" s="415"/>
      <c r="H311" s="415"/>
      <c r="I311" s="415"/>
      <c r="J311" s="415"/>
      <c r="K311" s="415"/>
      <c r="L311" s="415"/>
      <c r="M311" s="415"/>
      <c r="N311" s="415"/>
      <c r="O311" s="415"/>
      <c r="P311" s="412"/>
      <c r="Q311" s="382"/>
      <c r="R311" s="385"/>
      <c r="S311" s="385"/>
      <c r="T311" s="385"/>
      <c r="U311" s="407" t="s">
        <v>139</v>
      </c>
      <c r="V311" s="385" t="s">
        <v>139</v>
      </c>
      <c r="W311" s="380"/>
      <c r="X311" s="466"/>
    </row>
    <row r="312" spans="6:24">
      <c r="F312" s="415"/>
      <c r="G312" s="415"/>
      <c r="H312" s="415"/>
      <c r="I312" s="415"/>
      <c r="J312" s="415"/>
      <c r="K312" s="415"/>
      <c r="L312" s="415"/>
      <c r="M312" s="415"/>
      <c r="N312" s="415"/>
      <c r="O312" s="415"/>
      <c r="P312" s="412"/>
      <c r="Q312" s="382"/>
      <c r="R312" s="385"/>
      <c r="S312" s="385"/>
      <c r="T312" s="385"/>
      <c r="U312" s="407" t="s">
        <v>139</v>
      </c>
      <c r="V312" s="385" t="s">
        <v>139</v>
      </c>
      <c r="W312" s="380"/>
      <c r="X312" s="466"/>
    </row>
    <row r="313" spans="6:24">
      <c r="F313" s="415"/>
      <c r="G313" s="415"/>
      <c r="H313" s="415"/>
      <c r="I313" s="415"/>
      <c r="J313" s="415"/>
      <c r="K313" s="415"/>
      <c r="L313" s="415"/>
      <c r="M313" s="415"/>
      <c r="N313" s="415"/>
      <c r="O313" s="415"/>
      <c r="P313" s="470"/>
      <c r="Q313" s="383"/>
      <c r="R313" s="471"/>
      <c r="S313" s="471"/>
      <c r="T313" s="471"/>
      <c r="U313" s="472" t="s">
        <v>139</v>
      </c>
      <c r="V313" s="471" t="s">
        <v>139</v>
      </c>
      <c r="W313" s="473"/>
      <c r="X313" s="474"/>
    </row>
    <row r="314" spans="6:24">
      <c r="F314" s="415"/>
      <c r="G314" s="415"/>
      <c r="H314" s="415"/>
      <c r="I314" s="415"/>
      <c r="J314" s="415"/>
      <c r="K314" s="415"/>
      <c r="L314" s="415"/>
      <c r="M314" s="415"/>
      <c r="N314" s="415"/>
      <c r="O314" s="415"/>
      <c r="P314" s="415"/>
      <c r="Q314" s="415"/>
      <c r="R314" s="411"/>
      <c r="S314" s="411"/>
      <c r="T314" s="411"/>
      <c r="U314" s="424" t="s">
        <v>139</v>
      </c>
      <c r="V314" s="411" t="s">
        <v>139</v>
      </c>
    </row>
    <row r="315" spans="6:24">
      <c r="F315" s="415"/>
      <c r="G315" s="415"/>
      <c r="H315" s="415"/>
      <c r="I315" s="415"/>
      <c r="J315" s="415"/>
      <c r="K315" s="415"/>
      <c r="L315" s="415"/>
      <c r="M315" s="415"/>
      <c r="N315" s="415"/>
      <c r="O315" s="415"/>
      <c r="P315" s="415"/>
      <c r="Q315" s="415"/>
      <c r="R315" s="411"/>
      <c r="S315" s="411"/>
      <c r="T315" s="411"/>
      <c r="U315" s="424" t="s">
        <v>139</v>
      </c>
      <c r="V315" s="411" t="s">
        <v>139</v>
      </c>
    </row>
    <row r="316" spans="6:24">
      <c r="F316" s="415"/>
      <c r="G316" s="415"/>
      <c r="H316" s="415"/>
      <c r="I316" s="415"/>
      <c r="J316" s="415"/>
      <c r="K316" s="415"/>
      <c r="L316" s="415"/>
      <c r="M316" s="415"/>
      <c r="N316" s="415"/>
      <c r="O316" s="415"/>
      <c r="P316" s="415"/>
      <c r="Q316" s="415"/>
      <c r="R316" s="411"/>
      <c r="S316" s="411"/>
      <c r="T316" s="411"/>
      <c r="U316" s="424" t="s">
        <v>139</v>
      </c>
      <c r="V316" s="411" t="s">
        <v>139</v>
      </c>
    </row>
    <row r="317" spans="6:24">
      <c r="F317" s="415"/>
      <c r="G317" s="415"/>
      <c r="H317" s="415"/>
      <c r="I317" s="415"/>
      <c r="J317" s="415"/>
      <c r="K317" s="415"/>
      <c r="L317" s="415"/>
      <c r="M317" s="415"/>
      <c r="N317" s="415"/>
      <c r="O317" s="415"/>
      <c r="P317" s="415"/>
      <c r="Q317" s="415"/>
      <c r="R317" s="411"/>
      <c r="S317" s="411"/>
      <c r="T317" s="411"/>
      <c r="U317" s="424" t="s">
        <v>139</v>
      </c>
      <c r="V317" s="411" t="s">
        <v>139</v>
      </c>
    </row>
    <row r="318" spans="6:24">
      <c r="F318" s="415"/>
      <c r="G318" s="415"/>
      <c r="H318" s="415"/>
      <c r="I318" s="415"/>
      <c r="J318" s="415"/>
      <c r="K318" s="415"/>
      <c r="L318" s="415"/>
      <c r="M318" s="415"/>
      <c r="N318" s="415"/>
      <c r="O318" s="415"/>
      <c r="P318" s="415"/>
      <c r="Q318" s="415"/>
      <c r="R318" s="411"/>
      <c r="S318" s="411"/>
      <c r="T318" s="411"/>
      <c r="U318" s="424" t="s">
        <v>139</v>
      </c>
      <c r="V318" s="411" t="s">
        <v>139</v>
      </c>
    </row>
    <row r="319" spans="6:24">
      <c r="F319" s="415"/>
      <c r="G319" s="415"/>
      <c r="H319" s="415"/>
      <c r="I319" s="415"/>
      <c r="J319" s="415"/>
      <c r="K319" s="415"/>
      <c r="L319" s="415"/>
      <c r="M319" s="415"/>
      <c r="N319" s="415"/>
      <c r="O319" s="415"/>
      <c r="P319" s="415"/>
      <c r="Q319" s="415"/>
      <c r="R319" s="411"/>
      <c r="S319" s="411"/>
      <c r="T319" s="411"/>
      <c r="U319" s="424" t="s">
        <v>139</v>
      </c>
      <c r="V319" s="411" t="s">
        <v>139</v>
      </c>
    </row>
    <row r="320" spans="6:24">
      <c r="F320" s="415"/>
      <c r="G320" s="415"/>
      <c r="H320" s="415"/>
      <c r="I320" s="415"/>
      <c r="J320" s="415"/>
      <c r="K320" s="415"/>
      <c r="L320" s="415"/>
      <c r="M320" s="415"/>
      <c r="N320" s="415"/>
      <c r="O320" s="415"/>
      <c r="P320" s="415"/>
      <c r="Q320" s="415"/>
      <c r="R320" s="411"/>
      <c r="S320" s="411"/>
      <c r="T320" s="411"/>
      <c r="U320" s="424" t="s">
        <v>139</v>
      </c>
      <c r="V320" s="411" t="s">
        <v>139</v>
      </c>
    </row>
    <row r="321" spans="6:22">
      <c r="F321" s="415"/>
      <c r="G321" s="415"/>
      <c r="H321" s="415"/>
      <c r="I321" s="415"/>
      <c r="J321" s="415"/>
      <c r="K321" s="415"/>
      <c r="L321" s="415"/>
      <c r="M321" s="415"/>
      <c r="N321" s="415"/>
      <c r="O321" s="415"/>
      <c r="P321" s="415"/>
      <c r="Q321" s="415"/>
      <c r="R321" s="411"/>
      <c r="S321" s="411"/>
      <c r="T321" s="411"/>
      <c r="U321" s="424" t="s">
        <v>139</v>
      </c>
      <c r="V321" s="411" t="s">
        <v>139</v>
      </c>
    </row>
    <row r="322" spans="6:22">
      <c r="F322" s="415"/>
      <c r="G322" s="415"/>
      <c r="H322" s="415"/>
      <c r="I322" s="415"/>
      <c r="J322" s="415"/>
      <c r="K322" s="415"/>
      <c r="L322" s="415"/>
      <c r="M322" s="415"/>
      <c r="N322" s="415"/>
      <c r="O322" s="415"/>
      <c r="P322" s="415"/>
      <c r="Q322" s="415"/>
      <c r="R322" s="411"/>
      <c r="S322" s="411"/>
      <c r="T322" s="411"/>
      <c r="U322" s="424" t="s">
        <v>139</v>
      </c>
      <c r="V322" s="411" t="s">
        <v>139</v>
      </c>
    </row>
    <row r="323" spans="6:22">
      <c r="F323" s="415"/>
      <c r="G323" s="415"/>
      <c r="H323" s="415"/>
      <c r="I323" s="415"/>
      <c r="J323" s="415"/>
      <c r="K323" s="415"/>
      <c r="L323" s="415"/>
      <c r="M323" s="415"/>
      <c r="N323" s="415"/>
      <c r="O323" s="415"/>
      <c r="P323" s="415"/>
      <c r="Q323" s="415"/>
      <c r="R323" s="411"/>
      <c r="S323" s="411"/>
      <c r="T323" s="411"/>
      <c r="U323" s="424" t="s">
        <v>139</v>
      </c>
      <c r="V323" s="411" t="s">
        <v>139</v>
      </c>
    </row>
    <row r="324" spans="6:22">
      <c r="F324" s="415"/>
      <c r="G324" s="415"/>
      <c r="H324" s="415"/>
      <c r="I324" s="415"/>
      <c r="J324" s="415"/>
      <c r="K324" s="415"/>
      <c r="L324" s="415"/>
      <c r="M324" s="415"/>
      <c r="N324" s="415"/>
      <c r="O324" s="415"/>
      <c r="P324" s="415"/>
      <c r="Q324" s="415"/>
      <c r="R324" s="411"/>
      <c r="S324" s="411"/>
      <c r="T324" s="411"/>
      <c r="U324" s="424" t="s">
        <v>139</v>
      </c>
      <c r="V324" s="411" t="s">
        <v>139</v>
      </c>
    </row>
    <row r="325" spans="6:22">
      <c r="F325" s="415"/>
      <c r="G325" s="415"/>
      <c r="H325" s="415"/>
      <c r="I325" s="415"/>
      <c r="J325" s="415"/>
      <c r="K325" s="415"/>
      <c r="L325" s="415"/>
      <c r="M325" s="415"/>
      <c r="N325" s="415"/>
      <c r="O325" s="415"/>
      <c r="P325" s="415"/>
      <c r="Q325" s="415"/>
      <c r="R325" s="411"/>
      <c r="S325" s="411"/>
      <c r="T325" s="411"/>
      <c r="U325" s="424" t="s">
        <v>139</v>
      </c>
      <c r="V325" s="411" t="s">
        <v>139</v>
      </c>
    </row>
    <row r="326" spans="6:22">
      <c r="F326" s="415"/>
      <c r="G326" s="415"/>
      <c r="H326" s="415"/>
      <c r="I326" s="415"/>
      <c r="J326" s="415"/>
      <c r="K326" s="415"/>
      <c r="L326" s="415"/>
      <c r="M326" s="415"/>
      <c r="N326" s="415"/>
      <c r="O326" s="415"/>
      <c r="P326" s="415"/>
      <c r="Q326" s="415"/>
      <c r="R326" s="411"/>
      <c r="S326" s="411"/>
      <c r="T326" s="411"/>
      <c r="U326" s="424" t="s">
        <v>139</v>
      </c>
      <c r="V326" s="411" t="s">
        <v>139</v>
      </c>
    </row>
    <row r="327" spans="6:22">
      <c r="F327" s="415"/>
      <c r="G327" s="415"/>
      <c r="H327" s="415"/>
      <c r="I327" s="415"/>
      <c r="J327" s="415"/>
      <c r="K327" s="415"/>
      <c r="L327" s="415"/>
      <c r="M327" s="415"/>
      <c r="N327" s="415"/>
      <c r="O327" s="415"/>
      <c r="P327" s="415"/>
      <c r="Q327" s="415"/>
      <c r="R327" s="411"/>
      <c r="S327" s="411"/>
      <c r="T327" s="411"/>
      <c r="U327" s="424" t="s">
        <v>139</v>
      </c>
      <c r="V327" s="411" t="s">
        <v>139</v>
      </c>
    </row>
    <row r="328" spans="6:22">
      <c r="F328" s="415"/>
      <c r="G328" s="415"/>
      <c r="H328" s="415"/>
      <c r="I328" s="415"/>
      <c r="J328" s="415"/>
      <c r="K328" s="415"/>
      <c r="L328" s="415"/>
      <c r="M328" s="415"/>
      <c r="N328" s="415"/>
      <c r="O328" s="415"/>
      <c r="P328" s="415"/>
      <c r="Q328" s="415"/>
      <c r="R328" s="411"/>
      <c r="S328" s="411"/>
      <c r="T328" s="411"/>
      <c r="U328" s="424" t="s">
        <v>139</v>
      </c>
      <c r="V328" s="411" t="s">
        <v>139</v>
      </c>
    </row>
    <row r="329" spans="6:22">
      <c r="F329" s="415"/>
      <c r="G329" s="415"/>
      <c r="H329" s="415"/>
      <c r="I329" s="415"/>
      <c r="J329" s="415"/>
      <c r="K329" s="415"/>
      <c r="L329" s="415"/>
      <c r="M329" s="415"/>
      <c r="N329" s="415"/>
      <c r="O329" s="415"/>
      <c r="P329" s="415"/>
      <c r="Q329" s="415"/>
      <c r="R329" s="411"/>
      <c r="S329" s="411"/>
      <c r="T329" s="411"/>
      <c r="U329" s="424" t="s">
        <v>139</v>
      </c>
      <c r="V329" s="411" t="s">
        <v>139</v>
      </c>
    </row>
    <row r="330" spans="6:22">
      <c r="F330" s="415"/>
      <c r="G330" s="415"/>
      <c r="H330" s="415"/>
      <c r="I330" s="415"/>
      <c r="J330" s="415"/>
      <c r="K330" s="415"/>
      <c r="L330" s="415"/>
      <c r="M330" s="415"/>
      <c r="N330" s="415"/>
      <c r="O330" s="415"/>
      <c r="P330" s="415"/>
      <c r="Q330" s="415"/>
      <c r="R330" s="411"/>
      <c r="S330" s="411"/>
      <c r="T330" s="411"/>
      <c r="U330" s="424" t="s">
        <v>139</v>
      </c>
      <c r="V330" s="411" t="s">
        <v>139</v>
      </c>
    </row>
    <row r="331" spans="6:22">
      <c r="F331" s="415"/>
      <c r="G331" s="415"/>
      <c r="H331" s="415"/>
      <c r="I331" s="415"/>
      <c r="J331" s="415"/>
      <c r="K331" s="415"/>
      <c r="L331" s="415"/>
      <c r="M331" s="415"/>
      <c r="N331" s="415"/>
      <c r="O331" s="415"/>
      <c r="P331" s="415"/>
      <c r="Q331" s="415"/>
      <c r="R331" s="411"/>
      <c r="S331" s="411"/>
      <c r="T331" s="411"/>
      <c r="U331" s="424" t="s">
        <v>139</v>
      </c>
      <c r="V331" s="411" t="s">
        <v>139</v>
      </c>
    </row>
    <row r="332" spans="6:22">
      <c r="F332" s="415"/>
      <c r="G332" s="415"/>
      <c r="H332" s="415"/>
      <c r="I332" s="415"/>
      <c r="J332" s="415"/>
      <c r="K332" s="415"/>
      <c r="L332" s="415"/>
      <c r="M332" s="415"/>
      <c r="N332" s="415"/>
      <c r="O332" s="415"/>
      <c r="P332" s="415"/>
      <c r="Q332" s="415"/>
      <c r="R332" s="411"/>
      <c r="S332" s="411"/>
      <c r="T332" s="411"/>
      <c r="U332" s="424" t="s">
        <v>139</v>
      </c>
      <c r="V332" s="411" t="s">
        <v>139</v>
      </c>
    </row>
    <row r="333" spans="6:22">
      <c r="F333" s="415"/>
      <c r="G333" s="415"/>
      <c r="H333" s="415"/>
      <c r="I333" s="415"/>
      <c r="J333" s="415"/>
      <c r="K333" s="415"/>
      <c r="L333" s="415"/>
      <c r="M333" s="415"/>
      <c r="N333" s="415"/>
      <c r="O333" s="415"/>
      <c r="P333" s="415"/>
      <c r="Q333" s="415"/>
      <c r="R333" s="411"/>
      <c r="S333" s="411"/>
      <c r="T333" s="411"/>
      <c r="U333" s="424" t="s">
        <v>139</v>
      </c>
      <c r="V333" s="411" t="s">
        <v>139</v>
      </c>
    </row>
    <row r="334" spans="6:22">
      <c r="F334" s="415"/>
      <c r="G334" s="415"/>
      <c r="H334" s="415"/>
      <c r="I334" s="415"/>
      <c r="J334" s="415"/>
      <c r="K334" s="415"/>
      <c r="L334" s="415"/>
      <c r="M334" s="415"/>
      <c r="N334" s="415"/>
      <c r="O334" s="415"/>
      <c r="P334" s="415"/>
      <c r="Q334" s="415"/>
      <c r="R334" s="411"/>
      <c r="S334" s="411"/>
      <c r="T334" s="411"/>
      <c r="U334" s="424" t="s">
        <v>139</v>
      </c>
      <c r="V334" s="411" t="s">
        <v>139</v>
      </c>
    </row>
    <row r="335" spans="6:22">
      <c r="F335" s="415"/>
      <c r="G335" s="415"/>
      <c r="H335" s="415"/>
      <c r="I335" s="415"/>
      <c r="J335" s="415"/>
      <c r="K335" s="415"/>
      <c r="L335" s="415"/>
      <c r="M335" s="415"/>
      <c r="N335" s="415"/>
      <c r="O335" s="415"/>
      <c r="P335" s="415"/>
      <c r="Q335" s="415"/>
      <c r="R335" s="411"/>
      <c r="S335" s="411"/>
      <c r="T335" s="411"/>
      <c r="U335" s="424" t="s">
        <v>139</v>
      </c>
      <c r="V335" s="411" t="s">
        <v>139</v>
      </c>
    </row>
    <row r="336" spans="6:22">
      <c r="F336" s="415"/>
      <c r="G336" s="415"/>
      <c r="H336" s="415"/>
      <c r="I336" s="415"/>
      <c r="J336" s="415"/>
      <c r="K336" s="415"/>
      <c r="L336" s="415"/>
      <c r="M336" s="415"/>
      <c r="N336" s="415"/>
      <c r="O336" s="415"/>
      <c r="P336" s="415"/>
      <c r="Q336" s="415"/>
      <c r="R336" s="411"/>
      <c r="S336" s="411"/>
      <c r="T336" s="411"/>
      <c r="U336" s="424" t="s">
        <v>139</v>
      </c>
      <c r="V336" s="411" t="s">
        <v>139</v>
      </c>
    </row>
    <row r="337" spans="6:22">
      <c r="F337" s="415"/>
      <c r="G337" s="415"/>
      <c r="H337" s="415"/>
      <c r="I337" s="415"/>
      <c r="J337" s="415"/>
      <c r="K337" s="415"/>
      <c r="L337" s="415"/>
      <c r="M337" s="415"/>
      <c r="N337" s="415"/>
      <c r="O337" s="415"/>
      <c r="P337" s="415"/>
      <c r="Q337" s="415"/>
      <c r="R337" s="411"/>
      <c r="S337" s="411"/>
      <c r="T337" s="411"/>
      <c r="U337" s="424" t="s">
        <v>139</v>
      </c>
      <c r="V337" s="411" t="s">
        <v>139</v>
      </c>
    </row>
    <row r="338" spans="6:22">
      <c r="F338" s="415"/>
      <c r="G338" s="415"/>
      <c r="H338" s="415"/>
      <c r="I338" s="415"/>
      <c r="J338" s="415"/>
      <c r="K338" s="415"/>
      <c r="L338" s="415"/>
      <c r="M338" s="415"/>
      <c r="N338" s="415"/>
      <c r="O338" s="415"/>
      <c r="P338" s="415"/>
      <c r="Q338" s="415"/>
      <c r="R338" s="411"/>
      <c r="S338" s="411"/>
      <c r="T338" s="411"/>
      <c r="U338" s="424" t="s">
        <v>139</v>
      </c>
      <c r="V338" s="411" t="s">
        <v>139</v>
      </c>
    </row>
    <row r="339" spans="6:22">
      <c r="F339" s="415"/>
      <c r="G339" s="415"/>
      <c r="H339" s="415"/>
      <c r="I339" s="415"/>
      <c r="J339" s="415"/>
      <c r="K339" s="415"/>
      <c r="L339" s="415"/>
      <c r="M339" s="415"/>
      <c r="N339" s="415"/>
      <c r="O339" s="415"/>
      <c r="P339" s="415"/>
      <c r="Q339" s="415"/>
      <c r="R339" s="411"/>
      <c r="S339" s="411"/>
      <c r="T339" s="411"/>
      <c r="U339" s="424" t="s">
        <v>139</v>
      </c>
      <c r="V339" s="411" t="s">
        <v>139</v>
      </c>
    </row>
    <row r="340" spans="6:22">
      <c r="F340" s="415"/>
      <c r="G340" s="415"/>
      <c r="H340" s="415"/>
      <c r="I340" s="415"/>
      <c r="J340" s="415"/>
      <c r="K340" s="415"/>
      <c r="L340" s="415"/>
      <c r="M340" s="415"/>
      <c r="N340" s="415"/>
      <c r="O340" s="415"/>
      <c r="P340" s="415"/>
      <c r="Q340" s="415"/>
      <c r="R340" s="411"/>
      <c r="S340" s="411"/>
      <c r="T340" s="411"/>
      <c r="U340" s="424" t="s">
        <v>139</v>
      </c>
      <c r="V340" s="411" t="s">
        <v>139</v>
      </c>
    </row>
    <row r="341" spans="6:22">
      <c r="F341" s="415"/>
      <c r="G341" s="415"/>
      <c r="H341" s="415"/>
      <c r="I341" s="415"/>
      <c r="J341" s="415"/>
      <c r="K341" s="415"/>
      <c r="L341" s="415"/>
      <c r="M341" s="415"/>
      <c r="N341" s="415"/>
      <c r="O341" s="415"/>
      <c r="P341" s="415"/>
      <c r="Q341" s="415"/>
      <c r="R341" s="411"/>
      <c r="S341" s="411"/>
      <c r="T341" s="411"/>
      <c r="U341" s="424" t="s">
        <v>139</v>
      </c>
      <c r="V341" s="411" t="s">
        <v>139</v>
      </c>
    </row>
    <row r="342" spans="6:22">
      <c r="F342" s="415"/>
      <c r="G342" s="415"/>
      <c r="H342" s="415"/>
      <c r="I342" s="415"/>
      <c r="J342" s="415"/>
      <c r="K342" s="415"/>
      <c r="L342" s="415"/>
      <c r="M342" s="415"/>
      <c r="N342" s="415"/>
      <c r="O342" s="415"/>
      <c r="P342" s="415"/>
      <c r="Q342" s="415"/>
      <c r="R342" s="411"/>
      <c r="S342" s="411"/>
      <c r="T342" s="411"/>
      <c r="U342" s="424" t="s">
        <v>139</v>
      </c>
      <c r="V342" s="411" t="s">
        <v>139</v>
      </c>
    </row>
    <row r="343" spans="6:22">
      <c r="F343" s="415"/>
      <c r="G343" s="415"/>
      <c r="H343" s="415"/>
      <c r="I343" s="415"/>
      <c r="J343" s="415"/>
      <c r="K343" s="415"/>
      <c r="L343" s="415"/>
      <c r="M343" s="415"/>
      <c r="N343" s="415"/>
      <c r="O343" s="415"/>
      <c r="P343" s="415"/>
      <c r="Q343" s="415"/>
      <c r="R343" s="411"/>
      <c r="S343" s="411"/>
      <c r="T343" s="411"/>
      <c r="U343" s="424" t="s">
        <v>139</v>
      </c>
      <c r="V343" s="411" t="s">
        <v>139</v>
      </c>
    </row>
    <row r="344" spans="6:22">
      <c r="F344" s="415"/>
      <c r="G344" s="415"/>
      <c r="H344" s="415"/>
      <c r="I344" s="415"/>
      <c r="J344" s="415"/>
      <c r="K344" s="415"/>
      <c r="L344" s="415"/>
      <c r="M344" s="415"/>
      <c r="N344" s="415"/>
      <c r="O344" s="415"/>
      <c r="P344" s="415"/>
      <c r="Q344" s="415"/>
      <c r="R344" s="411"/>
      <c r="S344" s="411"/>
      <c r="T344" s="411"/>
      <c r="U344" s="424" t="s">
        <v>139</v>
      </c>
      <c r="V344" s="411" t="s">
        <v>139</v>
      </c>
    </row>
    <row r="345" spans="6:22">
      <c r="F345" s="415"/>
      <c r="G345" s="415"/>
      <c r="H345" s="415"/>
      <c r="I345" s="415"/>
      <c r="J345" s="415"/>
      <c r="K345" s="415"/>
      <c r="L345" s="415"/>
      <c r="M345" s="415"/>
      <c r="N345" s="415"/>
      <c r="O345" s="415"/>
      <c r="P345" s="415"/>
      <c r="Q345" s="415"/>
      <c r="R345" s="411"/>
      <c r="S345" s="411"/>
      <c r="T345" s="411"/>
      <c r="U345" s="424" t="s">
        <v>139</v>
      </c>
      <c r="V345" s="411" t="s">
        <v>139</v>
      </c>
    </row>
    <row r="346" spans="6:22">
      <c r="F346" s="415"/>
      <c r="G346" s="415"/>
      <c r="H346" s="415"/>
      <c r="I346" s="415"/>
      <c r="J346" s="415"/>
      <c r="K346" s="415"/>
      <c r="L346" s="415"/>
      <c r="M346" s="415"/>
      <c r="N346" s="415"/>
      <c r="O346" s="415"/>
      <c r="P346" s="415"/>
      <c r="Q346" s="415"/>
      <c r="R346" s="411"/>
      <c r="S346" s="411"/>
      <c r="T346" s="411"/>
      <c r="U346" s="424" t="s">
        <v>139</v>
      </c>
      <c r="V346" s="411" t="s">
        <v>139</v>
      </c>
    </row>
    <row r="347" spans="6:22">
      <c r="F347" s="415"/>
      <c r="G347" s="415"/>
      <c r="H347" s="415"/>
      <c r="I347" s="415"/>
      <c r="J347" s="415"/>
      <c r="K347" s="415"/>
      <c r="L347" s="415"/>
      <c r="M347" s="415"/>
      <c r="N347" s="415"/>
      <c r="O347" s="415"/>
      <c r="P347" s="415"/>
      <c r="Q347" s="415"/>
      <c r="R347" s="411"/>
      <c r="S347" s="411"/>
      <c r="T347" s="411"/>
      <c r="U347" s="424" t="s">
        <v>139</v>
      </c>
      <c r="V347" s="411" t="s">
        <v>139</v>
      </c>
    </row>
    <row r="348" spans="6:22">
      <c r="F348" s="415"/>
      <c r="G348" s="415"/>
      <c r="H348" s="415"/>
      <c r="I348" s="415"/>
      <c r="J348" s="415"/>
      <c r="K348" s="415"/>
      <c r="L348" s="415"/>
      <c r="M348" s="415"/>
      <c r="N348" s="415"/>
      <c r="O348" s="415"/>
      <c r="P348" s="415"/>
      <c r="Q348" s="415"/>
      <c r="R348" s="411"/>
      <c r="S348" s="411"/>
      <c r="T348" s="411"/>
      <c r="U348" s="424" t="s">
        <v>139</v>
      </c>
      <c r="V348" s="415"/>
    </row>
    <row r="349" spans="6:22">
      <c r="F349" s="415"/>
      <c r="G349" s="415"/>
      <c r="H349" s="415"/>
      <c r="I349" s="415"/>
      <c r="J349" s="415"/>
      <c r="K349" s="415"/>
      <c r="L349" s="415"/>
      <c r="M349" s="415"/>
      <c r="N349" s="415"/>
      <c r="O349" s="415"/>
      <c r="P349" s="415"/>
      <c r="Q349" s="415"/>
      <c r="R349" s="411"/>
      <c r="S349" s="411"/>
      <c r="T349" s="411"/>
      <c r="U349" s="424" t="s">
        <v>139</v>
      </c>
      <c r="V349" s="415"/>
    </row>
    <row r="350" spans="6:22">
      <c r="F350" s="415"/>
      <c r="G350" s="415"/>
      <c r="H350" s="415"/>
      <c r="I350" s="415"/>
      <c r="J350" s="415"/>
      <c r="K350" s="415"/>
      <c r="L350" s="415"/>
      <c r="M350" s="415"/>
      <c r="N350" s="415"/>
      <c r="O350" s="415"/>
      <c r="P350" s="415"/>
      <c r="Q350" s="415"/>
      <c r="R350" s="411"/>
      <c r="S350" s="411"/>
      <c r="T350" s="411"/>
      <c r="U350" s="424" t="s">
        <v>139</v>
      </c>
      <c r="V350" s="415"/>
    </row>
    <row r="351" spans="6:22">
      <c r="F351" s="415"/>
      <c r="G351" s="415"/>
      <c r="H351" s="415"/>
      <c r="I351" s="415"/>
      <c r="J351" s="415"/>
      <c r="K351" s="415"/>
      <c r="L351" s="415"/>
      <c r="M351" s="415"/>
      <c r="N351" s="415"/>
      <c r="O351" s="415"/>
      <c r="P351" s="415"/>
      <c r="Q351" s="415"/>
      <c r="R351" s="411"/>
      <c r="S351" s="411"/>
      <c r="T351" s="411"/>
      <c r="U351" s="424" t="s">
        <v>139</v>
      </c>
      <c r="V351" s="415"/>
    </row>
    <row r="352" spans="6:22">
      <c r="F352" s="415"/>
      <c r="G352" s="415"/>
      <c r="H352" s="415"/>
      <c r="I352" s="415"/>
      <c r="J352" s="415"/>
      <c r="K352" s="415"/>
      <c r="L352" s="415"/>
      <c r="M352" s="415"/>
      <c r="N352" s="415"/>
      <c r="O352" s="415"/>
      <c r="P352" s="415"/>
      <c r="Q352" s="415"/>
      <c r="R352" s="411"/>
      <c r="S352" s="411"/>
      <c r="T352" s="411"/>
      <c r="U352" s="424" t="s">
        <v>139</v>
      </c>
      <c r="V352" s="415"/>
    </row>
    <row r="353" spans="6:22">
      <c r="F353" s="415"/>
      <c r="G353" s="415"/>
      <c r="H353" s="415"/>
      <c r="I353" s="415"/>
      <c r="J353" s="415"/>
      <c r="K353" s="415"/>
      <c r="L353" s="415"/>
      <c r="M353" s="415"/>
      <c r="N353" s="415"/>
      <c r="O353" s="415"/>
      <c r="P353" s="415"/>
      <c r="Q353" s="415"/>
      <c r="R353" s="411"/>
      <c r="S353" s="411"/>
      <c r="T353" s="411"/>
      <c r="U353" s="424" t="s">
        <v>139</v>
      </c>
      <c r="V353" s="415"/>
    </row>
    <row r="354" spans="6:22">
      <c r="F354" s="415"/>
      <c r="G354" s="415"/>
      <c r="H354" s="415"/>
      <c r="I354" s="415"/>
      <c r="J354" s="415"/>
      <c r="K354" s="415"/>
      <c r="L354" s="415"/>
      <c r="M354" s="415"/>
      <c r="N354" s="415"/>
      <c r="O354" s="415"/>
      <c r="P354" s="415"/>
      <c r="Q354" s="415"/>
      <c r="R354" s="411"/>
      <c r="S354" s="411"/>
      <c r="T354" s="411"/>
      <c r="U354" s="424" t="s">
        <v>139</v>
      </c>
      <c r="V354" s="415"/>
    </row>
    <row r="355" spans="6:22">
      <c r="F355" s="415"/>
      <c r="G355" s="415"/>
      <c r="H355" s="415"/>
      <c r="I355" s="415"/>
      <c r="J355" s="415"/>
      <c r="K355" s="415"/>
      <c r="L355" s="415"/>
      <c r="M355" s="415"/>
      <c r="N355" s="415"/>
      <c r="O355" s="415"/>
      <c r="P355" s="415"/>
      <c r="Q355" s="415"/>
      <c r="R355" s="411"/>
      <c r="S355" s="411"/>
      <c r="T355" s="411"/>
      <c r="U355" s="424" t="s">
        <v>139</v>
      </c>
      <c r="V355" s="415"/>
    </row>
    <row r="356" spans="6:22">
      <c r="F356" s="415"/>
      <c r="G356" s="415"/>
      <c r="H356" s="415"/>
      <c r="I356" s="415"/>
      <c r="J356" s="415"/>
      <c r="K356" s="415"/>
      <c r="L356" s="415"/>
      <c r="M356" s="415"/>
      <c r="N356" s="415"/>
      <c r="O356" s="415"/>
      <c r="P356" s="415"/>
      <c r="Q356" s="415"/>
      <c r="R356" s="411"/>
      <c r="S356" s="411"/>
      <c r="T356" s="411"/>
      <c r="U356" s="424" t="s">
        <v>139</v>
      </c>
      <c r="V356" s="415"/>
    </row>
    <row r="357" spans="6:22">
      <c r="F357" s="415"/>
      <c r="G357" s="415"/>
      <c r="H357" s="415"/>
      <c r="I357" s="415"/>
      <c r="J357" s="415"/>
      <c r="K357" s="415"/>
      <c r="L357" s="415"/>
      <c r="M357" s="415"/>
      <c r="N357" s="415"/>
      <c r="O357" s="415"/>
      <c r="P357" s="415"/>
      <c r="Q357" s="415"/>
      <c r="R357" s="411"/>
      <c r="S357" s="411"/>
      <c r="T357" s="411"/>
      <c r="U357" s="424" t="s">
        <v>139</v>
      </c>
      <c r="V357" s="415"/>
    </row>
    <row r="358" spans="6:22">
      <c r="F358" s="415"/>
      <c r="G358" s="415"/>
      <c r="H358" s="415"/>
      <c r="I358" s="415"/>
      <c r="J358" s="415"/>
      <c r="K358" s="415"/>
      <c r="L358" s="415"/>
      <c r="M358" s="415"/>
      <c r="N358" s="415"/>
      <c r="O358" s="415"/>
      <c r="P358" s="415"/>
      <c r="Q358" s="415"/>
      <c r="R358" s="411"/>
      <c r="S358" s="411"/>
      <c r="T358" s="411"/>
      <c r="U358" s="424" t="s">
        <v>139</v>
      </c>
      <c r="V358" s="415"/>
    </row>
    <row r="359" spans="6:22">
      <c r="F359" s="415"/>
      <c r="G359" s="415"/>
      <c r="H359" s="415"/>
      <c r="I359" s="415"/>
      <c r="J359" s="415"/>
      <c r="K359" s="415"/>
      <c r="L359" s="415"/>
      <c r="M359" s="415"/>
      <c r="N359" s="415"/>
      <c r="O359" s="415"/>
      <c r="P359" s="415"/>
      <c r="Q359" s="415"/>
      <c r="R359" s="411"/>
      <c r="S359" s="411"/>
      <c r="T359" s="411"/>
      <c r="U359" s="424" t="s">
        <v>139</v>
      </c>
      <c r="V359" s="415"/>
    </row>
    <row r="360" spans="6:22">
      <c r="F360" s="415"/>
      <c r="G360" s="415"/>
      <c r="H360" s="415"/>
      <c r="I360" s="415"/>
      <c r="J360" s="415"/>
      <c r="K360" s="415"/>
      <c r="L360" s="415"/>
      <c r="M360" s="415"/>
      <c r="N360" s="415"/>
      <c r="O360" s="415"/>
      <c r="P360" s="415"/>
      <c r="Q360" s="415"/>
      <c r="R360" s="411"/>
      <c r="S360" s="411"/>
      <c r="T360" s="411"/>
      <c r="U360" s="424" t="s">
        <v>139</v>
      </c>
      <c r="V360" s="415"/>
    </row>
    <row r="361" spans="6:22">
      <c r="F361" s="415"/>
      <c r="G361" s="415"/>
      <c r="H361" s="415"/>
      <c r="I361" s="415"/>
      <c r="J361" s="415"/>
      <c r="K361" s="415"/>
      <c r="L361" s="415"/>
      <c r="M361" s="415"/>
      <c r="N361" s="415"/>
      <c r="O361" s="415"/>
      <c r="P361" s="415"/>
      <c r="Q361" s="415"/>
      <c r="R361" s="411"/>
      <c r="S361" s="411"/>
      <c r="T361" s="411"/>
      <c r="U361" s="424" t="s">
        <v>139</v>
      </c>
      <c r="V361" s="415"/>
    </row>
    <row r="362" spans="6:22">
      <c r="F362" s="415"/>
      <c r="G362" s="415"/>
      <c r="H362" s="415"/>
      <c r="I362" s="415"/>
      <c r="J362" s="415"/>
      <c r="K362" s="415"/>
      <c r="L362" s="415"/>
      <c r="M362" s="415"/>
      <c r="N362" s="415"/>
      <c r="O362" s="415"/>
      <c r="P362" s="415"/>
      <c r="Q362" s="415"/>
      <c r="R362" s="411"/>
      <c r="S362" s="411"/>
      <c r="T362" s="411"/>
      <c r="U362" s="424" t="s">
        <v>139</v>
      </c>
      <c r="V362" s="415"/>
    </row>
    <row r="363" spans="6:22">
      <c r="F363" s="415"/>
      <c r="G363" s="415"/>
      <c r="H363" s="415"/>
      <c r="I363" s="415"/>
      <c r="J363" s="415"/>
      <c r="K363" s="415"/>
      <c r="L363" s="415"/>
      <c r="M363" s="415"/>
      <c r="N363" s="415"/>
      <c r="O363" s="415"/>
      <c r="P363" s="415"/>
      <c r="Q363" s="415"/>
      <c r="R363" s="411"/>
      <c r="S363" s="411"/>
      <c r="T363" s="411"/>
      <c r="U363" s="424" t="s">
        <v>139</v>
      </c>
      <c r="V363" s="415"/>
    </row>
    <row r="364" spans="6:22">
      <c r="F364" s="415"/>
      <c r="G364" s="415"/>
      <c r="H364" s="415"/>
      <c r="I364" s="415"/>
      <c r="J364" s="415"/>
      <c r="K364" s="415"/>
      <c r="L364" s="415"/>
      <c r="M364" s="415"/>
      <c r="N364" s="415"/>
      <c r="O364" s="415"/>
      <c r="P364" s="415"/>
      <c r="Q364" s="415"/>
      <c r="R364" s="411"/>
      <c r="S364" s="411"/>
      <c r="T364" s="411"/>
      <c r="U364" s="424" t="s">
        <v>139</v>
      </c>
      <c r="V364" s="415"/>
    </row>
    <row r="365" spans="6:22">
      <c r="F365" s="415"/>
      <c r="G365" s="415"/>
      <c r="H365" s="415"/>
      <c r="I365" s="415"/>
      <c r="J365" s="415"/>
      <c r="K365" s="415"/>
      <c r="L365" s="415"/>
      <c r="M365" s="415"/>
      <c r="N365" s="415"/>
      <c r="O365" s="415"/>
      <c r="P365" s="415"/>
      <c r="Q365" s="415"/>
      <c r="R365" s="411"/>
      <c r="S365" s="411"/>
      <c r="T365" s="411"/>
      <c r="U365" s="424" t="s">
        <v>139</v>
      </c>
      <c r="V365" s="415"/>
    </row>
    <row r="366" spans="6:22">
      <c r="F366" s="415"/>
      <c r="G366" s="415"/>
      <c r="H366" s="415"/>
      <c r="I366" s="415"/>
      <c r="J366" s="415"/>
      <c r="K366" s="415"/>
      <c r="L366" s="415"/>
      <c r="M366" s="415"/>
      <c r="N366" s="415"/>
      <c r="O366" s="415"/>
      <c r="P366" s="415"/>
      <c r="Q366" s="415"/>
      <c r="R366" s="411"/>
      <c r="S366" s="411"/>
      <c r="T366" s="411"/>
      <c r="U366" s="424" t="s">
        <v>139</v>
      </c>
      <c r="V366" s="415"/>
    </row>
    <row r="367" spans="6:22">
      <c r="F367" s="415"/>
      <c r="G367" s="415"/>
      <c r="H367" s="415"/>
      <c r="I367" s="415"/>
      <c r="J367" s="415"/>
      <c r="K367" s="415"/>
      <c r="L367" s="415"/>
      <c r="M367" s="415"/>
      <c r="N367" s="415"/>
      <c r="O367" s="415"/>
      <c r="P367" s="415"/>
      <c r="Q367" s="415"/>
      <c r="R367" s="411"/>
      <c r="S367" s="411"/>
      <c r="T367" s="411"/>
      <c r="U367" s="424" t="s">
        <v>139</v>
      </c>
      <c r="V367" s="415"/>
    </row>
    <row r="368" spans="6:22">
      <c r="F368" s="415"/>
      <c r="G368" s="415"/>
      <c r="H368" s="415"/>
      <c r="I368" s="415"/>
      <c r="J368" s="415"/>
      <c r="K368" s="415"/>
      <c r="L368" s="415"/>
      <c r="M368" s="415"/>
      <c r="N368" s="415"/>
      <c r="O368" s="415"/>
      <c r="P368" s="415"/>
      <c r="Q368" s="415"/>
      <c r="R368" s="411"/>
      <c r="S368" s="411"/>
      <c r="T368" s="411"/>
      <c r="U368" s="424" t="s">
        <v>139</v>
      </c>
      <c r="V368" s="415"/>
    </row>
    <row r="369" spans="6:22">
      <c r="F369" s="415"/>
      <c r="G369" s="415"/>
      <c r="H369" s="415"/>
      <c r="I369" s="415"/>
      <c r="J369" s="415"/>
      <c r="K369" s="415"/>
      <c r="L369" s="415"/>
      <c r="M369" s="415"/>
      <c r="N369" s="415"/>
      <c r="O369" s="415"/>
      <c r="P369" s="415"/>
      <c r="Q369" s="415"/>
      <c r="R369" s="411"/>
      <c r="S369" s="411"/>
      <c r="T369" s="411"/>
      <c r="U369" s="424" t="s">
        <v>139</v>
      </c>
      <c r="V369" s="415"/>
    </row>
    <row r="370" spans="6:22">
      <c r="F370" s="415"/>
      <c r="G370" s="415"/>
      <c r="H370" s="415"/>
      <c r="I370" s="415"/>
      <c r="J370" s="415"/>
      <c r="K370" s="415"/>
      <c r="L370" s="415"/>
      <c r="M370" s="415"/>
      <c r="N370" s="415"/>
      <c r="O370" s="415"/>
      <c r="P370" s="415"/>
      <c r="Q370" s="415"/>
      <c r="R370" s="411"/>
      <c r="S370" s="411"/>
      <c r="T370" s="411"/>
      <c r="U370" s="424" t="s">
        <v>139</v>
      </c>
      <c r="V370" s="415"/>
    </row>
    <row r="371" spans="6:22">
      <c r="F371" s="415"/>
      <c r="G371" s="415"/>
      <c r="H371" s="415"/>
      <c r="I371" s="415"/>
      <c r="J371" s="415"/>
      <c r="K371" s="415"/>
      <c r="L371" s="415"/>
      <c r="M371" s="415"/>
      <c r="N371" s="415"/>
      <c r="O371" s="415"/>
      <c r="P371" s="415"/>
      <c r="Q371" s="415"/>
      <c r="R371" s="411"/>
      <c r="S371" s="411"/>
      <c r="T371" s="411"/>
      <c r="U371" s="424" t="s">
        <v>139</v>
      </c>
      <c r="V371" s="415"/>
    </row>
    <row r="372" spans="6:22">
      <c r="F372" s="415"/>
      <c r="G372" s="415"/>
      <c r="H372" s="415"/>
      <c r="I372" s="415"/>
      <c r="J372" s="415"/>
      <c r="K372" s="415"/>
      <c r="L372" s="415"/>
      <c r="M372" s="415"/>
      <c r="N372" s="415"/>
      <c r="O372" s="415"/>
      <c r="P372" s="415"/>
      <c r="Q372" s="415"/>
      <c r="R372" s="411"/>
      <c r="S372" s="411"/>
      <c r="T372" s="411"/>
      <c r="U372" s="424" t="s">
        <v>139</v>
      </c>
      <c r="V372" s="415"/>
    </row>
    <row r="373" spans="6:22">
      <c r="F373" s="415"/>
      <c r="G373" s="415"/>
      <c r="H373" s="415"/>
      <c r="I373" s="415"/>
      <c r="J373" s="415"/>
      <c r="K373" s="415"/>
      <c r="L373" s="415"/>
      <c r="M373" s="415"/>
      <c r="N373" s="415"/>
      <c r="O373" s="415"/>
      <c r="P373" s="415"/>
      <c r="Q373" s="415"/>
      <c r="R373" s="411"/>
      <c r="S373" s="411"/>
      <c r="T373" s="411"/>
      <c r="U373" s="424" t="s">
        <v>139</v>
      </c>
      <c r="V373" s="415"/>
    </row>
    <row r="374" spans="6:22">
      <c r="F374" s="415"/>
      <c r="G374" s="415"/>
      <c r="H374" s="415"/>
      <c r="I374" s="415"/>
      <c r="J374" s="415"/>
      <c r="K374" s="415"/>
      <c r="L374" s="415"/>
      <c r="M374" s="415"/>
      <c r="N374" s="415"/>
      <c r="O374" s="415"/>
      <c r="P374" s="415"/>
      <c r="Q374" s="415"/>
      <c r="R374" s="411"/>
      <c r="S374" s="411"/>
      <c r="T374" s="411"/>
      <c r="U374" s="424" t="s">
        <v>139</v>
      </c>
      <c r="V374" s="415"/>
    </row>
    <row r="375" spans="6:22">
      <c r="F375" s="415"/>
      <c r="G375" s="415"/>
      <c r="H375" s="415"/>
      <c r="I375" s="415"/>
      <c r="J375" s="415"/>
      <c r="K375" s="415"/>
      <c r="L375" s="415"/>
      <c r="M375" s="415"/>
      <c r="N375" s="415"/>
      <c r="O375" s="415"/>
      <c r="P375" s="415"/>
      <c r="Q375" s="415"/>
      <c r="R375" s="411"/>
      <c r="S375" s="411"/>
      <c r="T375" s="411"/>
      <c r="U375" s="424" t="s">
        <v>139</v>
      </c>
      <c r="V375" s="415"/>
    </row>
    <row r="376" spans="6:22">
      <c r="F376" s="415"/>
      <c r="G376" s="415"/>
      <c r="H376" s="415"/>
      <c r="I376" s="415"/>
      <c r="J376" s="415"/>
      <c r="K376" s="415"/>
      <c r="L376" s="415"/>
      <c r="M376" s="415"/>
      <c r="N376" s="415"/>
      <c r="O376" s="415"/>
      <c r="P376" s="415"/>
      <c r="Q376" s="415"/>
      <c r="R376" s="411"/>
      <c r="S376" s="411"/>
      <c r="T376" s="411"/>
      <c r="U376" s="424" t="s">
        <v>139</v>
      </c>
      <c r="V376" s="415"/>
    </row>
    <row r="377" spans="6:22">
      <c r="F377" s="415"/>
      <c r="G377" s="415"/>
      <c r="H377" s="415"/>
      <c r="I377" s="415"/>
      <c r="J377" s="415"/>
      <c r="K377" s="415"/>
      <c r="L377" s="415"/>
      <c r="M377" s="415"/>
      <c r="N377" s="415"/>
      <c r="O377" s="415"/>
      <c r="P377" s="415"/>
      <c r="Q377" s="415"/>
      <c r="R377" s="411"/>
      <c r="S377" s="411"/>
      <c r="T377" s="411"/>
      <c r="U377" s="424" t="s">
        <v>139</v>
      </c>
      <c r="V377" s="415"/>
    </row>
    <row r="378" spans="6:22">
      <c r="F378" s="415"/>
      <c r="G378" s="415"/>
      <c r="H378" s="415"/>
      <c r="I378" s="415"/>
      <c r="J378" s="415"/>
      <c r="K378" s="415"/>
      <c r="L378" s="415"/>
      <c r="M378" s="415"/>
      <c r="N378" s="415"/>
      <c r="O378" s="415"/>
      <c r="P378" s="415"/>
      <c r="Q378" s="415"/>
      <c r="R378" s="411"/>
      <c r="S378" s="411"/>
      <c r="T378" s="411"/>
      <c r="U378" s="424" t="s">
        <v>139</v>
      </c>
      <c r="V378" s="415"/>
    </row>
    <row r="379" spans="6:22">
      <c r="F379" s="415"/>
      <c r="G379" s="415"/>
      <c r="H379" s="415"/>
      <c r="I379" s="415"/>
      <c r="J379" s="415"/>
      <c r="K379" s="415"/>
      <c r="L379" s="415"/>
      <c r="M379" s="415"/>
      <c r="N379" s="415"/>
      <c r="O379" s="415"/>
      <c r="P379" s="415"/>
      <c r="Q379" s="415"/>
      <c r="R379" s="411"/>
      <c r="S379" s="411"/>
      <c r="T379" s="411"/>
      <c r="U379" s="424" t="s">
        <v>139</v>
      </c>
      <c r="V379" s="415"/>
    </row>
    <row r="380" spans="6:22">
      <c r="F380" s="415"/>
      <c r="G380" s="415"/>
      <c r="H380" s="415"/>
      <c r="I380" s="415"/>
      <c r="J380" s="415"/>
      <c r="K380" s="415"/>
      <c r="L380" s="415"/>
      <c r="M380" s="415"/>
      <c r="N380" s="415"/>
      <c r="O380" s="415"/>
      <c r="P380" s="415"/>
      <c r="Q380" s="415"/>
      <c r="R380" s="411"/>
      <c r="S380" s="411"/>
      <c r="T380" s="411"/>
      <c r="U380" s="424" t="s">
        <v>139</v>
      </c>
      <c r="V380" s="415"/>
    </row>
    <row r="381" spans="6:22">
      <c r="F381" s="415"/>
      <c r="G381" s="415"/>
      <c r="H381" s="415"/>
      <c r="I381" s="415"/>
      <c r="J381" s="415"/>
      <c r="K381" s="415"/>
      <c r="L381" s="415"/>
      <c r="M381" s="415"/>
      <c r="N381" s="415"/>
      <c r="O381" s="415"/>
      <c r="P381" s="415"/>
      <c r="Q381" s="415"/>
      <c r="R381" s="411"/>
      <c r="S381" s="411"/>
      <c r="T381" s="411"/>
      <c r="U381" s="424" t="s">
        <v>139</v>
      </c>
      <c r="V381" s="415"/>
    </row>
    <row r="382" spans="6:22">
      <c r="F382" s="415"/>
      <c r="G382" s="415"/>
      <c r="H382" s="415"/>
      <c r="I382" s="415"/>
      <c r="J382" s="415"/>
      <c r="K382" s="415"/>
      <c r="L382" s="415"/>
      <c r="M382" s="415"/>
      <c r="N382" s="415"/>
      <c r="O382" s="415"/>
      <c r="P382" s="415"/>
      <c r="Q382" s="415"/>
      <c r="R382" s="411"/>
      <c r="S382" s="411"/>
      <c r="T382" s="411"/>
      <c r="U382" s="424" t="s">
        <v>139</v>
      </c>
      <c r="V382" s="415"/>
    </row>
    <row r="383" spans="6:22">
      <c r="F383" s="415"/>
      <c r="G383" s="415"/>
      <c r="H383" s="415"/>
      <c r="I383" s="415"/>
      <c r="J383" s="415"/>
      <c r="K383" s="415"/>
      <c r="L383" s="415"/>
      <c r="M383" s="415"/>
      <c r="N383" s="415"/>
      <c r="O383" s="415"/>
      <c r="P383" s="415"/>
      <c r="Q383" s="415"/>
      <c r="R383" s="411"/>
      <c r="S383" s="411"/>
      <c r="T383" s="411"/>
      <c r="U383" s="424" t="s">
        <v>139</v>
      </c>
      <c r="V383" s="415"/>
    </row>
    <row r="384" spans="6:22">
      <c r="F384" s="415"/>
      <c r="G384" s="415"/>
      <c r="H384" s="415"/>
      <c r="I384" s="415"/>
      <c r="J384" s="415"/>
      <c r="K384" s="415"/>
      <c r="L384" s="415"/>
      <c r="M384" s="415"/>
      <c r="N384" s="415"/>
      <c r="O384" s="415"/>
      <c r="P384" s="415"/>
      <c r="Q384" s="415"/>
      <c r="R384" s="411"/>
      <c r="S384" s="411"/>
      <c r="T384" s="411"/>
      <c r="U384" s="424" t="s">
        <v>139</v>
      </c>
      <c r="V384" s="415"/>
    </row>
    <row r="385" spans="6:22">
      <c r="F385" s="415"/>
      <c r="G385" s="415"/>
      <c r="H385" s="415"/>
      <c r="I385" s="415"/>
      <c r="J385" s="415"/>
      <c r="K385" s="415"/>
      <c r="L385" s="415"/>
      <c r="M385" s="415"/>
      <c r="N385" s="415"/>
      <c r="O385" s="415"/>
      <c r="P385" s="415"/>
      <c r="Q385" s="415"/>
      <c r="R385" s="411"/>
      <c r="S385" s="411"/>
      <c r="T385" s="411"/>
      <c r="U385" s="424" t="s">
        <v>139</v>
      </c>
      <c r="V385" s="415"/>
    </row>
    <row r="386" spans="6:22">
      <c r="F386" s="415"/>
      <c r="G386" s="415"/>
      <c r="H386" s="415"/>
      <c r="I386" s="415"/>
      <c r="J386" s="415"/>
      <c r="K386" s="415"/>
      <c r="L386" s="415"/>
      <c r="M386" s="415"/>
      <c r="N386" s="415"/>
      <c r="O386" s="415"/>
      <c r="P386" s="415"/>
      <c r="Q386" s="415"/>
      <c r="R386" s="411"/>
      <c r="S386" s="411"/>
      <c r="T386" s="411"/>
      <c r="U386" s="424" t="s">
        <v>139</v>
      </c>
      <c r="V386" s="415"/>
    </row>
    <row r="387" spans="6:22">
      <c r="F387" s="415"/>
      <c r="G387" s="415"/>
      <c r="H387" s="415"/>
      <c r="I387" s="415"/>
      <c r="J387" s="415"/>
      <c r="K387" s="415"/>
      <c r="L387" s="415"/>
      <c r="M387" s="415"/>
      <c r="N387" s="415"/>
      <c r="O387" s="415"/>
      <c r="P387" s="415"/>
      <c r="Q387" s="415"/>
      <c r="R387" s="411"/>
      <c r="S387" s="411"/>
      <c r="T387" s="411"/>
      <c r="U387" s="424" t="s">
        <v>139</v>
      </c>
      <c r="V387" s="415"/>
    </row>
    <row r="388" spans="6:22">
      <c r="F388" s="415"/>
      <c r="G388" s="415"/>
      <c r="H388" s="415"/>
      <c r="I388" s="415"/>
      <c r="J388" s="415"/>
      <c r="K388" s="415"/>
      <c r="L388" s="415"/>
      <c r="M388" s="415"/>
      <c r="N388" s="415"/>
      <c r="O388" s="415"/>
      <c r="P388" s="415"/>
      <c r="Q388" s="415"/>
      <c r="R388" s="411"/>
      <c r="S388" s="411"/>
      <c r="T388" s="411"/>
      <c r="U388" s="424" t="s">
        <v>139</v>
      </c>
      <c r="V388" s="415"/>
    </row>
    <row r="389" spans="6:22">
      <c r="F389" s="415"/>
      <c r="G389" s="415"/>
      <c r="H389" s="415"/>
      <c r="I389" s="415"/>
      <c r="J389" s="415"/>
      <c r="K389" s="415"/>
      <c r="L389" s="415"/>
      <c r="M389" s="415"/>
      <c r="N389" s="415"/>
      <c r="O389" s="415"/>
      <c r="P389" s="415"/>
      <c r="Q389" s="415"/>
      <c r="R389" s="411"/>
      <c r="S389" s="411"/>
      <c r="T389" s="411"/>
      <c r="U389" s="424" t="s">
        <v>139</v>
      </c>
      <c r="V389" s="415"/>
    </row>
    <row r="390" spans="6:22">
      <c r="F390" s="415"/>
      <c r="G390" s="415"/>
      <c r="H390" s="415"/>
      <c r="I390" s="415"/>
      <c r="J390" s="415"/>
      <c r="K390" s="415"/>
      <c r="L390" s="415"/>
      <c r="M390" s="415"/>
      <c r="N390" s="415"/>
      <c r="O390" s="415"/>
      <c r="P390" s="415"/>
      <c r="Q390" s="415"/>
      <c r="R390" s="411"/>
      <c r="S390" s="411"/>
      <c r="T390" s="411"/>
      <c r="U390" s="424" t="s">
        <v>139</v>
      </c>
      <c r="V390" s="415"/>
    </row>
    <row r="391" spans="6:22">
      <c r="F391" s="415"/>
      <c r="G391" s="415"/>
      <c r="H391" s="415"/>
      <c r="I391" s="415"/>
      <c r="J391" s="415"/>
      <c r="K391" s="415"/>
      <c r="L391" s="415"/>
      <c r="M391" s="415"/>
      <c r="N391" s="415"/>
      <c r="O391" s="415"/>
      <c r="P391" s="415"/>
      <c r="Q391" s="415"/>
      <c r="R391" s="411"/>
      <c r="S391" s="411"/>
      <c r="T391" s="411"/>
      <c r="U391" s="424" t="s">
        <v>139</v>
      </c>
      <c r="V391" s="415"/>
    </row>
    <row r="392" spans="6:22">
      <c r="F392" s="415"/>
      <c r="G392" s="415"/>
      <c r="H392" s="415"/>
      <c r="I392" s="415"/>
      <c r="J392" s="415"/>
      <c r="K392" s="415"/>
      <c r="L392" s="415"/>
      <c r="M392" s="415"/>
      <c r="N392" s="415"/>
      <c r="O392" s="415"/>
      <c r="P392" s="415"/>
      <c r="Q392" s="415"/>
      <c r="R392" s="411"/>
      <c r="S392" s="411"/>
      <c r="T392" s="411"/>
      <c r="U392" s="424" t="s">
        <v>139</v>
      </c>
      <c r="V392" s="415"/>
    </row>
    <row r="393" spans="6:22">
      <c r="F393" s="415"/>
      <c r="G393" s="415"/>
      <c r="H393" s="415"/>
      <c r="I393" s="415"/>
      <c r="J393" s="415"/>
      <c r="K393" s="415"/>
      <c r="L393" s="415"/>
      <c r="M393" s="415"/>
      <c r="N393" s="415"/>
      <c r="O393" s="415"/>
      <c r="P393" s="415"/>
      <c r="Q393" s="415"/>
      <c r="R393" s="411"/>
      <c r="S393" s="411"/>
      <c r="T393" s="411"/>
      <c r="U393" s="424" t="s">
        <v>139</v>
      </c>
      <c r="V393" s="415"/>
    </row>
    <row r="394" spans="6:22">
      <c r="F394" s="415"/>
      <c r="G394" s="415"/>
      <c r="H394" s="415"/>
      <c r="I394" s="415"/>
      <c r="J394" s="415"/>
      <c r="K394" s="415"/>
      <c r="L394" s="415"/>
      <c r="M394" s="415"/>
      <c r="N394" s="415"/>
      <c r="O394" s="415"/>
      <c r="P394" s="415"/>
      <c r="Q394" s="415"/>
      <c r="R394" s="411"/>
      <c r="S394" s="411"/>
      <c r="T394" s="411"/>
      <c r="U394" s="424" t="s">
        <v>139</v>
      </c>
      <c r="V394" s="415"/>
    </row>
    <row r="395" spans="6:22">
      <c r="F395" s="415"/>
      <c r="G395" s="415"/>
      <c r="H395" s="415"/>
      <c r="I395" s="415"/>
      <c r="J395" s="415"/>
      <c r="K395" s="415"/>
      <c r="L395" s="415"/>
      <c r="M395" s="415"/>
      <c r="N395" s="415"/>
      <c r="O395" s="415"/>
      <c r="P395" s="415"/>
      <c r="Q395" s="415"/>
      <c r="R395" s="411"/>
      <c r="S395" s="411"/>
      <c r="T395" s="411"/>
      <c r="U395" s="424" t="s">
        <v>139</v>
      </c>
      <c r="V395" s="415"/>
    </row>
    <row r="396" spans="6:22">
      <c r="F396" s="415"/>
      <c r="G396" s="415"/>
      <c r="H396" s="415"/>
      <c r="I396" s="415"/>
      <c r="J396" s="415"/>
      <c r="K396" s="415"/>
      <c r="L396" s="415"/>
      <c r="M396" s="415"/>
      <c r="N396" s="415"/>
      <c r="O396" s="415"/>
      <c r="P396" s="415"/>
      <c r="Q396" s="415"/>
      <c r="R396" s="411"/>
      <c r="S396" s="411"/>
      <c r="T396" s="411"/>
      <c r="U396" s="424" t="s">
        <v>139</v>
      </c>
      <c r="V396" s="415"/>
    </row>
    <row r="397" spans="6:22">
      <c r="F397" s="415"/>
      <c r="G397" s="415"/>
      <c r="H397" s="415"/>
      <c r="I397" s="415"/>
      <c r="J397" s="415"/>
      <c r="K397" s="415"/>
      <c r="L397" s="415"/>
      <c r="M397" s="415"/>
      <c r="N397" s="415"/>
      <c r="O397" s="415"/>
      <c r="P397" s="415"/>
      <c r="Q397" s="415"/>
      <c r="R397" s="411"/>
      <c r="S397" s="411"/>
      <c r="T397" s="411"/>
      <c r="U397" s="424" t="s">
        <v>139</v>
      </c>
      <c r="V397" s="415"/>
    </row>
    <row r="398" spans="6:22">
      <c r="F398" s="415"/>
      <c r="G398" s="415"/>
      <c r="H398" s="415"/>
      <c r="I398" s="415"/>
      <c r="J398" s="415"/>
      <c r="K398" s="415"/>
      <c r="L398" s="415"/>
      <c r="M398" s="415"/>
      <c r="N398" s="415"/>
      <c r="O398" s="415"/>
      <c r="P398" s="415"/>
      <c r="Q398" s="415"/>
      <c r="R398" s="411"/>
      <c r="S398" s="411"/>
      <c r="T398" s="411"/>
      <c r="U398" s="424" t="s">
        <v>139</v>
      </c>
      <c r="V398" s="415"/>
    </row>
    <row r="399" spans="6:22">
      <c r="F399" s="415"/>
      <c r="G399" s="415"/>
      <c r="H399" s="415"/>
      <c r="I399" s="415"/>
      <c r="J399" s="415"/>
      <c r="K399" s="415"/>
      <c r="L399" s="415"/>
      <c r="M399" s="415"/>
      <c r="N399" s="415"/>
      <c r="O399" s="415"/>
      <c r="P399" s="415"/>
      <c r="Q399" s="415"/>
      <c r="R399" s="411"/>
      <c r="S399" s="411"/>
      <c r="T399" s="411"/>
      <c r="U399" s="424" t="s">
        <v>139</v>
      </c>
      <c r="V399" s="415"/>
    </row>
    <row r="400" spans="6:22">
      <c r="F400" s="415"/>
      <c r="G400" s="415"/>
      <c r="H400" s="415"/>
      <c r="I400" s="415"/>
      <c r="J400" s="415"/>
      <c r="K400" s="415"/>
      <c r="L400" s="415"/>
      <c r="M400" s="415"/>
      <c r="N400" s="415"/>
      <c r="O400" s="415"/>
      <c r="P400" s="415"/>
      <c r="Q400" s="415"/>
      <c r="R400" s="411"/>
      <c r="S400" s="411"/>
      <c r="T400" s="411"/>
      <c r="U400" s="424" t="s">
        <v>139</v>
      </c>
      <c r="V400" s="415"/>
    </row>
    <row r="401" spans="6:22">
      <c r="F401" s="415"/>
      <c r="G401" s="415"/>
      <c r="H401" s="415"/>
      <c r="I401" s="415"/>
      <c r="J401" s="415"/>
      <c r="K401" s="415"/>
      <c r="L401" s="415"/>
      <c r="M401" s="415"/>
      <c r="N401" s="415"/>
      <c r="O401" s="415"/>
      <c r="P401" s="415"/>
      <c r="Q401" s="415"/>
      <c r="R401" s="411"/>
      <c r="S401" s="411"/>
      <c r="T401" s="411"/>
      <c r="U401" s="424" t="s">
        <v>139</v>
      </c>
      <c r="V401" s="415"/>
    </row>
    <row r="402" spans="6:22">
      <c r="F402" s="415"/>
      <c r="G402" s="415"/>
      <c r="H402" s="415"/>
      <c r="I402" s="415"/>
      <c r="J402" s="415"/>
      <c r="K402" s="415"/>
      <c r="L402" s="415"/>
      <c r="M402" s="415"/>
      <c r="N402" s="415"/>
      <c r="O402" s="415"/>
      <c r="P402" s="415"/>
      <c r="Q402" s="415"/>
      <c r="R402" s="411"/>
      <c r="S402" s="411"/>
      <c r="T402" s="411"/>
      <c r="U402" s="424" t="s">
        <v>139</v>
      </c>
      <c r="V402" s="415"/>
    </row>
    <row r="403" spans="6:22">
      <c r="F403" s="415"/>
      <c r="G403" s="415"/>
      <c r="H403" s="415"/>
      <c r="I403" s="415"/>
      <c r="J403" s="415"/>
      <c r="K403" s="415"/>
      <c r="L403" s="415"/>
      <c r="M403" s="415"/>
      <c r="N403" s="415"/>
      <c r="O403" s="415"/>
      <c r="P403" s="415"/>
      <c r="Q403" s="415"/>
      <c r="R403" s="411"/>
      <c r="S403" s="411"/>
      <c r="T403" s="411"/>
      <c r="U403" s="424" t="s">
        <v>139</v>
      </c>
      <c r="V403" s="415"/>
    </row>
    <row r="404" spans="6:22">
      <c r="F404" s="415"/>
      <c r="G404" s="415"/>
      <c r="H404" s="415"/>
      <c r="I404" s="415"/>
      <c r="J404" s="415"/>
      <c r="K404" s="415"/>
      <c r="L404" s="415"/>
      <c r="M404" s="415"/>
      <c r="N404" s="415"/>
      <c r="O404" s="415"/>
      <c r="P404" s="415"/>
      <c r="Q404" s="415"/>
      <c r="R404" s="411"/>
      <c r="S404" s="411"/>
      <c r="T404" s="411"/>
      <c r="U404" s="424" t="s">
        <v>139</v>
      </c>
      <c r="V404" s="415"/>
    </row>
    <row r="405" spans="6:22">
      <c r="F405" s="415"/>
      <c r="G405" s="415"/>
      <c r="H405" s="415"/>
      <c r="I405" s="415"/>
      <c r="J405" s="415"/>
      <c r="K405" s="415"/>
      <c r="L405" s="415"/>
      <c r="M405" s="415"/>
      <c r="N405" s="415"/>
      <c r="O405" s="415"/>
      <c r="P405" s="415"/>
      <c r="Q405" s="415"/>
      <c r="R405" s="411"/>
      <c r="S405" s="411"/>
      <c r="T405" s="411"/>
      <c r="U405" s="424" t="s">
        <v>139</v>
      </c>
      <c r="V405" s="415"/>
    </row>
    <row r="406" spans="6:22">
      <c r="F406" s="415"/>
      <c r="G406" s="415"/>
      <c r="H406" s="415"/>
      <c r="I406" s="415"/>
      <c r="J406" s="415"/>
      <c r="K406" s="415"/>
      <c r="L406" s="415"/>
      <c r="M406" s="415"/>
      <c r="N406" s="415"/>
      <c r="O406" s="415"/>
      <c r="P406" s="415"/>
      <c r="Q406" s="415"/>
      <c r="R406" s="411"/>
      <c r="S406" s="411"/>
      <c r="T406" s="411"/>
      <c r="U406" s="424" t="s">
        <v>139</v>
      </c>
      <c r="V406" s="415"/>
    </row>
    <row r="407" spans="6:22">
      <c r="F407" s="415"/>
      <c r="G407" s="415"/>
      <c r="H407" s="415"/>
      <c r="I407" s="415"/>
      <c r="J407" s="415"/>
      <c r="K407" s="415"/>
      <c r="L407" s="415"/>
      <c r="M407" s="415"/>
      <c r="N407" s="415"/>
      <c r="O407" s="415"/>
      <c r="P407" s="415"/>
      <c r="Q407" s="415"/>
      <c r="R407" s="411"/>
      <c r="S407" s="411"/>
      <c r="T407" s="411"/>
      <c r="U407" s="424" t="s">
        <v>139</v>
      </c>
      <c r="V407" s="415"/>
    </row>
    <row r="408" spans="6:22">
      <c r="F408" s="415"/>
      <c r="G408" s="415"/>
      <c r="H408" s="415"/>
      <c r="I408" s="415"/>
      <c r="J408" s="415"/>
      <c r="K408" s="415"/>
      <c r="L408" s="415"/>
      <c r="M408" s="415"/>
      <c r="N408" s="415"/>
      <c r="O408" s="415"/>
      <c r="P408" s="415"/>
      <c r="Q408" s="415"/>
      <c r="R408" s="411"/>
      <c r="S408" s="411"/>
      <c r="T408" s="411"/>
      <c r="U408" s="424" t="s">
        <v>139</v>
      </c>
      <c r="V408" s="415"/>
    </row>
    <row r="409" spans="6:22">
      <c r="F409" s="415"/>
      <c r="G409" s="415"/>
      <c r="H409" s="415"/>
      <c r="I409" s="415"/>
      <c r="J409" s="415"/>
      <c r="K409" s="415"/>
      <c r="L409" s="415"/>
      <c r="M409" s="415"/>
      <c r="N409" s="415"/>
      <c r="O409" s="415"/>
      <c r="P409" s="415"/>
      <c r="Q409" s="415"/>
      <c r="R409" s="411"/>
      <c r="S409" s="411"/>
      <c r="T409" s="411"/>
      <c r="U409" s="424" t="s">
        <v>139</v>
      </c>
      <c r="V409" s="415"/>
    </row>
    <row r="410" spans="6:22">
      <c r="F410" s="415"/>
      <c r="G410" s="415"/>
      <c r="H410" s="415"/>
      <c r="I410" s="415"/>
      <c r="J410" s="415"/>
      <c r="K410" s="415"/>
      <c r="L410" s="415"/>
      <c r="M410" s="415"/>
      <c r="N410" s="415"/>
      <c r="O410" s="415"/>
      <c r="P410" s="415"/>
      <c r="Q410" s="415"/>
      <c r="R410" s="411"/>
      <c r="S410" s="411"/>
      <c r="T410" s="411"/>
      <c r="U410" s="424" t="s">
        <v>139</v>
      </c>
      <c r="V410" s="415"/>
    </row>
    <row r="411" spans="6:22">
      <c r="F411" s="415"/>
      <c r="G411" s="415"/>
      <c r="H411" s="415"/>
      <c r="I411" s="415"/>
      <c r="J411" s="415"/>
      <c r="K411" s="415"/>
      <c r="L411" s="415"/>
      <c r="M411" s="415"/>
      <c r="N411" s="415"/>
      <c r="O411" s="415"/>
      <c r="P411" s="415"/>
      <c r="Q411" s="415"/>
      <c r="R411" s="411"/>
      <c r="S411" s="411"/>
      <c r="T411" s="411"/>
      <c r="U411" s="424" t="s">
        <v>139</v>
      </c>
      <c r="V411" s="415"/>
    </row>
    <row r="412" spans="6:22">
      <c r="F412" s="415"/>
      <c r="G412" s="415"/>
      <c r="H412" s="415"/>
      <c r="I412" s="415"/>
      <c r="J412" s="415"/>
      <c r="K412" s="415"/>
      <c r="L412" s="415"/>
      <c r="M412" s="415"/>
      <c r="N412" s="415"/>
      <c r="O412" s="415"/>
      <c r="P412" s="415"/>
      <c r="Q412" s="415"/>
      <c r="R412" s="411"/>
      <c r="S412" s="411"/>
      <c r="T412" s="411"/>
      <c r="U412" s="424" t="s">
        <v>139</v>
      </c>
      <c r="V412" s="415"/>
    </row>
    <row r="413" spans="6:22">
      <c r="F413" s="415"/>
      <c r="G413" s="415"/>
      <c r="H413" s="415"/>
      <c r="I413" s="415"/>
      <c r="J413" s="415"/>
      <c r="K413" s="415"/>
      <c r="L413" s="415"/>
      <c r="M413" s="415"/>
      <c r="N413" s="415"/>
      <c r="O413" s="415"/>
      <c r="P413" s="415"/>
      <c r="Q413" s="415"/>
      <c r="R413" s="411"/>
      <c r="S413" s="411"/>
      <c r="T413" s="411"/>
      <c r="U413" s="424" t="s">
        <v>139</v>
      </c>
      <c r="V413" s="415"/>
    </row>
    <row r="414" spans="6:22">
      <c r="F414" s="415"/>
      <c r="G414" s="415"/>
      <c r="H414" s="415"/>
      <c r="I414" s="415"/>
      <c r="J414" s="415"/>
      <c r="K414" s="415"/>
      <c r="L414" s="415"/>
      <c r="M414" s="415"/>
      <c r="N414" s="415"/>
      <c r="O414" s="415"/>
      <c r="P414" s="415"/>
      <c r="Q414" s="415"/>
      <c r="R414" s="411"/>
      <c r="S414" s="411"/>
      <c r="T414" s="411"/>
      <c r="U414" s="424" t="s">
        <v>139</v>
      </c>
      <c r="V414" s="415"/>
    </row>
    <row r="415" spans="6:22">
      <c r="F415" s="415"/>
      <c r="G415" s="415"/>
      <c r="H415" s="415"/>
      <c r="I415" s="415"/>
      <c r="J415" s="415"/>
      <c r="K415" s="415"/>
      <c r="L415" s="415"/>
      <c r="M415" s="415"/>
      <c r="N415" s="415"/>
      <c r="O415" s="415"/>
      <c r="P415" s="415"/>
      <c r="Q415" s="415"/>
      <c r="R415" s="411"/>
      <c r="S415" s="411"/>
      <c r="T415" s="411"/>
      <c r="U415" s="424" t="s">
        <v>139</v>
      </c>
      <c r="V415" s="415"/>
    </row>
    <row r="416" spans="6:22">
      <c r="F416" s="415"/>
      <c r="G416" s="415"/>
      <c r="H416" s="415"/>
      <c r="I416" s="415"/>
      <c r="J416" s="415"/>
      <c r="K416" s="415"/>
      <c r="L416" s="415"/>
      <c r="M416" s="415"/>
      <c r="N416" s="415"/>
      <c r="O416" s="415"/>
      <c r="P416" s="415"/>
      <c r="Q416" s="415"/>
      <c r="R416" s="411"/>
      <c r="S416" s="411"/>
      <c r="T416" s="411"/>
      <c r="U416" s="424" t="s">
        <v>139</v>
      </c>
      <c r="V416" s="415"/>
    </row>
    <row r="417" spans="6:22">
      <c r="F417" s="415"/>
      <c r="G417" s="415"/>
      <c r="H417" s="415"/>
      <c r="I417" s="415"/>
      <c r="J417" s="415"/>
      <c r="K417" s="415"/>
      <c r="L417" s="415"/>
      <c r="M417" s="415"/>
      <c r="N417" s="415"/>
      <c r="O417" s="415"/>
      <c r="P417" s="415"/>
      <c r="Q417" s="415"/>
      <c r="R417" s="411"/>
      <c r="S417" s="411"/>
      <c r="T417" s="411"/>
      <c r="U417" s="424" t="s">
        <v>139</v>
      </c>
      <c r="V417" s="41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/>
  <dimension ref="A1:X101"/>
  <sheetViews>
    <sheetView zoomScale="70" zoomScaleNormal="70" workbookViewId="0">
      <selection activeCell="O14" sqref="O14"/>
    </sheetView>
  </sheetViews>
  <sheetFormatPr defaultColWidth="12.5703125" defaultRowHeight="18"/>
  <cols>
    <col min="1" max="1" width="4" style="41" customWidth="1"/>
    <col min="2" max="2" width="37.28515625" style="41" customWidth="1"/>
    <col min="3" max="3" width="9.140625" style="478" hidden="1" customWidth="1"/>
    <col min="4" max="4" width="10.5703125" style="478" hidden="1" customWidth="1"/>
    <col min="5" max="7" width="10.42578125" style="478" customWidth="1"/>
    <col min="8" max="8" width="11.140625" style="41" customWidth="1"/>
    <col min="9" max="10" width="11" style="41" customWidth="1"/>
    <col min="11" max="12" width="11.140625" style="41" customWidth="1"/>
    <col min="13" max="13" width="11.7109375" style="41" customWidth="1"/>
    <col min="14" max="14" width="11.28515625" style="41" customWidth="1"/>
    <col min="15" max="15" width="10.7109375" style="480" customWidth="1"/>
    <col min="16" max="16" width="4" style="41" customWidth="1"/>
    <col min="17" max="16384" width="12.5703125" style="41"/>
  </cols>
  <sheetData>
    <row r="1" spans="1:24" ht="23.25">
      <c r="A1" s="46" t="s">
        <v>629</v>
      </c>
      <c r="L1" s="532" t="s">
        <v>462</v>
      </c>
    </row>
    <row r="2" spans="1:24">
      <c r="A2" s="59" t="s">
        <v>0</v>
      </c>
      <c r="B2" s="58"/>
      <c r="C2" s="481" t="s">
        <v>1</v>
      </c>
      <c r="D2" s="481"/>
      <c r="E2" s="481"/>
      <c r="F2" s="481"/>
      <c r="G2" s="481"/>
      <c r="H2" s="45"/>
      <c r="I2" s="58"/>
      <c r="J2" s="58"/>
      <c r="K2" s="58"/>
      <c r="L2" s="58"/>
      <c r="M2" s="58"/>
    </row>
    <row r="3" spans="1:24" s="479" customFormat="1" ht="21.75" customHeight="1">
      <c r="A3" s="482"/>
      <c r="B3" s="482" t="s">
        <v>1</v>
      </c>
      <c r="C3" s="40">
        <v>2002</v>
      </c>
      <c r="D3" s="40">
        <v>2003</v>
      </c>
      <c r="E3" s="40">
        <v>2004</v>
      </c>
      <c r="F3" s="40">
        <v>2005</v>
      </c>
      <c r="G3" s="40">
        <v>2006</v>
      </c>
      <c r="H3" s="40">
        <v>2007</v>
      </c>
      <c r="I3" s="40">
        <v>2008</v>
      </c>
      <c r="J3" s="40">
        <v>2009</v>
      </c>
      <c r="K3" s="40">
        <v>2010</v>
      </c>
      <c r="L3" s="40">
        <v>2011</v>
      </c>
      <c r="M3" s="40">
        <v>2012</v>
      </c>
      <c r="N3" s="40">
        <v>2013</v>
      </c>
      <c r="O3" s="40">
        <v>2014</v>
      </c>
    </row>
    <row r="4" spans="1:24" s="479" customFormat="1" ht="6" customHeight="1">
      <c r="A4" s="484"/>
      <c r="B4" s="484"/>
      <c r="C4" s="47"/>
      <c r="D4" s="47"/>
      <c r="E4" s="47"/>
      <c r="F4" s="47"/>
      <c r="G4" s="47"/>
      <c r="O4" s="483"/>
    </row>
    <row r="5" spans="1:24" ht="19.5" customHeight="1">
      <c r="A5" s="46" t="s">
        <v>2</v>
      </c>
      <c r="B5" s="47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O5" s="44" t="s">
        <v>3</v>
      </c>
    </row>
    <row r="6" spans="1:24" ht="19.5" customHeight="1">
      <c r="A6" s="45"/>
      <c r="B6" s="49" t="s">
        <v>630</v>
      </c>
      <c r="C6" s="485">
        <v>2058</v>
      </c>
      <c r="D6" s="485">
        <v>2103.89</v>
      </c>
      <c r="E6" s="485">
        <v>2158.3809999999999</v>
      </c>
      <c r="F6" s="485">
        <v>2231.2139999999999</v>
      </c>
      <c r="G6" s="485">
        <v>2258.652</v>
      </c>
      <c r="H6" s="485">
        <v>2313.3850000000002</v>
      </c>
      <c r="I6" s="485">
        <v>2347.38</v>
      </c>
      <c r="J6" s="485">
        <v>2361.8919999999998</v>
      </c>
      <c r="K6" s="485">
        <v>2364.2649999999999</v>
      </c>
      <c r="L6" s="485">
        <v>2369</v>
      </c>
      <c r="M6" s="485">
        <v>2395</v>
      </c>
      <c r="N6" s="485">
        <v>2436</v>
      </c>
      <c r="O6" s="485">
        <v>2495.6329999999998</v>
      </c>
      <c r="P6" s="486"/>
      <c r="Q6" s="486"/>
      <c r="R6" s="486"/>
      <c r="S6" s="486"/>
      <c r="T6" s="486"/>
      <c r="U6" s="486"/>
      <c r="V6" s="486"/>
      <c r="W6" s="486"/>
      <c r="X6" s="486"/>
    </row>
    <row r="7" spans="1:24" ht="19.5" customHeight="1">
      <c r="A7" s="45"/>
      <c r="B7" s="49" t="s">
        <v>631</v>
      </c>
      <c r="C7" s="485">
        <v>2330</v>
      </c>
      <c r="D7" s="485">
        <v>2382.9899999999998</v>
      </c>
      <c r="E7" s="485">
        <v>2448.1840000000002</v>
      </c>
      <c r="F7" s="485">
        <v>2531.3339999999998</v>
      </c>
      <c r="G7" s="485">
        <v>2564.2930000000001</v>
      </c>
      <c r="H7" s="485">
        <v>2626.9830000000002</v>
      </c>
      <c r="I7" s="485">
        <v>2665.1860000000001</v>
      </c>
      <c r="J7" s="485">
        <v>2683.8969999999995</v>
      </c>
      <c r="K7" s="485">
        <v>2684.6819999999998</v>
      </c>
      <c r="L7" s="485">
        <v>2691</v>
      </c>
      <c r="M7" s="485">
        <v>2717</v>
      </c>
      <c r="N7" s="485">
        <v>2759</v>
      </c>
      <c r="O7" s="485">
        <v>2821.3599999999992</v>
      </c>
    </row>
    <row r="8" spans="1:24" ht="19.5" customHeight="1">
      <c r="A8" s="45"/>
      <c r="B8" s="49" t="s">
        <v>4</v>
      </c>
      <c r="C8" s="485">
        <v>259.39999999999998</v>
      </c>
      <c r="D8" s="485">
        <v>262.39999999999998</v>
      </c>
      <c r="E8" s="485">
        <v>262.80900000000003</v>
      </c>
      <c r="F8" s="485">
        <v>251.02199999999999</v>
      </c>
      <c r="G8" s="485">
        <v>242.923</v>
      </c>
      <c r="H8" s="487">
        <v>250.916</v>
      </c>
      <c r="I8" s="487">
        <v>215</v>
      </c>
      <c r="J8" s="487">
        <v>216</v>
      </c>
      <c r="K8" s="487">
        <v>208.7</v>
      </c>
      <c r="L8" s="487">
        <v>202.3</v>
      </c>
      <c r="M8" s="487">
        <v>216.4</v>
      </c>
      <c r="N8" s="487">
        <v>241.4</v>
      </c>
      <c r="O8" s="487">
        <v>262.16399999999999</v>
      </c>
    </row>
    <row r="9" spans="1:24" ht="6.75" customHeight="1">
      <c r="A9" s="45"/>
      <c r="B9" s="45"/>
      <c r="C9" s="485"/>
      <c r="D9" s="485"/>
      <c r="E9" s="485"/>
      <c r="F9" s="485"/>
      <c r="G9" s="485"/>
    </row>
    <row r="10" spans="1:24" ht="19.5" customHeight="1">
      <c r="A10" s="46" t="s">
        <v>632</v>
      </c>
      <c r="B10" s="47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O10" s="44" t="s">
        <v>5</v>
      </c>
    </row>
    <row r="11" spans="1:24" ht="36" customHeight="1">
      <c r="A11" s="45"/>
      <c r="B11" s="489" t="s">
        <v>633</v>
      </c>
      <c r="C11" s="490">
        <v>470.74</v>
      </c>
      <c r="D11" s="662">
        <v>477.58199999999999</v>
      </c>
      <c r="E11" s="490">
        <v>460</v>
      </c>
      <c r="F11" s="490">
        <v>466</v>
      </c>
      <c r="G11" s="490">
        <v>476</v>
      </c>
      <c r="H11" s="491">
        <v>488</v>
      </c>
      <c r="I11" s="491">
        <v>484</v>
      </c>
      <c r="J11" s="491">
        <v>459</v>
      </c>
      <c r="K11" s="491">
        <v>432</v>
      </c>
      <c r="L11" s="491">
        <v>437.125206348809</v>
      </c>
      <c r="M11" s="491">
        <v>422.52328929369799</v>
      </c>
      <c r="N11" s="485">
        <v>424.19715104849598</v>
      </c>
      <c r="O11" s="485">
        <v>413.93054260802</v>
      </c>
      <c r="P11" s="689"/>
    </row>
    <row r="12" spans="1:24" ht="19.5" customHeight="1">
      <c r="A12" s="45"/>
      <c r="B12" s="49" t="s">
        <v>634</v>
      </c>
      <c r="C12" s="490">
        <v>374</v>
      </c>
      <c r="D12" s="662">
        <v>369</v>
      </c>
      <c r="E12" s="491">
        <v>359</v>
      </c>
      <c r="F12" s="485">
        <v>374</v>
      </c>
      <c r="G12" s="485">
        <v>385</v>
      </c>
      <c r="H12" s="491">
        <v>397</v>
      </c>
      <c r="I12" s="485">
        <v>386</v>
      </c>
      <c r="J12" s="485">
        <v>376</v>
      </c>
      <c r="K12" s="485">
        <v>346</v>
      </c>
      <c r="L12" s="491">
        <v>338</v>
      </c>
      <c r="M12" s="491">
        <v>327</v>
      </c>
      <c r="N12" s="485">
        <v>331</v>
      </c>
      <c r="O12" s="687">
        <v>331</v>
      </c>
    </row>
    <row r="13" spans="1:24" ht="19.5" customHeight="1">
      <c r="A13" s="45"/>
      <c r="B13" s="49" t="s">
        <v>635</v>
      </c>
      <c r="C13" s="490"/>
      <c r="D13" s="490"/>
      <c r="E13" s="44"/>
      <c r="F13" s="44"/>
      <c r="G13" s="44"/>
      <c r="H13" s="44"/>
      <c r="I13" s="44"/>
      <c r="J13" s="44"/>
      <c r="K13" s="44"/>
      <c r="L13" s="44"/>
      <c r="M13" s="44"/>
      <c r="O13" s="44" t="s">
        <v>10</v>
      </c>
    </row>
    <row r="14" spans="1:24" ht="19.5" customHeight="1">
      <c r="A14" s="45"/>
      <c r="B14" s="492" t="s">
        <v>636</v>
      </c>
      <c r="C14" s="491" t="s">
        <v>7</v>
      </c>
      <c r="D14" s="491" t="s">
        <v>7</v>
      </c>
      <c r="E14" s="491">
        <v>579</v>
      </c>
      <c r="F14" s="493">
        <v>606.1</v>
      </c>
      <c r="G14" s="485">
        <v>667.2</v>
      </c>
      <c r="H14" s="491">
        <v>690.3</v>
      </c>
      <c r="I14" s="485">
        <v>714.5</v>
      </c>
      <c r="J14" s="485">
        <v>709.2</v>
      </c>
      <c r="K14" s="485">
        <v>667.8</v>
      </c>
      <c r="L14" s="491">
        <v>673.6</v>
      </c>
      <c r="M14" s="491">
        <v>682.7</v>
      </c>
      <c r="N14" s="491">
        <v>670.7</v>
      </c>
      <c r="O14" s="710">
        <v>654.20000000000005</v>
      </c>
    </row>
    <row r="15" spans="1:24" ht="19.5" customHeight="1">
      <c r="A15" s="45"/>
      <c r="B15" s="492"/>
      <c r="C15" s="491"/>
      <c r="D15" s="491"/>
      <c r="E15" s="491"/>
      <c r="F15" s="491"/>
      <c r="G15" s="485"/>
      <c r="H15" s="491"/>
      <c r="I15" s="485"/>
      <c r="J15" s="485"/>
      <c r="K15" s="485"/>
      <c r="L15" s="491"/>
      <c r="M15" s="491"/>
      <c r="N15" s="494"/>
    </row>
    <row r="16" spans="1:24" ht="8.25" customHeight="1">
      <c r="A16" s="45"/>
      <c r="B16" s="45"/>
      <c r="C16" s="45"/>
      <c r="D16" s="45"/>
      <c r="E16" s="45"/>
      <c r="F16" s="45"/>
      <c r="G16" s="45"/>
    </row>
    <row r="17" spans="1:19" ht="19.5" customHeight="1">
      <c r="A17" s="46" t="s">
        <v>11</v>
      </c>
      <c r="B17" s="45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O17" s="44" t="s">
        <v>12</v>
      </c>
    </row>
    <row r="18" spans="1:19" ht="19.5" customHeight="1">
      <c r="A18" s="45"/>
      <c r="B18" s="49" t="s">
        <v>637</v>
      </c>
      <c r="C18" s="495">
        <v>154.4</v>
      </c>
      <c r="D18" s="496">
        <v>153.4</v>
      </c>
      <c r="E18" s="495">
        <v>173.1</v>
      </c>
      <c r="F18" s="495">
        <v>165.6</v>
      </c>
      <c r="G18" s="495">
        <v>170.03526122401001</v>
      </c>
      <c r="H18" s="495">
        <v>176.82849159656521</v>
      </c>
      <c r="I18" s="495">
        <v>157.03148290364607</v>
      </c>
      <c r="J18" s="495">
        <v>131.92345982339137</v>
      </c>
      <c r="K18" s="495">
        <v>131.93396436893246</v>
      </c>
      <c r="L18" s="500">
        <v>144.19999999999999</v>
      </c>
      <c r="M18" s="500">
        <v>150.6</v>
      </c>
      <c r="N18" s="500">
        <v>135.80000000000001</v>
      </c>
      <c r="O18" s="698">
        <v>137.6</v>
      </c>
    </row>
    <row r="19" spans="1:19" ht="19.5" customHeight="1">
      <c r="A19" s="45"/>
      <c r="B19" s="49" t="s">
        <v>638</v>
      </c>
      <c r="C19" s="497">
        <v>9.1199960000000004</v>
      </c>
      <c r="D19" s="497">
        <v>8.3185319999999994</v>
      </c>
      <c r="E19" s="497">
        <v>11.25</v>
      </c>
      <c r="F19" s="498">
        <v>14.32</v>
      </c>
      <c r="G19" s="498">
        <v>12.96</v>
      </c>
      <c r="H19" s="498">
        <v>11.35</v>
      </c>
      <c r="I19" s="498">
        <v>10.36</v>
      </c>
      <c r="J19" s="498">
        <v>9.69</v>
      </c>
      <c r="K19" s="498">
        <v>8.33</v>
      </c>
      <c r="L19" s="498">
        <v>9.8699999999999992</v>
      </c>
      <c r="M19" s="498">
        <v>8.43</v>
      </c>
      <c r="N19" s="485" t="s">
        <v>7</v>
      </c>
      <c r="O19" s="687" t="s">
        <v>7</v>
      </c>
    </row>
    <row r="20" spans="1:19" ht="19.5" customHeight="1">
      <c r="A20" s="45"/>
      <c r="B20" s="49" t="s">
        <v>14</v>
      </c>
      <c r="C20" s="495">
        <v>19.2</v>
      </c>
      <c r="D20" s="495">
        <v>19.510000000000002</v>
      </c>
      <c r="E20" s="495">
        <v>20.49</v>
      </c>
      <c r="F20" s="495">
        <v>25.53</v>
      </c>
      <c r="G20" s="495">
        <v>20.58</v>
      </c>
      <c r="H20" s="495">
        <v>22.79</v>
      </c>
      <c r="I20" s="495">
        <v>23.28</v>
      </c>
      <c r="J20" s="495">
        <v>19.84</v>
      </c>
      <c r="K20" s="495">
        <v>17.95</v>
      </c>
      <c r="L20" s="495">
        <v>16.329999999999998</v>
      </c>
      <c r="M20" s="495">
        <v>12.54</v>
      </c>
      <c r="N20" s="495">
        <v>11.39</v>
      </c>
      <c r="O20" s="698">
        <v>11.81</v>
      </c>
    </row>
    <row r="21" spans="1:19" ht="19.5" customHeight="1">
      <c r="A21" s="45"/>
      <c r="B21" s="49" t="s">
        <v>15</v>
      </c>
      <c r="C21" s="498">
        <v>1.81</v>
      </c>
      <c r="D21" s="498">
        <v>1.54</v>
      </c>
      <c r="E21" s="498">
        <v>1.33</v>
      </c>
      <c r="F21" s="498">
        <v>1.76</v>
      </c>
      <c r="G21" s="498">
        <v>1.48</v>
      </c>
      <c r="H21" s="498">
        <v>1.83</v>
      </c>
      <c r="I21" s="498">
        <v>1.75</v>
      </c>
      <c r="J21" s="498">
        <v>3.59</v>
      </c>
      <c r="K21" s="498">
        <v>1.88</v>
      </c>
      <c r="L21" s="498">
        <v>2.42</v>
      </c>
      <c r="M21" s="498">
        <v>2.57</v>
      </c>
      <c r="N21" s="498">
        <v>2.1</v>
      </c>
      <c r="O21" s="700">
        <v>2.19</v>
      </c>
    </row>
    <row r="22" spans="1:19" ht="19.5" customHeight="1">
      <c r="A22" s="45"/>
      <c r="B22" s="49" t="s">
        <v>16</v>
      </c>
      <c r="C22" s="498">
        <v>10.01</v>
      </c>
      <c r="D22" s="498">
        <v>10.06</v>
      </c>
      <c r="E22" s="498">
        <v>9.9700000000000006</v>
      </c>
      <c r="F22" s="498">
        <v>10.19</v>
      </c>
      <c r="G22" s="498">
        <v>10.16</v>
      </c>
      <c r="H22" s="498">
        <v>10.5</v>
      </c>
      <c r="I22" s="498">
        <v>12.19</v>
      </c>
      <c r="J22" s="498">
        <v>10.1</v>
      </c>
      <c r="K22" s="498">
        <v>10.89</v>
      </c>
      <c r="L22" s="498">
        <v>10.7</v>
      </c>
      <c r="M22" s="498">
        <v>10.79</v>
      </c>
      <c r="N22" s="498">
        <v>10.69</v>
      </c>
      <c r="O22" s="700">
        <v>9.41</v>
      </c>
    </row>
    <row r="23" spans="1:19" ht="19.5" customHeight="1">
      <c r="A23" s="45"/>
      <c r="B23" s="49" t="s">
        <v>639</v>
      </c>
      <c r="C23" s="495">
        <v>28.042000000000002</v>
      </c>
      <c r="D23" s="495">
        <v>27.701000000000001</v>
      </c>
      <c r="E23" s="495">
        <v>27.649038999999998</v>
      </c>
      <c r="F23" s="495">
        <v>27.6</v>
      </c>
      <c r="G23" s="495">
        <v>27.8</v>
      </c>
      <c r="H23" s="495">
        <v>27.5</v>
      </c>
      <c r="I23" s="495">
        <v>27.6</v>
      </c>
      <c r="J23" s="495">
        <v>27.6</v>
      </c>
      <c r="K23" s="495">
        <v>27.6</v>
      </c>
      <c r="L23" s="499">
        <v>27.8</v>
      </c>
      <c r="M23" s="499">
        <v>28.2</v>
      </c>
      <c r="N23" s="500" t="s">
        <v>7</v>
      </c>
      <c r="O23" s="687" t="s">
        <v>7</v>
      </c>
    </row>
    <row r="24" spans="1:19" ht="19.5" customHeight="1">
      <c r="A24" s="45"/>
      <c r="B24" s="49" t="s">
        <v>114</v>
      </c>
      <c r="C24" s="495">
        <f>SUM(C18:C23)</f>
        <v>222.58199599999998</v>
      </c>
      <c r="D24" s="495">
        <f t="shared" ref="D24:M24" si="0">SUM(D18:D23)</f>
        <v>220.52953199999999</v>
      </c>
      <c r="E24" s="495">
        <f t="shared" si="0"/>
        <v>243.789039</v>
      </c>
      <c r="F24" s="495">
        <f t="shared" si="0"/>
        <v>244.99999999999997</v>
      </c>
      <c r="G24" s="495">
        <f t="shared" si="0"/>
        <v>243.01526122401003</v>
      </c>
      <c r="H24" s="495">
        <f t="shared" si="0"/>
        <v>250.79849159656521</v>
      </c>
      <c r="I24" s="495">
        <f t="shared" si="0"/>
        <v>232.21148290364607</v>
      </c>
      <c r="J24" s="495">
        <f t="shared" si="0"/>
        <v>202.74345982339136</v>
      </c>
      <c r="K24" s="495">
        <f t="shared" si="0"/>
        <v>198.58396436893244</v>
      </c>
      <c r="L24" s="495">
        <f t="shared" si="0"/>
        <v>211.31999999999996</v>
      </c>
      <c r="M24" s="495">
        <f t="shared" si="0"/>
        <v>213.12999999999997</v>
      </c>
      <c r="N24" s="485" t="s">
        <v>7</v>
      </c>
      <c r="O24" s="687" t="s">
        <v>7</v>
      </c>
    </row>
    <row r="25" spans="1:19" ht="8.25" customHeight="1">
      <c r="A25" s="45"/>
      <c r="B25" s="45"/>
      <c r="C25" s="485"/>
      <c r="D25" s="485"/>
      <c r="E25" s="485"/>
      <c r="F25" s="485"/>
      <c r="G25" s="485"/>
    </row>
    <row r="26" spans="1:19" ht="19.5" customHeight="1">
      <c r="A26" s="46" t="s">
        <v>370</v>
      </c>
      <c r="B26" s="45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O26" s="44" t="s">
        <v>18</v>
      </c>
      <c r="P26" s="478"/>
      <c r="Q26" s="478"/>
      <c r="S26" s="501"/>
    </row>
    <row r="27" spans="1:19" ht="19.5" customHeight="1">
      <c r="A27" s="45"/>
      <c r="B27" s="49" t="s">
        <v>640</v>
      </c>
      <c r="C27" s="502">
        <v>3488</v>
      </c>
      <c r="D27" s="502">
        <v>3485</v>
      </c>
      <c r="E27" s="502">
        <v>3482</v>
      </c>
      <c r="F27" s="502">
        <v>3505</v>
      </c>
      <c r="G27" s="502">
        <v>3518</v>
      </c>
      <c r="H27" s="502">
        <v>3505</v>
      </c>
      <c r="I27" s="502">
        <v>3505</v>
      </c>
      <c r="J27" s="502">
        <v>3520</v>
      </c>
      <c r="K27" s="502">
        <v>3518</v>
      </c>
      <c r="L27" s="502">
        <v>3522.6270000000004</v>
      </c>
      <c r="M27" s="502">
        <v>3552.6550000000002</v>
      </c>
      <c r="N27" s="502">
        <v>3551.0320000000002</v>
      </c>
      <c r="O27" s="502">
        <v>3569.9180000000001</v>
      </c>
      <c r="S27" s="501"/>
    </row>
    <row r="28" spans="1:19" ht="19.5" customHeight="1">
      <c r="A28" s="45"/>
      <c r="B28" s="49" t="s">
        <v>20</v>
      </c>
      <c r="C28" s="502">
        <v>7417</v>
      </c>
      <c r="D28" s="502">
        <v>7418</v>
      </c>
      <c r="E28" s="502">
        <v>7418</v>
      </c>
      <c r="F28" s="502">
        <v>7433</v>
      </c>
      <c r="G28" s="502">
        <v>7424.04</v>
      </c>
      <c r="H28" s="502">
        <v>7380.73</v>
      </c>
      <c r="I28" s="502">
        <v>7421</v>
      </c>
      <c r="J28" s="502">
        <v>7421</v>
      </c>
      <c r="K28" s="502">
        <v>7414</v>
      </c>
      <c r="L28" s="502">
        <v>7467</v>
      </c>
      <c r="M28" s="502">
        <v>7472.5</v>
      </c>
      <c r="N28" s="502">
        <v>7472.7</v>
      </c>
      <c r="O28" s="502">
        <v>7406.1279999999997</v>
      </c>
      <c r="S28" s="501"/>
    </row>
    <row r="29" spans="1:19" ht="19.5" customHeight="1">
      <c r="A29" s="45"/>
      <c r="B29" s="49" t="s">
        <v>21</v>
      </c>
      <c r="C29" s="502">
        <v>43684.490000000005</v>
      </c>
      <c r="D29" s="502">
        <v>43656.56</v>
      </c>
      <c r="E29" s="502">
        <v>43690.76</v>
      </c>
      <c r="F29" s="502">
        <v>43908.53</v>
      </c>
      <c r="G29" s="502">
        <v>44026.35</v>
      </c>
      <c r="H29" s="502">
        <v>44300.160000000003</v>
      </c>
      <c r="I29" s="502">
        <v>44417.599999999999</v>
      </c>
      <c r="J29" s="502">
        <v>44591.35</v>
      </c>
      <c r="K29" s="502">
        <v>44693.599999999999</v>
      </c>
      <c r="L29" s="502">
        <v>44768.775000000009</v>
      </c>
      <c r="M29" s="502">
        <v>44873.090000000004</v>
      </c>
      <c r="N29" s="502">
        <v>44937.9</v>
      </c>
      <c r="O29" s="502">
        <v>45011.16</v>
      </c>
      <c r="S29" s="501"/>
    </row>
    <row r="30" spans="1:19" ht="19.5" customHeight="1">
      <c r="A30" s="45"/>
      <c r="B30" s="49" t="s">
        <v>641</v>
      </c>
      <c r="C30" s="502">
        <v>54589.47</v>
      </c>
      <c r="D30" s="502">
        <v>54559.289999999994</v>
      </c>
      <c r="E30" s="502">
        <v>54590.490000000005</v>
      </c>
      <c r="F30" s="502">
        <v>54846.559999999998</v>
      </c>
      <c r="G30" s="502">
        <v>54968.39</v>
      </c>
      <c r="H30" s="502">
        <v>55185.89</v>
      </c>
      <c r="I30" s="502">
        <v>55343.6</v>
      </c>
      <c r="J30" s="502">
        <v>55532.27</v>
      </c>
      <c r="K30" s="502">
        <v>55625.599999999999</v>
      </c>
      <c r="L30" s="502">
        <v>55758.002000000008</v>
      </c>
      <c r="M30" s="502">
        <v>55898.245000000003</v>
      </c>
      <c r="N30" s="502">
        <v>55961.631999999998</v>
      </c>
      <c r="O30" s="502">
        <v>55987.206000000006</v>
      </c>
      <c r="S30" s="501"/>
    </row>
    <row r="31" spans="1:19" ht="9" customHeight="1">
      <c r="A31" s="45"/>
      <c r="B31" s="45"/>
      <c r="C31" s="44"/>
      <c r="D31" s="44"/>
      <c r="E31" s="44"/>
      <c r="F31" s="44"/>
      <c r="G31" s="44"/>
      <c r="S31" s="501"/>
    </row>
    <row r="32" spans="1:19" ht="19.5" customHeight="1">
      <c r="A32" s="47" t="s">
        <v>22</v>
      </c>
      <c r="B32" s="45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O32" s="44" t="s">
        <v>23</v>
      </c>
    </row>
    <row r="33" spans="1:24" ht="19.5" customHeight="1">
      <c r="A33" s="45"/>
      <c r="B33" s="45" t="s">
        <v>642</v>
      </c>
      <c r="C33" s="503">
        <v>5730</v>
      </c>
      <c r="D33" s="503">
        <v>5856</v>
      </c>
      <c r="E33" s="503">
        <v>6094.2030000000004</v>
      </c>
      <c r="F33" s="503">
        <v>6150.79</v>
      </c>
      <c r="G33" s="503">
        <v>6433</v>
      </c>
      <c r="H33" s="503">
        <v>6577</v>
      </c>
      <c r="I33" s="503">
        <v>6683</v>
      </c>
      <c r="J33" s="503">
        <v>6633</v>
      </c>
      <c r="K33" s="503">
        <v>6503</v>
      </c>
      <c r="L33" s="502">
        <v>6570</v>
      </c>
      <c r="M33" s="502">
        <v>7140</v>
      </c>
      <c r="N33" s="502">
        <v>7262</v>
      </c>
      <c r="O33" s="502">
        <v>7421</v>
      </c>
      <c r="S33" s="501"/>
      <c r="T33" s="501"/>
      <c r="W33" s="501"/>
      <c r="X33" s="501"/>
    </row>
    <row r="34" spans="1:24" ht="19.5" customHeight="1">
      <c r="A34" s="45"/>
      <c r="B34" s="45" t="s">
        <v>25</v>
      </c>
      <c r="C34" s="485">
        <v>21533</v>
      </c>
      <c r="D34" s="485">
        <v>21826</v>
      </c>
      <c r="E34" s="485">
        <v>22114</v>
      </c>
      <c r="F34" s="485">
        <v>21904.106</v>
      </c>
      <c r="G34" s="485">
        <v>22465</v>
      </c>
      <c r="H34" s="485">
        <v>22408</v>
      </c>
      <c r="I34" s="485">
        <v>22127</v>
      </c>
      <c r="J34" s="485">
        <v>22327</v>
      </c>
      <c r="K34" s="485">
        <v>21992</v>
      </c>
      <c r="L34" s="502">
        <v>21996</v>
      </c>
      <c r="M34" s="502">
        <v>21713</v>
      </c>
      <c r="N34" s="502">
        <v>21786</v>
      </c>
      <c r="O34" s="502">
        <v>22016</v>
      </c>
      <c r="T34" s="501"/>
      <c r="X34" s="501"/>
    </row>
    <row r="35" spans="1:24" ht="19.5" customHeight="1">
      <c r="A35" s="45"/>
      <c r="B35" s="45" t="s">
        <v>26</v>
      </c>
      <c r="C35" s="485">
        <v>41535</v>
      </c>
      <c r="D35" s="485">
        <v>42038</v>
      </c>
      <c r="E35" s="485">
        <v>42705.288</v>
      </c>
      <c r="F35" s="485">
        <v>42717.842000000004</v>
      </c>
      <c r="G35" s="485">
        <v>44119</v>
      </c>
      <c r="H35" s="485">
        <v>44666</v>
      </c>
      <c r="I35" s="485">
        <v>44470</v>
      </c>
      <c r="J35" s="485">
        <v>44219</v>
      </c>
      <c r="K35" s="485">
        <v>43488</v>
      </c>
      <c r="L35" s="485">
        <v>43390</v>
      </c>
      <c r="M35" s="485">
        <v>43549</v>
      </c>
      <c r="N35" s="485">
        <v>43840</v>
      </c>
      <c r="O35" s="494">
        <v>44789</v>
      </c>
      <c r="T35" s="501"/>
      <c r="X35" s="501"/>
    </row>
    <row r="36" spans="1:24" ht="9" customHeight="1">
      <c r="A36" s="45"/>
      <c r="B36" s="45"/>
      <c r="C36" s="45"/>
      <c r="D36" s="45"/>
      <c r="E36" s="45"/>
      <c r="F36" s="45"/>
      <c r="G36" s="45"/>
      <c r="T36" s="501"/>
      <c r="X36" s="501"/>
    </row>
    <row r="37" spans="1:24" ht="19.5" customHeight="1">
      <c r="A37" s="46" t="s">
        <v>643</v>
      </c>
      <c r="B37" s="45"/>
      <c r="C37" s="45"/>
      <c r="D37" s="45"/>
      <c r="E37" s="45"/>
      <c r="F37" s="45"/>
      <c r="G37" s="45"/>
      <c r="T37" s="501"/>
      <c r="X37" s="501"/>
    </row>
    <row r="38" spans="1:24" ht="19.5" customHeight="1">
      <c r="A38" s="45"/>
      <c r="B38" s="49" t="s">
        <v>27</v>
      </c>
      <c r="C38" s="502">
        <v>304</v>
      </c>
      <c r="D38" s="502">
        <v>336</v>
      </c>
      <c r="E38" s="502">
        <v>308</v>
      </c>
      <c r="F38" s="502">
        <v>286</v>
      </c>
      <c r="G38" s="502">
        <v>314</v>
      </c>
      <c r="H38" s="504">
        <v>281</v>
      </c>
      <c r="I38" s="504">
        <v>270</v>
      </c>
      <c r="J38" s="504">
        <v>216</v>
      </c>
      <c r="K38" s="504">
        <v>208</v>
      </c>
      <c r="L38" s="502">
        <v>185</v>
      </c>
      <c r="M38" s="502">
        <v>178</v>
      </c>
      <c r="N38" s="502">
        <v>172</v>
      </c>
      <c r="O38" s="502">
        <v>200</v>
      </c>
    </row>
    <row r="39" spans="1:24" ht="19.5" customHeight="1">
      <c r="A39" s="45"/>
      <c r="B39" s="49" t="s">
        <v>28</v>
      </c>
      <c r="C39" s="502">
        <v>3533</v>
      </c>
      <c r="D39" s="502">
        <v>3293</v>
      </c>
      <c r="E39" s="502">
        <v>3074</v>
      </c>
      <c r="F39" s="502">
        <v>2952</v>
      </c>
      <c r="G39" s="502">
        <v>2949</v>
      </c>
      <c r="H39" s="504">
        <v>2666</v>
      </c>
      <c r="I39" s="504">
        <v>2845</v>
      </c>
      <c r="J39" s="504">
        <v>2503</v>
      </c>
      <c r="K39" s="504">
        <v>2177</v>
      </c>
      <c r="L39" s="502">
        <v>2065</v>
      </c>
      <c r="M39" s="502">
        <v>2159</v>
      </c>
      <c r="N39" s="502">
        <v>1844</v>
      </c>
      <c r="O39" s="502">
        <v>1894</v>
      </c>
    </row>
    <row r="40" spans="1:24" ht="19.5" customHeight="1">
      <c r="A40" s="45"/>
      <c r="B40" s="49" t="s">
        <v>29</v>
      </c>
      <c r="C40" s="502">
        <v>19275</v>
      </c>
      <c r="D40" s="502">
        <v>18756</v>
      </c>
      <c r="E40" s="502">
        <v>18502</v>
      </c>
      <c r="F40" s="502">
        <v>17885</v>
      </c>
      <c r="G40" s="502">
        <v>17269</v>
      </c>
      <c r="H40" s="504">
        <v>16239</v>
      </c>
      <c r="I40" s="504">
        <v>15592</v>
      </c>
      <c r="J40" s="504">
        <v>15043</v>
      </c>
      <c r="K40" s="504">
        <v>13338</v>
      </c>
      <c r="L40" s="505">
        <v>12790</v>
      </c>
      <c r="M40" s="505">
        <v>12721</v>
      </c>
      <c r="N40" s="505">
        <v>11504</v>
      </c>
      <c r="O40" s="502">
        <v>11240</v>
      </c>
    </row>
    <row r="41" spans="1:24" ht="9.75" customHeight="1">
      <c r="A41" s="45"/>
      <c r="B41" s="45"/>
      <c r="C41" s="45"/>
      <c r="D41" s="45"/>
      <c r="E41" s="45"/>
      <c r="F41" s="45"/>
      <c r="G41" s="45"/>
    </row>
    <row r="42" spans="1:24" ht="19.5" customHeight="1">
      <c r="A42" s="46" t="s">
        <v>644</v>
      </c>
      <c r="B42" s="45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O42" s="44" t="s">
        <v>5</v>
      </c>
      <c r="R42" s="45"/>
    </row>
    <row r="43" spans="1:24" ht="19.5" customHeight="1">
      <c r="A43" s="46" t="s">
        <v>645</v>
      </c>
      <c r="C43" s="506">
        <v>57.38</v>
      </c>
      <c r="D43" s="507">
        <v>57.451000000000001</v>
      </c>
      <c r="E43" s="508">
        <v>64.022999999999996</v>
      </c>
      <c r="F43" s="508">
        <v>69.430000000000007</v>
      </c>
      <c r="G43" s="508">
        <v>71.584999999999994</v>
      </c>
      <c r="H43" s="508">
        <v>74.468000000000004</v>
      </c>
      <c r="I43" s="508">
        <v>76.429000000000002</v>
      </c>
      <c r="J43" s="508">
        <v>76.929000000000002</v>
      </c>
      <c r="K43" s="508">
        <v>78.290000000000006</v>
      </c>
      <c r="L43" s="485">
        <v>81.099999999999994</v>
      </c>
      <c r="M43" s="509">
        <v>83.25</v>
      </c>
      <c r="N43" s="510">
        <v>86.34</v>
      </c>
      <c r="O43" s="510">
        <v>92.68</v>
      </c>
      <c r="R43" s="45"/>
    </row>
    <row r="44" spans="1:24" ht="9" customHeight="1">
      <c r="A44" s="46"/>
      <c r="C44" s="511"/>
      <c r="D44" s="512"/>
      <c r="E44" s="511"/>
      <c r="F44" s="498"/>
      <c r="G44" s="498"/>
      <c r="H44" s="498"/>
      <c r="I44" s="498"/>
      <c r="J44" s="498"/>
      <c r="K44" s="498"/>
      <c r="L44" s="498"/>
      <c r="M44" s="498"/>
      <c r="O44" s="488"/>
      <c r="R44" s="45"/>
    </row>
    <row r="45" spans="1:24" ht="19.5" customHeight="1">
      <c r="A45" s="46" t="s">
        <v>30</v>
      </c>
      <c r="C45" s="44"/>
      <c r="D45" s="44"/>
      <c r="E45" s="44"/>
      <c r="F45" s="44"/>
      <c r="G45" s="44"/>
      <c r="R45" s="45"/>
    </row>
    <row r="46" spans="1:24" ht="19.5" customHeight="1">
      <c r="A46" s="49" t="s">
        <v>646</v>
      </c>
      <c r="C46" s="496">
        <v>52.37623</v>
      </c>
      <c r="D46" s="495">
        <v>55.892938999999998</v>
      </c>
      <c r="E46" s="495">
        <v>61.256430999999999</v>
      </c>
      <c r="F46" s="495">
        <v>66.735898999999989</v>
      </c>
      <c r="G46" s="495">
        <v>69.785303999999996</v>
      </c>
      <c r="H46" s="495">
        <v>72.744290000000007</v>
      </c>
      <c r="I46" s="513">
        <v>76.256077703670073</v>
      </c>
      <c r="J46" s="495">
        <v>76.473890324940314</v>
      </c>
      <c r="K46" s="495">
        <v>79.4462863670296</v>
      </c>
      <c r="L46" s="495">
        <v>83.310800000000015</v>
      </c>
      <c r="M46" s="495">
        <v>85.752108000000007</v>
      </c>
      <c r="N46" s="478">
        <v>86.7</v>
      </c>
      <c r="O46" s="678" t="s">
        <v>7</v>
      </c>
      <c r="P46" s="514"/>
      <c r="Q46" s="514"/>
      <c r="R46" s="515"/>
      <c r="S46" s="514"/>
      <c r="T46" s="514"/>
      <c r="U46" s="514"/>
      <c r="V46" s="514"/>
      <c r="W46" s="514"/>
    </row>
    <row r="47" spans="1:24" ht="19.5" customHeight="1">
      <c r="A47" s="49" t="s">
        <v>674</v>
      </c>
      <c r="C47" s="506">
        <v>272.24880610774687</v>
      </c>
      <c r="D47" s="508">
        <v>286.55619233849973</v>
      </c>
      <c r="E47" s="508">
        <v>303.5357745074719</v>
      </c>
      <c r="F47" s="508">
        <v>304.54885416666667</v>
      </c>
      <c r="G47" s="508">
        <v>313.64350415951537</v>
      </c>
      <c r="H47" s="506">
        <v>357.08927441802786</v>
      </c>
      <c r="I47" s="508">
        <v>358.46886411206032</v>
      </c>
      <c r="J47" s="508">
        <v>393.82520513056716</v>
      </c>
      <c r="K47" s="509">
        <v>408.12804119137741</v>
      </c>
      <c r="L47" s="508">
        <v>418.30511664545065</v>
      </c>
      <c r="M47" s="510">
        <v>434.63754322867737</v>
      </c>
      <c r="N47" s="677">
        <v>447.52291700000001</v>
      </c>
      <c r="O47" s="678" t="s">
        <v>7</v>
      </c>
      <c r="R47" s="45"/>
    </row>
    <row r="48" spans="1:24" ht="8.25" customHeight="1">
      <c r="A48" s="45"/>
      <c r="B48" s="45"/>
      <c r="C48" s="45"/>
      <c r="D48" s="45"/>
      <c r="E48" s="45"/>
      <c r="F48" s="45"/>
      <c r="G48" s="45"/>
    </row>
    <row r="49" spans="1:18" ht="19.5" customHeight="1">
      <c r="A49" s="46" t="s">
        <v>31</v>
      </c>
      <c r="B49" s="45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O49" s="44" t="s">
        <v>3</v>
      </c>
    </row>
    <row r="50" spans="1:18" ht="19.5" customHeight="1">
      <c r="A50" s="45"/>
      <c r="B50" s="49" t="s">
        <v>32</v>
      </c>
      <c r="C50" s="502">
        <v>19783</v>
      </c>
      <c r="D50" s="502">
        <v>21084</v>
      </c>
      <c r="E50" s="502">
        <v>22555</v>
      </c>
      <c r="F50" s="502">
        <v>23795</v>
      </c>
      <c r="G50" s="502">
        <v>24437</v>
      </c>
      <c r="H50" s="502">
        <v>25132</v>
      </c>
      <c r="I50" s="502">
        <v>24348</v>
      </c>
      <c r="J50" s="502">
        <v>22496</v>
      </c>
      <c r="K50" s="502">
        <v>20907</v>
      </c>
      <c r="L50" s="502">
        <v>22065</v>
      </c>
      <c r="M50" s="502">
        <v>22207</v>
      </c>
      <c r="N50" s="502">
        <v>23250</v>
      </c>
      <c r="O50" s="502">
        <v>24076</v>
      </c>
    </row>
    <row r="51" spans="1:18" ht="19.5" customHeight="1">
      <c r="A51" s="45"/>
      <c r="B51" s="49" t="s">
        <v>33</v>
      </c>
      <c r="C51" s="516">
        <v>362591</v>
      </c>
      <c r="D51" s="516">
        <v>367336</v>
      </c>
      <c r="E51" s="516">
        <v>385626</v>
      </c>
      <c r="F51" s="516">
        <v>408800</v>
      </c>
      <c r="G51" s="516">
        <v>420552</v>
      </c>
      <c r="H51" s="516">
        <v>428183</v>
      </c>
      <c r="I51" s="516">
        <v>417082</v>
      </c>
      <c r="J51" s="516">
        <v>382693</v>
      </c>
      <c r="K51" s="516">
        <v>354427</v>
      </c>
      <c r="L51" s="516">
        <v>366312</v>
      </c>
      <c r="M51" s="516">
        <v>372060</v>
      </c>
      <c r="N51" s="516">
        <v>376382</v>
      </c>
      <c r="O51" s="516">
        <v>376184</v>
      </c>
    </row>
    <row r="52" spans="1:18" ht="13.5" customHeight="1">
      <c r="A52" s="45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O52" s="44" t="s">
        <v>34</v>
      </c>
    </row>
    <row r="53" spans="1:18" ht="19.5" customHeight="1">
      <c r="B53" s="49" t="s">
        <v>35</v>
      </c>
      <c r="C53" s="517">
        <v>77.011809000000014</v>
      </c>
      <c r="D53" s="517">
        <v>80.788287999999994</v>
      </c>
      <c r="E53" s="517">
        <v>80.956406999999999</v>
      </c>
      <c r="F53" s="517">
        <v>79.417426000000006</v>
      </c>
      <c r="G53" s="517">
        <v>83.259813000000008</v>
      </c>
      <c r="H53" s="517">
        <v>66.102627999999996</v>
      </c>
      <c r="I53" s="517">
        <v>50.227903999999995</v>
      </c>
      <c r="J53" s="517">
        <v>50.886006999999999</v>
      </c>
      <c r="K53" s="517">
        <v>47.531760000000006</v>
      </c>
      <c r="L53" s="518">
        <v>45.161969999999997</v>
      </c>
      <c r="M53" s="518">
        <v>52.200420000000001</v>
      </c>
      <c r="N53" s="510">
        <v>54.224873000000002</v>
      </c>
      <c r="O53" s="510">
        <v>59.878</v>
      </c>
    </row>
    <row r="54" spans="1:18" ht="19.5" customHeight="1">
      <c r="A54" s="46"/>
      <c r="B54" s="45"/>
      <c r="C54" s="519"/>
      <c r="D54" s="519"/>
      <c r="E54" s="519"/>
      <c r="F54" s="519"/>
      <c r="G54" s="519"/>
      <c r="H54" s="519"/>
      <c r="I54" s="519"/>
      <c r="J54" s="519"/>
      <c r="K54" s="519"/>
      <c r="L54" s="519"/>
      <c r="M54" s="519"/>
    </row>
    <row r="55" spans="1:18" ht="19.5" customHeight="1">
      <c r="A55" s="520" t="s">
        <v>647</v>
      </c>
      <c r="B55" s="337"/>
      <c r="C55" s="521"/>
      <c r="D55" s="521"/>
      <c r="E55" s="521"/>
      <c r="F55" s="521"/>
      <c r="G55" s="521"/>
      <c r="H55" s="521"/>
      <c r="I55" s="521"/>
      <c r="J55" s="521"/>
      <c r="K55" s="521"/>
      <c r="L55" s="521"/>
      <c r="M55" s="521"/>
      <c r="O55" s="521" t="s">
        <v>3</v>
      </c>
    </row>
    <row r="56" spans="1:18" ht="19.5" customHeight="1">
      <c r="A56" s="337"/>
      <c r="B56" s="522" t="s">
        <v>36</v>
      </c>
      <c r="C56" s="523">
        <v>9971.4330000000009</v>
      </c>
      <c r="D56" s="523">
        <v>10671.361999999999</v>
      </c>
      <c r="E56" s="523">
        <v>10837.052000000003</v>
      </c>
      <c r="F56" s="523">
        <v>10572.758999999998</v>
      </c>
      <c r="G56" s="523">
        <v>10588.667000000001</v>
      </c>
      <c r="H56" s="523">
        <v>10720.838</v>
      </c>
      <c r="I56" s="523">
        <v>10013.630000000001</v>
      </c>
      <c r="J56" s="523">
        <v>10218.645999999999</v>
      </c>
      <c r="K56" s="523">
        <v>9990.4419999999991</v>
      </c>
      <c r="L56" s="523">
        <v>9630.9830000000002</v>
      </c>
      <c r="M56" s="523">
        <v>9697.5620000000017</v>
      </c>
      <c r="N56" s="523">
        <v>9661.5789999999979</v>
      </c>
      <c r="O56" s="523">
        <v>9678.86</v>
      </c>
    </row>
    <row r="57" spans="1:18" ht="19.5" customHeight="1">
      <c r="A57" s="337"/>
      <c r="B57" s="522" t="s">
        <v>37</v>
      </c>
      <c r="C57" s="523">
        <v>2790.6259999999997</v>
      </c>
      <c r="D57" s="523">
        <v>2955.0200000000004</v>
      </c>
      <c r="E57" s="523">
        <v>3077.027</v>
      </c>
      <c r="F57" s="523">
        <v>3026.2640000000001</v>
      </c>
      <c r="G57" s="523">
        <v>3113.174</v>
      </c>
      <c r="H57" s="523">
        <v>3244.2729999999997</v>
      </c>
      <c r="I57" s="523">
        <v>3055.9610000000002</v>
      </c>
      <c r="J57" s="523">
        <v>3127.527</v>
      </c>
      <c r="K57" s="523">
        <v>3062.6410000000001</v>
      </c>
      <c r="L57" s="523">
        <v>3050.8770000000004</v>
      </c>
      <c r="M57" s="523">
        <v>3057.1689999999999</v>
      </c>
      <c r="N57" s="523">
        <v>2950.9359999999997</v>
      </c>
      <c r="O57" s="523">
        <v>3033.1160000000004</v>
      </c>
    </row>
    <row r="58" spans="1:18" ht="19.5" customHeight="1">
      <c r="A58" s="520" t="s">
        <v>431</v>
      </c>
      <c r="B58" s="337"/>
      <c r="C58" s="521"/>
      <c r="D58" s="521"/>
      <c r="E58" s="521"/>
      <c r="F58" s="521"/>
      <c r="G58" s="521"/>
      <c r="H58" s="521"/>
      <c r="I58" s="521"/>
      <c r="J58" s="521"/>
      <c r="K58" s="521"/>
      <c r="L58" s="521"/>
      <c r="M58" s="521"/>
    </row>
    <row r="59" spans="1:18" ht="19.5" customHeight="1">
      <c r="A59" s="337"/>
      <c r="B59" s="522" t="s">
        <v>36</v>
      </c>
      <c r="C59" s="523">
        <v>7575.558</v>
      </c>
      <c r="D59" s="523">
        <v>8033.7749999999996</v>
      </c>
      <c r="E59" s="523">
        <v>8293.0520000000033</v>
      </c>
      <c r="F59" s="523">
        <v>8327.4359999999979</v>
      </c>
      <c r="G59" s="523">
        <v>8452.6670000000013</v>
      </c>
      <c r="H59" s="523">
        <v>8515.8379999999997</v>
      </c>
      <c r="I59" s="523">
        <v>8000.63</v>
      </c>
      <c r="J59" s="523">
        <v>8271.6459999999988</v>
      </c>
      <c r="K59" s="523">
        <v>8016.4259999999995</v>
      </c>
      <c r="L59" s="523">
        <v>7773.2379999999994</v>
      </c>
      <c r="M59" s="523">
        <v>7888.1470000000018</v>
      </c>
      <c r="N59" s="523">
        <v>7830.5789999999988</v>
      </c>
      <c r="O59" s="48">
        <v>7884.7</v>
      </c>
      <c r="R59" s="41" t="s">
        <v>139</v>
      </c>
    </row>
    <row r="60" spans="1:18" ht="19.5" customHeight="1">
      <c r="A60" s="337"/>
      <c r="B60" s="522" t="s">
        <v>37</v>
      </c>
      <c r="C60" s="523">
        <v>2259.6259999999997</v>
      </c>
      <c r="D60" s="523">
        <v>2388.0200000000004</v>
      </c>
      <c r="E60" s="523">
        <v>2476.027</v>
      </c>
      <c r="F60" s="523">
        <v>2503.2640000000001</v>
      </c>
      <c r="G60" s="523">
        <v>2610.174</v>
      </c>
      <c r="H60" s="523">
        <v>2713.2729999999997</v>
      </c>
      <c r="I60" s="523">
        <v>2568.9610000000002</v>
      </c>
      <c r="J60" s="523">
        <v>2647.527</v>
      </c>
      <c r="K60" s="523">
        <v>2553.9830000000002</v>
      </c>
      <c r="L60" s="523">
        <v>2551.3590000000004</v>
      </c>
      <c r="M60" s="523">
        <v>2628.067</v>
      </c>
      <c r="N60" s="523">
        <v>2576.7379999999998</v>
      </c>
      <c r="O60" s="692">
        <v>2625.2</v>
      </c>
    </row>
    <row r="61" spans="1:18" ht="9" customHeight="1">
      <c r="A61" s="524"/>
      <c r="B61" s="524"/>
      <c r="C61" s="525"/>
      <c r="D61" s="525"/>
      <c r="E61" s="524"/>
      <c r="F61" s="524"/>
      <c r="G61" s="524"/>
      <c r="H61" s="524"/>
      <c r="I61" s="524"/>
      <c r="J61" s="524"/>
      <c r="K61" s="524"/>
      <c r="L61" s="524"/>
      <c r="M61" s="524"/>
      <c r="N61" s="524"/>
      <c r="O61" s="691"/>
    </row>
    <row r="62" spans="1:18">
      <c r="A62" s="2">
        <v>1</v>
      </c>
      <c r="B62" s="18" t="s">
        <v>38</v>
      </c>
      <c r="C62" s="45"/>
      <c r="D62" s="41"/>
      <c r="E62" s="41"/>
      <c r="F62" s="41"/>
      <c r="G62" s="41"/>
    </row>
    <row r="63" spans="1:18">
      <c r="A63" s="2">
        <v>2</v>
      </c>
      <c r="B63" s="18" t="s">
        <v>39</v>
      </c>
      <c r="C63" s="526"/>
      <c r="D63" s="526"/>
      <c r="E63" s="526"/>
      <c r="F63" s="526"/>
      <c r="G63" s="526"/>
      <c r="H63" s="45"/>
      <c r="I63" s="45"/>
      <c r="J63" s="45"/>
      <c r="K63" s="45"/>
      <c r="L63" s="45"/>
      <c r="M63" s="45"/>
    </row>
    <row r="64" spans="1:18">
      <c r="A64" s="2">
        <v>3</v>
      </c>
      <c r="B64" s="2" t="s">
        <v>40</v>
      </c>
      <c r="C64" s="526"/>
      <c r="D64" s="526"/>
      <c r="E64" s="526"/>
      <c r="F64" s="526"/>
      <c r="G64" s="526"/>
      <c r="H64" s="45"/>
      <c r="I64" s="45"/>
      <c r="J64" s="45"/>
      <c r="K64" s="45"/>
      <c r="L64" s="45"/>
      <c r="M64" s="45"/>
    </row>
    <row r="65" spans="1:14">
      <c r="A65" s="2"/>
      <c r="B65" s="2" t="s">
        <v>382</v>
      </c>
      <c r="C65" s="526"/>
      <c r="D65" s="526"/>
      <c r="E65" s="526"/>
      <c r="F65" s="526"/>
      <c r="G65" s="526"/>
      <c r="H65" s="45"/>
      <c r="I65" s="45"/>
      <c r="J65" s="45"/>
      <c r="K65" s="45"/>
      <c r="L65" s="45"/>
      <c r="M65" s="45"/>
    </row>
    <row r="66" spans="1:14">
      <c r="A66" s="2">
        <v>4</v>
      </c>
      <c r="B66" s="18" t="s">
        <v>41</v>
      </c>
      <c r="C66" s="526"/>
      <c r="D66" s="526"/>
      <c r="E66" s="526"/>
      <c r="F66" s="526"/>
      <c r="G66" s="526"/>
      <c r="H66" s="45"/>
      <c r="I66" s="45"/>
      <c r="J66" s="45"/>
      <c r="K66" s="45"/>
      <c r="L66" s="45"/>
      <c r="M66" s="45"/>
    </row>
    <row r="67" spans="1:14">
      <c r="A67" s="2"/>
      <c r="B67" s="18" t="s">
        <v>42</v>
      </c>
      <c r="C67" s="526"/>
      <c r="D67" s="526"/>
      <c r="E67" s="526"/>
      <c r="F67" s="526"/>
      <c r="G67" s="526"/>
      <c r="H67" s="45"/>
      <c r="I67" s="45"/>
      <c r="J67" s="45"/>
      <c r="K67" s="45"/>
      <c r="L67" s="45"/>
      <c r="M67" s="45"/>
    </row>
    <row r="68" spans="1:14">
      <c r="A68" s="2">
        <v>5</v>
      </c>
      <c r="B68" s="299" t="s">
        <v>398</v>
      </c>
      <c r="C68" s="528"/>
      <c r="D68" s="528"/>
      <c r="E68" s="528"/>
      <c r="F68" s="528"/>
      <c r="G68" s="528"/>
      <c r="H68" s="527"/>
      <c r="I68" s="527"/>
      <c r="J68" s="527"/>
      <c r="K68" s="527"/>
      <c r="L68" s="45"/>
      <c r="M68" s="45"/>
    </row>
    <row r="69" spans="1:14">
      <c r="A69" s="2">
        <v>6</v>
      </c>
      <c r="B69" s="18" t="s">
        <v>43</v>
      </c>
    </row>
    <row r="70" spans="1:14">
      <c r="A70" s="2"/>
      <c r="B70" s="18" t="s">
        <v>44</v>
      </c>
    </row>
    <row r="71" spans="1:14">
      <c r="A71" s="2"/>
      <c r="B71" s="18" t="s">
        <v>389</v>
      </c>
    </row>
    <row r="72" spans="1:14">
      <c r="A72" s="2">
        <v>7</v>
      </c>
      <c r="B72" s="18" t="s">
        <v>45</v>
      </c>
    </row>
    <row r="73" spans="1:14">
      <c r="A73" s="322"/>
      <c r="B73" s="323" t="s">
        <v>401</v>
      </c>
      <c r="C73" s="530"/>
      <c r="D73" s="530"/>
      <c r="E73" s="530"/>
      <c r="F73" s="530"/>
      <c r="G73" s="530"/>
      <c r="H73" s="529"/>
      <c r="I73" s="529"/>
      <c r="J73" s="529"/>
      <c r="K73" s="529"/>
      <c r="L73" s="529"/>
      <c r="M73" s="529"/>
      <c r="N73" s="529"/>
    </row>
    <row r="74" spans="1:14">
      <c r="A74" s="322"/>
      <c r="B74" s="533" t="s">
        <v>402</v>
      </c>
      <c r="C74" s="530"/>
      <c r="D74" s="530"/>
      <c r="E74" s="530"/>
      <c r="F74" s="530"/>
      <c r="G74" s="530"/>
      <c r="H74" s="529"/>
      <c r="I74" s="529"/>
      <c r="J74" s="529"/>
      <c r="K74" s="529"/>
      <c r="L74" s="529"/>
      <c r="M74" s="529"/>
      <c r="N74" s="529"/>
    </row>
    <row r="75" spans="1:14">
      <c r="A75" s="322">
        <v>8</v>
      </c>
      <c r="B75" s="534" t="s">
        <v>727</v>
      </c>
      <c r="C75" s="530"/>
      <c r="D75" s="530"/>
      <c r="E75" s="530"/>
      <c r="F75" s="530"/>
      <c r="G75" s="530"/>
      <c r="H75" s="529"/>
      <c r="I75" s="529"/>
      <c r="J75" s="529"/>
      <c r="K75" s="529"/>
      <c r="L75" s="529"/>
      <c r="M75" s="529"/>
      <c r="N75" s="529"/>
    </row>
    <row r="76" spans="1:14">
      <c r="A76" s="322"/>
      <c r="B76" s="534" t="s">
        <v>729</v>
      </c>
      <c r="C76" s="530"/>
      <c r="D76" s="530"/>
      <c r="E76" s="530"/>
      <c r="F76" s="530"/>
      <c r="G76" s="530"/>
      <c r="H76" s="529"/>
      <c r="I76" s="529"/>
      <c r="J76" s="529"/>
      <c r="K76" s="529"/>
      <c r="L76" s="529"/>
      <c r="M76" s="529"/>
      <c r="N76" s="529"/>
    </row>
    <row r="77" spans="1:14">
      <c r="A77" s="322"/>
      <c r="B77" s="534" t="s">
        <v>728</v>
      </c>
      <c r="C77" s="530"/>
      <c r="D77" s="530"/>
      <c r="E77" s="530"/>
      <c r="F77" s="530"/>
      <c r="G77" s="530"/>
      <c r="H77" s="529"/>
      <c r="I77" s="529"/>
      <c r="J77" s="529"/>
      <c r="K77" s="529"/>
      <c r="L77" s="529"/>
      <c r="M77" s="529"/>
      <c r="N77" s="529"/>
    </row>
    <row r="78" spans="1:14">
      <c r="A78" s="533" t="s">
        <v>433</v>
      </c>
      <c r="B78" s="322"/>
      <c r="C78" s="530"/>
      <c r="D78" s="529"/>
      <c r="E78" s="529"/>
      <c r="F78" s="529"/>
      <c r="G78" s="529"/>
      <c r="H78" s="529"/>
      <c r="I78" s="529"/>
      <c r="J78" s="529"/>
      <c r="K78" s="529"/>
      <c r="L78" s="529"/>
      <c r="M78" s="529"/>
      <c r="N78" s="529"/>
    </row>
    <row r="79" spans="1:14">
      <c r="A79" s="322" t="s">
        <v>399</v>
      </c>
      <c r="B79" s="535"/>
      <c r="C79" s="531"/>
      <c r="D79" s="531"/>
      <c r="E79" s="531"/>
      <c r="F79" s="531"/>
      <c r="G79" s="531"/>
      <c r="H79" s="337"/>
      <c r="I79" s="337"/>
      <c r="J79" s="337"/>
      <c r="K79" s="337"/>
      <c r="L79" s="337"/>
      <c r="M79" s="337"/>
      <c r="N79" s="529"/>
    </row>
    <row r="80" spans="1:14" ht="12.75" customHeight="1">
      <c r="A80" s="2"/>
      <c r="B80" s="536" t="s">
        <v>406</v>
      </c>
      <c r="C80" s="526"/>
      <c r="D80" s="526"/>
      <c r="E80" s="526"/>
      <c r="F80" s="526"/>
      <c r="G80" s="526"/>
      <c r="H80" s="45"/>
      <c r="I80" s="45"/>
      <c r="J80" s="45"/>
      <c r="K80" s="45"/>
      <c r="L80" s="45"/>
      <c r="M80" s="45"/>
    </row>
    <row r="81" spans="1:13">
      <c r="A81" s="2" t="s">
        <v>388</v>
      </c>
      <c r="B81" s="2"/>
      <c r="C81" s="526"/>
      <c r="D81" s="526"/>
      <c r="E81" s="526"/>
      <c r="F81" s="526"/>
      <c r="G81" s="526"/>
      <c r="H81" s="45"/>
      <c r="I81" s="45"/>
      <c r="J81" s="45"/>
      <c r="K81" s="45"/>
      <c r="L81" s="45"/>
      <c r="M81" s="45"/>
    </row>
    <row r="82" spans="1:13">
      <c r="A82" s="18"/>
      <c r="B82" s="45"/>
      <c r="C82" s="526"/>
      <c r="D82" s="526"/>
      <c r="E82" s="526"/>
      <c r="F82" s="526"/>
      <c r="G82" s="526"/>
      <c r="H82" s="45"/>
      <c r="I82" s="45"/>
      <c r="J82" s="45"/>
      <c r="K82" s="45"/>
      <c r="L82" s="45"/>
      <c r="M82" s="45"/>
    </row>
    <row r="83" spans="1:13">
      <c r="A83" s="45"/>
      <c r="B83" s="45"/>
      <c r="C83" s="526"/>
      <c r="D83" s="526"/>
      <c r="E83" s="526"/>
      <c r="F83" s="526"/>
      <c r="G83" s="526"/>
      <c r="H83" s="45"/>
      <c r="I83" s="45"/>
      <c r="J83" s="45"/>
      <c r="K83" s="45"/>
      <c r="L83" s="45"/>
      <c r="M83" s="45"/>
    </row>
    <row r="84" spans="1:13">
      <c r="A84" s="45"/>
      <c r="B84" s="45"/>
      <c r="C84" s="526"/>
      <c r="D84" s="526"/>
      <c r="E84" s="526"/>
      <c r="F84" s="526"/>
      <c r="G84" s="526"/>
      <c r="H84" s="45"/>
      <c r="I84" s="45"/>
      <c r="J84" s="45"/>
      <c r="K84" s="45"/>
      <c r="L84" s="45"/>
      <c r="M84" s="45"/>
    </row>
    <row r="85" spans="1:13">
      <c r="A85" s="45"/>
      <c r="B85" s="45"/>
      <c r="C85" s="526"/>
      <c r="D85" s="526"/>
      <c r="E85" s="526"/>
      <c r="F85" s="526"/>
      <c r="G85" s="526"/>
      <c r="H85" s="45"/>
      <c r="I85" s="45"/>
      <c r="J85" s="45"/>
      <c r="K85" s="45"/>
      <c r="L85" s="45"/>
      <c r="M85" s="45"/>
    </row>
    <row r="86" spans="1:13">
      <c r="A86" s="45"/>
      <c r="B86" s="45"/>
      <c r="C86" s="526"/>
      <c r="D86" s="526"/>
      <c r="E86" s="526"/>
      <c r="F86" s="526"/>
      <c r="G86" s="526"/>
      <c r="H86" s="45"/>
      <c r="I86" s="45"/>
      <c r="J86" s="45"/>
      <c r="K86" s="45"/>
      <c r="L86" s="45"/>
      <c r="M86" s="45"/>
    </row>
    <row r="87" spans="1:13">
      <c r="A87" s="45"/>
      <c r="B87" s="45"/>
      <c r="C87" s="526"/>
      <c r="D87" s="526"/>
      <c r="E87" s="526"/>
      <c r="F87" s="526"/>
      <c r="G87" s="526"/>
      <c r="H87" s="45"/>
      <c r="I87" s="45"/>
      <c r="J87" s="45"/>
      <c r="K87" s="45"/>
      <c r="L87" s="45"/>
      <c r="M87" s="45"/>
    </row>
    <row r="88" spans="1:13">
      <c r="A88" s="45"/>
      <c r="B88" s="45"/>
      <c r="C88" s="526"/>
      <c r="D88" s="526"/>
      <c r="E88" s="526"/>
      <c r="F88" s="526"/>
      <c r="G88" s="526"/>
      <c r="H88" s="45"/>
      <c r="I88" s="45"/>
      <c r="J88" s="45"/>
      <c r="K88" s="45"/>
      <c r="L88" s="45"/>
      <c r="M88" s="45"/>
    </row>
    <row r="89" spans="1:13">
      <c r="A89" s="45"/>
      <c r="B89" s="45"/>
      <c r="C89" s="526"/>
      <c r="D89" s="526"/>
      <c r="E89" s="526"/>
      <c r="F89" s="526"/>
      <c r="G89" s="526"/>
      <c r="H89" s="45"/>
      <c r="I89" s="45"/>
      <c r="J89" s="45"/>
      <c r="K89" s="45"/>
      <c r="L89" s="45"/>
      <c r="M89" s="45"/>
    </row>
    <row r="90" spans="1:13">
      <c r="A90" s="45"/>
      <c r="B90" s="45"/>
      <c r="C90" s="526"/>
      <c r="D90" s="526"/>
      <c r="E90" s="526"/>
      <c r="F90" s="526"/>
      <c r="G90" s="526"/>
      <c r="H90" s="45"/>
      <c r="I90" s="45"/>
      <c r="J90" s="45"/>
      <c r="K90" s="45"/>
      <c r="L90" s="45"/>
      <c r="M90" s="45"/>
    </row>
    <row r="91" spans="1:13">
      <c r="A91" s="45"/>
      <c r="B91" s="45"/>
      <c r="C91" s="526"/>
      <c r="D91" s="526"/>
      <c r="E91" s="526"/>
      <c r="F91" s="526"/>
      <c r="G91" s="526"/>
      <c r="H91" s="45"/>
      <c r="I91" s="45"/>
      <c r="J91" s="45"/>
      <c r="K91" s="45"/>
      <c r="L91" s="45"/>
      <c r="M91" s="45"/>
    </row>
    <row r="92" spans="1:13">
      <c r="A92" s="45"/>
      <c r="B92" s="45"/>
      <c r="C92" s="526"/>
      <c r="D92" s="526"/>
      <c r="E92" s="526"/>
      <c r="F92" s="526"/>
      <c r="G92" s="526"/>
      <c r="H92" s="45"/>
      <c r="I92" s="45"/>
      <c r="J92" s="45"/>
      <c r="K92" s="45"/>
      <c r="L92" s="45"/>
      <c r="M92" s="45"/>
    </row>
    <row r="93" spans="1:13">
      <c r="A93" s="45"/>
      <c r="B93" s="45"/>
      <c r="C93" s="526"/>
      <c r="D93" s="526"/>
      <c r="E93" s="526"/>
      <c r="F93" s="526"/>
      <c r="G93" s="526"/>
      <c r="H93" s="45"/>
      <c r="I93" s="45"/>
      <c r="J93" s="45"/>
      <c r="K93" s="45"/>
      <c r="L93" s="45"/>
      <c r="M93" s="45"/>
    </row>
    <row r="94" spans="1:13">
      <c r="A94" s="45"/>
      <c r="B94" s="45"/>
      <c r="C94" s="526"/>
      <c r="D94" s="526"/>
      <c r="E94" s="526"/>
      <c r="F94" s="526"/>
      <c r="G94" s="526"/>
      <c r="H94" s="45"/>
      <c r="I94" s="45"/>
      <c r="J94" s="45"/>
      <c r="K94" s="45"/>
      <c r="L94" s="45"/>
      <c r="M94" s="45"/>
    </row>
    <row r="95" spans="1:13">
      <c r="A95" s="45"/>
      <c r="B95" s="45"/>
      <c r="C95" s="526"/>
      <c r="D95" s="526"/>
      <c r="E95" s="526"/>
      <c r="F95" s="526"/>
      <c r="G95" s="526"/>
      <c r="H95" s="45"/>
      <c r="I95" s="45"/>
      <c r="J95" s="45"/>
      <c r="K95" s="45"/>
      <c r="L95" s="45"/>
      <c r="M95" s="45"/>
    </row>
    <row r="96" spans="1:13">
      <c r="A96" s="45"/>
      <c r="B96" s="45"/>
      <c r="C96" s="526"/>
      <c r="D96" s="526"/>
      <c r="E96" s="526"/>
      <c r="F96" s="526"/>
      <c r="G96" s="526"/>
      <c r="H96" s="45"/>
      <c r="I96" s="45"/>
      <c r="J96" s="45"/>
      <c r="K96" s="45"/>
      <c r="L96" s="45"/>
      <c r="M96" s="45"/>
    </row>
    <row r="97" spans="1:13">
      <c r="A97" s="45"/>
      <c r="B97" s="45"/>
      <c r="C97" s="526"/>
      <c r="D97" s="526"/>
      <c r="E97" s="526"/>
      <c r="F97" s="526"/>
      <c r="G97" s="526"/>
      <c r="H97" s="45"/>
      <c r="I97" s="45"/>
      <c r="J97" s="45"/>
      <c r="K97" s="45"/>
      <c r="L97" s="45"/>
      <c r="M97" s="45"/>
    </row>
    <row r="98" spans="1:13">
      <c r="A98" s="45"/>
      <c r="B98" s="45"/>
      <c r="C98" s="526"/>
      <c r="D98" s="526"/>
      <c r="E98" s="526"/>
      <c r="F98" s="526"/>
      <c r="G98" s="526"/>
      <c r="H98" s="45"/>
      <c r="I98" s="45"/>
      <c r="J98" s="45"/>
      <c r="K98" s="45"/>
      <c r="L98" s="45"/>
      <c r="M98" s="45"/>
    </row>
    <row r="99" spans="1:13">
      <c r="A99" s="45"/>
      <c r="B99" s="45"/>
      <c r="C99" s="526"/>
      <c r="D99" s="526"/>
      <c r="E99" s="526"/>
      <c r="F99" s="526"/>
      <c r="G99" s="526"/>
      <c r="H99" s="45"/>
      <c r="I99" s="45"/>
      <c r="J99" s="45"/>
      <c r="K99" s="45"/>
      <c r="L99" s="45"/>
      <c r="M99" s="45"/>
    </row>
    <row r="100" spans="1:13">
      <c r="A100" s="45"/>
      <c r="B100" s="45"/>
      <c r="C100" s="526"/>
      <c r="D100" s="526"/>
      <c r="E100" s="526"/>
      <c r="F100" s="526"/>
      <c r="G100" s="526"/>
      <c r="H100" s="45"/>
      <c r="I100" s="45"/>
      <c r="J100" s="45"/>
      <c r="K100" s="45"/>
      <c r="L100" s="45"/>
      <c r="M100" s="45"/>
    </row>
    <row r="101" spans="1:13">
      <c r="A101" s="45"/>
      <c r="B101" s="45"/>
      <c r="C101" s="526"/>
      <c r="D101" s="526"/>
      <c r="E101" s="526"/>
      <c r="F101" s="526"/>
      <c r="G101" s="526"/>
      <c r="H101" s="45"/>
      <c r="I101" s="45"/>
      <c r="J101" s="45"/>
      <c r="K101" s="45"/>
      <c r="L101" s="45"/>
      <c r="M101" s="45"/>
    </row>
  </sheetData>
  <phoneticPr fontId="3" type="noConversion"/>
  <pageMargins left="0.94488188976377963" right="0" top="0.70866141732283472" bottom="0.55118110236220474" header="0.51181102362204722" footer="0.51181102362204722"/>
  <pageSetup paperSize="9" scale="5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pageSetUpPr fitToPage="1"/>
  </sheetPr>
  <dimension ref="A1:O77"/>
  <sheetViews>
    <sheetView zoomScale="78" zoomScaleNormal="78" workbookViewId="0">
      <selection activeCell="O14" sqref="O14"/>
    </sheetView>
  </sheetViews>
  <sheetFormatPr defaultColWidth="12.5703125" defaultRowHeight="15"/>
  <cols>
    <col min="1" max="1" width="3.42578125" style="18" customWidth="1"/>
    <col min="2" max="2" width="41.7109375" style="18" customWidth="1"/>
    <col min="3" max="3" width="8.7109375" style="18" hidden="1" customWidth="1"/>
    <col min="4" max="4" width="9.85546875" style="18" hidden="1" customWidth="1"/>
    <col min="5" max="5" width="10.28515625" style="18" customWidth="1"/>
    <col min="6" max="6" width="9.85546875" style="18" customWidth="1"/>
    <col min="7" max="7" width="9.7109375" style="18" customWidth="1"/>
    <col min="8" max="8" width="9.5703125" style="18" customWidth="1"/>
    <col min="9" max="9" width="10.28515625" style="18" customWidth="1"/>
    <col min="10" max="10" width="10.140625" style="18" customWidth="1"/>
    <col min="11" max="11" width="9.85546875" style="18" customWidth="1"/>
    <col min="12" max="12" width="9.7109375" style="18" customWidth="1"/>
    <col min="13" max="13" width="11" style="18" customWidth="1"/>
    <col min="14" max="14" width="11.140625" style="18" customWidth="1"/>
    <col min="15" max="16384" width="12.5703125" style="18"/>
  </cols>
  <sheetData>
    <row r="1" spans="1:15" ht="22.5" customHeight="1">
      <c r="A1" s="46" t="s">
        <v>648</v>
      </c>
      <c r="B1" s="45"/>
      <c r="C1" s="45"/>
      <c r="D1" s="45"/>
      <c r="E1" s="45"/>
      <c r="F1" s="45"/>
      <c r="G1" s="537"/>
      <c r="H1" s="45"/>
      <c r="I1" s="45"/>
      <c r="J1" s="45"/>
      <c r="K1" s="45"/>
      <c r="L1" s="45"/>
      <c r="M1" s="549" t="s">
        <v>461</v>
      </c>
    </row>
    <row r="2" spans="1:15" ht="18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5" s="11" customFormat="1" ht="21.75" customHeight="1">
      <c r="A3" s="482"/>
      <c r="B3" s="482"/>
      <c r="C3" s="482">
        <v>2002</v>
      </c>
      <c r="D3" s="482">
        <v>2003</v>
      </c>
      <c r="E3" s="482">
        <v>2004</v>
      </c>
      <c r="F3" s="482">
        <v>2005</v>
      </c>
      <c r="G3" s="482">
        <v>2006</v>
      </c>
      <c r="H3" s="482">
        <v>2007</v>
      </c>
      <c r="I3" s="482">
        <v>2008</v>
      </c>
      <c r="J3" s="482">
        <v>2009</v>
      </c>
      <c r="K3" s="482">
        <v>2010</v>
      </c>
      <c r="L3" s="482">
        <v>2011</v>
      </c>
      <c r="M3" s="482">
        <v>2012</v>
      </c>
      <c r="N3" s="482">
        <v>2013</v>
      </c>
      <c r="O3" s="482">
        <v>2014</v>
      </c>
    </row>
    <row r="4" spans="1:15" s="11" customFormat="1" ht="6" customHeight="1">
      <c r="A4" s="484"/>
      <c r="B4" s="484"/>
      <c r="C4" s="484"/>
      <c r="D4" s="484"/>
      <c r="E4" s="484"/>
      <c r="F4" s="47"/>
      <c r="G4" s="47"/>
      <c r="H4" s="47"/>
      <c r="I4" s="47"/>
      <c r="J4" s="47"/>
      <c r="K4" s="47"/>
      <c r="L4" s="47"/>
      <c r="M4" s="47"/>
      <c r="N4" s="479"/>
    </row>
    <row r="5" spans="1:15" ht="20.25" customHeight="1">
      <c r="A5" s="46" t="s">
        <v>2</v>
      </c>
      <c r="B5" s="47"/>
      <c r="C5" s="45"/>
      <c r="D5" s="45"/>
      <c r="E5" s="45"/>
      <c r="F5" s="45"/>
      <c r="G5" s="45"/>
      <c r="H5" s="45"/>
      <c r="I5" s="45"/>
      <c r="J5" s="45"/>
      <c r="K5" s="45"/>
      <c r="M5" s="538" t="s">
        <v>672</v>
      </c>
      <c r="N5" s="45"/>
    </row>
    <row r="6" spans="1:15" ht="20.25" customHeight="1">
      <c r="A6" s="45"/>
      <c r="B6" s="49" t="s">
        <v>630</v>
      </c>
      <c r="C6" s="55">
        <f>IF(ISERR('S1 Numbers'!C6/'S1 Numbers'!$C6*100),"..",IF(('S1 Numbers'!C6/'S1 Numbers'!$C6*100)=0,"..",('S1 Numbers'!C6/'S1 Numbers'!$C6)*100))</f>
        <v>100</v>
      </c>
      <c r="D6" s="55">
        <f>IF(ISERR('S1 Numbers'!D6/'S1 Numbers'!$D6*100),"..",IF(('S1 Numbers'!D6/'S1 Numbers'!$D6*100)=0,"..",('S1 Numbers'!D6/'S1 Numbers'!$D6)*100))</f>
        <v>100</v>
      </c>
      <c r="E6" s="55">
        <f>IF(ISERR('S1 Numbers'!E6/'S1 Numbers'!$E6*100),"..",IF(('S1 Numbers'!E6/'S1 Numbers'!$E6*100)=0,"..",('S1 Numbers'!E6/'S1 Numbers'!$E6)*100))</f>
        <v>100</v>
      </c>
      <c r="F6" s="55">
        <f>IF(ISERR('S1 Numbers'!F6/'S1 Numbers'!$E6*100),"..",IF(('S1 Numbers'!F6/'S1 Numbers'!$E6*100)=0,"..",('S1 Numbers'!F6/'S1 Numbers'!$E6)*100))</f>
        <v>103.3744274064681</v>
      </c>
      <c r="G6" s="55">
        <f>IF(ISERR('S1 Numbers'!G6/'S1 Numbers'!$E6*100),"..",IF(('S1 Numbers'!G6/'S1 Numbers'!$E6*100)=0,"..",('S1 Numbers'!G6/'S1 Numbers'!$E6)*100))</f>
        <v>104.64565801867234</v>
      </c>
      <c r="H6" s="55">
        <f>IF(ISERR('S1 Numbers'!H6/'S1 Numbers'!$E6*100),"..",IF(('S1 Numbers'!H6/'S1 Numbers'!$E6*100)=0,"..",('S1 Numbers'!H6/'S1 Numbers'!$E6)*100))</f>
        <v>107.18149390677551</v>
      </c>
      <c r="I6" s="55">
        <f>IF(ISERR('S1 Numbers'!I6/'S1 Numbers'!$E6*100),"..",IF(('S1 Numbers'!I6/'S1 Numbers'!$E6*100)=0,"..",('S1 Numbers'!I6/'S1 Numbers'!$E6)*100))</f>
        <v>108.75651703753879</v>
      </c>
      <c r="J6" s="55">
        <f>IF(ISERR('S1 Numbers'!J6/'S1 Numbers'!$E6*100),"..",IF(('S1 Numbers'!J6/'S1 Numbers'!$E6*100)=0,"..",('S1 Numbers'!J6/'S1 Numbers'!$E6)*100))</f>
        <v>109.42887284497039</v>
      </c>
      <c r="K6" s="55">
        <f>IF(ISERR('S1 Numbers'!K6/'S1 Numbers'!$E6*100),"..",IF(('S1 Numbers'!K6/'S1 Numbers'!$E6*100)=0,"..",('S1 Numbers'!K6/'S1 Numbers'!$E6)*100))</f>
        <v>109.5388163628201</v>
      </c>
      <c r="L6" s="55">
        <f>IF(ISERR('S1 Numbers'!L6/'S1 Numbers'!$E6*100),"..",IF(('S1 Numbers'!L6/'S1 Numbers'!$E6*100)=0,"..",('S1 Numbers'!L6/'S1 Numbers'!$E6)*100))</f>
        <v>109.7581937572653</v>
      </c>
      <c r="M6" s="55">
        <f>IF(ISERR('S1 Numbers'!M6/'S1 Numbers'!$E6*100),"..",IF(('S1 Numbers'!M6/'S1 Numbers'!$E6*100)=0,"..",('S1 Numbers'!M6/'S1 Numbers'!$E6)*100))</f>
        <v>110.96280035823148</v>
      </c>
      <c r="N6" s="55">
        <f>IF(ISERR('S1 Numbers'!N6/'S1 Numbers'!$E6*100),"..",IF(('S1 Numbers'!N6/'S1 Numbers'!$E6*100)=0,"..",('S1 Numbers'!N6/'S1 Numbers'!$E6)*100))</f>
        <v>112.86237230590892</v>
      </c>
      <c r="O6" s="55">
        <f>IF(ISERR('S1 Numbers'!O6/'S1 Numbers'!$E6*100),"..",IF(('S1 Numbers'!O6/'S1 Numbers'!$E6*100)=0,"..",('S1 Numbers'!O6/'S1 Numbers'!$E6)*100))</f>
        <v>115.62523020727109</v>
      </c>
    </row>
    <row r="7" spans="1:15" ht="20.25" customHeight="1">
      <c r="A7" s="45"/>
      <c r="B7" s="49" t="s">
        <v>631</v>
      </c>
      <c r="C7" s="55">
        <f>IF(ISERR('S1 Numbers'!C7/'S1 Numbers'!$C7*100),"..",IF(('S1 Numbers'!C7/'S1 Numbers'!$C7*100)=0,"..",('S1 Numbers'!C7/'S1 Numbers'!$C7)*100))</f>
        <v>100</v>
      </c>
      <c r="D7" s="55">
        <f>IF(ISERR('S1 Numbers'!D7/'S1 Numbers'!$D7*100),"..",IF(('S1 Numbers'!D7/'S1 Numbers'!$D7*100)=0,"..",('S1 Numbers'!D7/'S1 Numbers'!$D7)*100))</f>
        <v>100</v>
      </c>
      <c r="E7" s="55">
        <f>IF(ISERR('S1 Numbers'!E7/'S1 Numbers'!$E7*100),"..",IF(('S1 Numbers'!E7/'S1 Numbers'!$E7*100)=0,"..",('S1 Numbers'!E7/'S1 Numbers'!$E7)*100))</f>
        <v>100</v>
      </c>
      <c r="F7" s="55">
        <f>IF(ISERR('S1 Numbers'!F7/'S1 Numbers'!$E7*100),"..",IF(('S1 Numbers'!F7/'S1 Numbers'!$E7*100)=0,"..",('S1 Numbers'!F7/'S1 Numbers'!$E7)*100))</f>
        <v>103.3963950422027</v>
      </c>
      <c r="G7" s="55">
        <f>IF(ISERR('S1 Numbers'!G7/'S1 Numbers'!$E7*100),"..",IF(('S1 Numbers'!G7/'S1 Numbers'!$E7*100)=0,"..",('S1 Numbers'!G7/'S1 Numbers'!$E7)*100))</f>
        <v>104.74265823157083</v>
      </c>
      <c r="H7" s="55">
        <f>IF(ISERR('S1 Numbers'!H7/'S1 Numbers'!$E7*100),"..",IF(('S1 Numbers'!H7/'S1 Numbers'!$E7*100)=0,"..",('S1 Numbers'!H7/'S1 Numbers'!$E7)*100))</f>
        <v>107.3033317757162</v>
      </c>
      <c r="I7" s="55">
        <f>IF(ISERR('S1 Numbers'!I7/'S1 Numbers'!$E7*100),"..",IF(('S1 Numbers'!I7/'S1 Numbers'!$E7*100)=0,"..",('S1 Numbers'!I7/'S1 Numbers'!$E7)*100))</f>
        <v>108.86379455138993</v>
      </c>
      <c r="J7" s="55">
        <f>IF(ISERR('S1 Numbers'!J7/'S1 Numbers'!$E7*100),"..",IF(('S1 Numbers'!J7/'S1 Numbers'!$E7*100)=0,"..",('S1 Numbers'!J7/'S1 Numbers'!$E7)*100))</f>
        <v>109.62807534074233</v>
      </c>
      <c r="K7" s="55">
        <f>IF(ISERR('S1 Numbers'!K7/'S1 Numbers'!$E7*100),"..",IF(('S1 Numbers'!K7/'S1 Numbers'!$E7*100)=0,"..",('S1 Numbers'!K7/'S1 Numbers'!$E7)*100))</f>
        <v>109.66013992412333</v>
      </c>
      <c r="L7" s="55">
        <f>IF(ISERR('S1 Numbers'!L7/'S1 Numbers'!$E7*100),"..",IF(('S1 Numbers'!L7/'S1 Numbers'!$E7*100)=0,"..",('S1 Numbers'!L7/'S1 Numbers'!$E7)*100))</f>
        <v>109.91820876208651</v>
      </c>
      <c r="M7" s="55">
        <f>IF(ISERR('S1 Numbers'!M7/'S1 Numbers'!$E7*100),"..",IF(('S1 Numbers'!M7/'S1 Numbers'!$E7*100)=0,"..",('S1 Numbers'!M7/'S1 Numbers'!$E7)*100))</f>
        <v>110.98022044094724</v>
      </c>
      <c r="N7" s="55">
        <f>IF(ISERR('S1 Numbers'!N7/'S1 Numbers'!$E7*100),"..",IF(('S1 Numbers'!N7/'S1 Numbers'!$E7*100)=0,"..",('S1 Numbers'!N7/'S1 Numbers'!$E7)*100))</f>
        <v>112.69577776833766</v>
      </c>
      <c r="O7" s="55">
        <f>IF(ISERR('S1 Numbers'!O7/'S1 Numbers'!$E7*100),"..",IF(('S1 Numbers'!O7/'S1 Numbers'!$E7*100)=0,"..",('S1 Numbers'!O7/'S1 Numbers'!$E7)*100))</f>
        <v>115.24297193348207</v>
      </c>
    </row>
    <row r="8" spans="1:15" ht="20.25" customHeight="1">
      <c r="A8" s="45"/>
      <c r="B8" s="49" t="s">
        <v>4</v>
      </c>
      <c r="C8" s="55">
        <f>IF(ISERR('S1 Numbers'!C8/'S1 Numbers'!$C8*100),"..",IF(('S1 Numbers'!C8/'S1 Numbers'!$C8*100)=0,"..",('S1 Numbers'!C8/'S1 Numbers'!$C8)*100))</f>
        <v>100</v>
      </c>
      <c r="D8" s="55">
        <f>IF(ISERR('S1 Numbers'!D8/'S1 Numbers'!$D8*100),"..",IF(('S1 Numbers'!D8/'S1 Numbers'!$D8*100)=0,"..",('S1 Numbers'!D8/'S1 Numbers'!$D8)*100))</f>
        <v>100</v>
      </c>
      <c r="E8" s="55">
        <f>IF(ISERR('S1 Numbers'!E8/'S1 Numbers'!$E8*100),"..",IF(('S1 Numbers'!E8/'S1 Numbers'!$E8*100)=0,"..",('S1 Numbers'!E8/'S1 Numbers'!$E8)*100))</f>
        <v>100</v>
      </c>
      <c r="F8" s="55">
        <f>IF(ISERR('S1 Numbers'!F8/'S1 Numbers'!$E8*100),"..",IF(('S1 Numbers'!F8/'S1 Numbers'!$E8*100)=0,"..",('S1 Numbers'!F8/'S1 Numbers'!$E8)*100))</f>
        <v>95.514993778751858</v>
      </c>
      <c r="G8" s="55">
        <f>IF(ISERR('S1 Numbers'!G8/'S1 Numbers'!$E8*100),"..",IF(('S1 Numbers'!G8/'S1 Numbers'!$E8*100)=0,"..",('S1 Numbers'!G8/'S1 Numbers'!$E8)*100))</f>
        <v>92.433288053301055</v>
      </c>
      <c r="H8" s="55">
        <f>IF(ISERR('S1 Numbers'!H8/'S1 Numbers'!$E8*100),"..",IF(('S1 Numbers'!H8/'S1 Numbers'!$E8*100)=0,"..",('S1 Numbers'!H8/'S1 Numbers'!$E8)*100))</f>
        <v>95.474660304631868</v>
      </c>
      <c r="I8" s="55">
        <f>IF(ISERR('S1 Numbers'!I8/'S1 Numbers'!$E8*100),"..",IF(('S1 Numbers'!I8/'S1 Numbers'!$E8*100)=0,"..",('S1 Numbers'!I8/'S1 Numbers'!$E8)*100))</f>
        <v>81.808461658466797</v>
      </c>
      <c r="J8" s="55">
        <f>IF(ISERR('S1 Numbers'!J8/'S1 Numbers'!$E8*100),"..",IF(('S1 Numbers'!J8/'S1 Numbers'!$E8*100)=0,"..",('S1 Numbers'!J8/'S1 Numbers'!$E8)*100))</f>
        <v>82.188966131296866</v>
      </c>
      <c r="K8" s="55">
        <f>IF(ISERR('S1 Numbers'!K8/'S1 Numbers'!$E8*100),"..",IF(('S1 Numbers'!K8/'S1 Numbers'!$E8*100)=0,"..",('S1 Numbers'!K8/'S1 Numbers'!$E8)*100))</f>
        <v>79.411283479637291</v>
      </c>
      <c r="L8" s="55">
        <f>IF(ISERR('S1 Numbers'!L8/'S1 Numbers'!$E8*100),"..",IF(('S1 Numbers'!L8/'S1 Numbers'!$E8*100)=0,"..",('S1 Numbers'!L8/'S1 Numbers'!$E8)*100))</f>
        <v>76.976054853524801</v>
      </c>
      <c r="M8" s="55">
        <f>IF(ISERR('S1 Numbers'!M8/'S1 Numbers'!$E8*100),"..",IF(('S1 Numbers'!M8/'S1 Numbers'!$E8*100)=0,"..",('S1 Numbers'!M8/'S1 Numbers'!$E8)*100))</f>
        <v>82.341167920428902</v>
      </c>
      <c r="N8" s="55">
        <f>IF(ISERR('S1 Numbers'!N8/'S1 Numbers'!$E8*100),"..",IF(('S1 Numbers'!N8/'S1 Numbers'!$E8*100)=0,"..",('S1 Numbers'!N8/'S1 Numbers'!$E8)*100))</f>
        <v>91.853779741180858</v>
      </c>
      <c r="O8" s="55">
        <f>IF(ISERR('S1 Numbers'!O8/'S1 Numbers'!$E8*100),"..",IF(('S1 Numbers'!O8/'S1 Numbers'!$E8*100)=0,"..",('S1 Numbers'!O8/'S1 Numbers'!$E8)*100))</f>
        <v>99.75457461502458</v>
      </c>
    </row>
    <row r="9" spans="1:15" ht="7.5" customHeight="1">
      <c r="A9" s="45"/>
      <c r="B9" s="45"/>
      <c r="C9" s="539"/>
      <c r="D9" s="539"/>
      <c r="E9" s="539"/>
      <c r="F9" s="539"/>
      <c r="G9" s="539"/>
      <c r="H9" s="539"/>
      <c r="I9" s="539"/>
      <c r="J9" s="539"/>
      <c r="K9" s="539"/>
      <c r="L9" s="539"/>
      <c r="M9" s="539"/>
      <c r="N9" s="55"/>
    </row>
    <row r="10" spans="1:15" ht="20.25" customHeight="1">
      <c r="A10" s="46" t="s">
        <v>632</v>
      </c>
      <c r="B10" s="47"/>
      <c r="C10" s="539"/>
      <c r="D10" s="539"/>
      <c r="E10" s="539"/>
      <c r="F10" s="539"/>
      <c r="G10" s="539"/>
      <c r="H10" s="539"/>
      <c r="I10" s="539"/>
      <c r="J10" s="539"/>
      <c r="K10" s="539"/>
      <c r="L10" s="539"/>
      <c r="M10" s="539"/>
      <c r="N10" s="55"/>
    </row>
    <row r="11" spans="1:15" ht="36.75" customHeight="1">
      <c r="A11" s="45"/>
      <c r="B11" s="489" t="s">
        <v>633</v>
      </c>
      <c r="C11" s="540"/>
      <c r="D11" s="541" t="s">
        <v>7</v>
      </c>
      <c r="E11" s="542">
        <f>IF(ISERR('S1 Numbers'!E11/'S1 Numbers'!$E11*100),"..",IF(('S1 Numbers'!E11/'S1 Numbers'!$E11*100)=0,"..",('S1 Numbers'!E11/'S1 Numbers'!$E11)*100))</f>
        <v>100</v>
      </c>
      <c r="F11" s="542">
        <f>IF(ISERR('S1 Numbers'!F11/'S1 Numbers'!$E11*100),"..",IF(('S1 Numbers'!F11/'S1 Numbers'!$E11*100)=0,"..",('S1 Numbers'!F11/'S1 Numbers'!$E11)*100))</f>
        <v>101.30434782608695</v>
      </c>
      <c r="G11" s="542">
        <f>IF(ISERR('S1 Numbers'!G11/'S1 Numbers'!$E11*100),"..",IF(('S1 Numbers'!G11/'S1 Numbers'!$E11*100)=0,"..",('S1 Numbers'!G11/'S1 Numbers'!$E11)*100))</f>
        <v>103.47826086956522</v>
      </c>
      <c r="H11" s="539">
        <f>IF(ISERR('S1 Numbers'!H11/'S1 Numbers'!$E11*100),"..",IF(('S1 Numbers'!H11/'S1 Numbers'!$E11*100)=0,"..",('S1 Numbers'!H11/'S1 Numbers'!$E11)*100))</f>
        <v>106.08695652173914</v>
      </c>
      <c r="I11" s="539">
        <f>IF(ISERR('S1 Numbers'!I11/'S1 Numbers'!$E11*100),"..",IF(('S1 Numbers'!I11/'S1 Numbers'!$E11*100)=0,"..",('S1 Numbers'!I11/'S1 Numbers'!$E11)*100))</f>
        <v>105.21739130434781</v>
      </c>
      <c r="J11" s="539">
        <f>IF(ISERR('S1 Numbers'!J11/'S1 Numbers'!$E11*100),"..",IF(('S1 Numbers'!J11/'S1 Numbers'!$E11*100)=0,"..",('S1 Numbers'!J11/'S1 Numbers'!$E11)*100))</f>
        <v>99.782608695652172</v>
      </c>
      <c r="K11" s="539">
        <f>IF(ISERR('S1 Numbers'!K11/'S1 Numbers'!$E11*100),"..",IF(('S1 Numbers'!K11/'S1 Numbers'!$E11*100)=0,"..",('S1 Numbers'!K11/'S1 Numbers'!$E11)*100))</f>
        <v>93.913043478260875</v>
      </c>
      <c r="L11" s="539">
        <f>IF(ISERR('S1 Numbers'!L11/'S1 Numbers'!$E11*100),"..",IF(('S1 Numbers'!L11/'S1 Numbers'!$E11*100)=0,"..",('S1 Numbers'!L11/'S1 Numbers'!$E11)*100))</f>
        <v>95.027218771480221</v>
      </c>
      <c r="M11" s="539">
        <f>IF(ISERR('S1 Numbers'!M11/'S1 Numbers'!$E11*100),"..",IF(('S1 Numbers'!M11/'S1 Numbers'!$E11*100)=0,"..",('S1 Numbers'!M11/'S1 Numbers'!$E11)*100))</f>
        <v>91.852888976890867</v>
      </c>
      <c r="N11" s="539">
        <f>IF(ISERR('S1 Numbers'!N11/'S1 Numbers'!$E11*100),"..",IF(('S1 Numbers'!N11/'S1 Numbers'!$E11*100)=0,"..",('S1 Numbers'!N11/'S1 Numbers'!$E11)*100))</f>
        <v>92.216771967064346</v>
      </c>
      <c r="O11" s="542">
        <f>IF(ISERR('S1 Numbers'!O11/'S1 Numbers'!$E11*100),"..",IF(('S1 Numbers'!O11/'S1 Numbers'!$E11*100)=0,"..",('S1 Numbers'!O11/'S1 Numbers'!$E11)*100))</f>
        <v>89.984900566960874</v>
      </c>
    </row>
    <row r="12" spans="1:15" ht="20.25" customHeight="1">
      <c r="A12" s="45"/>
      <c r="B12" s="49" t="s">
        <v>634</v>
      </c>
      <c r="C12" s="540"/>
      <c r="D12" s="541" t="s">
        <v>7</v>
      </c>
      <c r="E12" s="542">
        <f>IF(ISERR('S1 Numbers'!E12/'S1 Numbers'!$E12*100),"..",IF(('S1 Numbers'!E12/'S1 Numbers'!$E12*100)=0,"..",('S1 Numbers'!E12/'S1 Numbers'!$E12)*100))</f>
        <v>100</v>
      </c>
      <c r="F12" s="542">
        <f>IF(ISERR('S1 Numbers'!F12/'S1 Numbers'!$E12*100),"..",IF(('S1 Numbers'!F12/'S1 Numbers'!$E12*100)=0,"..",('S1 Numbers'!F12/'S1 Numbers'!$E12)*100))</f>
        <v>104.17827298050139</v>
      </c>
      <c r="G12" s="542">
        <f>IF(ISERR('S1 Numbers'!G12/'S1 Numbers'!$E12*100),"..",IF(('S1 Numbers'!G12/'S1 Numbers'!$E12*100)=0,"..",('S1 Numbers'!G12/'S1 Numbers'!$E12)*100))</f>
        <v>107.24233983286908</v>
      </c>
      <c r="H12" s="539">
        <f>IF(ISERR('S1 Numbers'!H12/'S1 Numbers'!$E12*100),"..",IF(('S1 Numbers'!H12/'S1 Numbers'!$E12*100)=0,"..",('S1 Numbers'!H12/'S1 Numbers'!$E12)*100))</f>
        <v>110.58495821727018</v>
      </c>
      <c r="I12" s="539">
        <f>IF(ISERR('S1 Numbers'!I12/'S1 Numbers'!$E12*100),"..",IF(('S1 Numbers'!I12/'S1 Numbers'!$E12*100)=0,"..",('S1 Numbers'!I12/'S1 Numbers'!$E12)*100))</f>
        <v>107.52089136490251</v>
      </c>
      <c r="J12" s="539">
        <f>IF(ISERR('S1 Numbers'!J12/'S1 Numbers'!$E12*100),"..",IF(('S1 Numbers'!J12/'S1 Numbers'!$E12*100)=0,"..",('S1 Numbers'!J12/'S1 Numbers'!$E12)*100))</f>
        <v>104.73537604456824</v>
      </c>
      <c r="K12" s="539">
        <f>IF(ISERR('S1 Numbers'!K12/'S1 Numbers'!$E12*100),"..",IF(('S1 Numbers'!K12/'S1 Numbers'!$E12*100)=0,"..",('S1 Numbers'!K12/'S1 Numbers'!$E12)*100))</f>
        <v>96.378830083565461</v>
      </c>
      <c r="L12" s="539">
        <f>IF(ISERR('S1 Numbers'!L12/'S1 Numbers'!$E12*100),"..",IF(('S1 Numbers'!L12/'S1 Numbers'!$E12*100)=0,"..",('S1 Numbers'!L12/'S1 Numbers'!$E12)*100))</f>
        <v>94.150417827298043</v>
      </c>
      <c r="M12" s="539">
        <f>IF(ISERR('S1 Numbers'!M12/'S1 Numbers'!$E12*100),"..",IF(('S1 Numbers'!M12/'S1 Numbers'!$E12*100)=0,"..",('S1 Numbers'!M12/'S1 Numbers'!$E12)*100))</f>
        <v>91.086350974930369</v>
      </c>
      <c r="N12" s="539">
        <f>IF(ISERR('S1 Numbers'!N12/'S1 Numbers'!$E12*100),"..",IF(('S1 Numbers'!N12/'S1 Numbers'!$E12*100)=0,"..",('S1 Numbers'!N12/'S1 Numbers'!$E12)*100))</f>
        <v>92.200557103064057</v>
      </c>
      <c r="O12" s="542">
        <f>IF(ISERR('S1 Numbers'!O12/'S1 Numbers'!$E12*100),"..",IF(('S1 Numbers'!O12/'S1 Numbers'!$E12*100)=0,"..",('S1 Numbers'!O12/'S1 Numbers'!$E12)*100))</f>
        <v>92.200557103064057</v>
      </c>
    </row>
    <row r="13" spans="1:15" ht="20.25" customHeight="1">
      <c r="A13" s="45"/>
      <c r="B13" s="49" t="s">
        <v>47</v>
      </c>
      <c r="C13" s="543"/>
      <c r="D13" s="544"/>
      <c r="E13" s="544"/>
      <c r="F13" s="544"/>
      <c r="G13" s="544"/>
      <c r="H13" s="545"/>
      <c r="I13" s="545"/>
      <c r="J13" s="545"/>
      <c r="K13" s="546"/>
      <c r="L13" s="546"/>
      <c r="M13" s="546"/>
      <c r="N13" s="55"/>
    </row>
    <row r="14" spans="1:15" ht="20.25" customHeight="1">
      <c r="A14" s="45"/>
      <c r="B14" s="492" t="s">
        <v>649</v>
      </c>
      <c r="C14" s="55"/>
      <c r="D14" s="55" t="s">
        <v>7</v>
      </c>
      <c r="E14" s="55" t="s">
        <v>7</v>
      </c>
      <c r="F14" s="547" t="s">
        <v>7</v>
      </c>
      <c r="G14" s="55">
        <f>IF(ISERR('S1 Numbers'!G14/'S1 Numbers'!$G14*100),"..",IF(('S1 Numbers'!G14/'S1 Numbers'!$G14*100)=0,"..",('S1 Numbers'!G14/'S1 Numbers'!$G14)*100))</f>
        <v>100</v>
      </c>
      <c r="H14" s="55">
        <f>IF(ISERR('S1 Numbers'!H14/'S1 Numbers'!$G14*100),"..",IF(('S1 Numbers'!H14/'S1 Numbers'!$G14*100)=0,"..",('S1 Numbers'!H14/'S1 Numbers'!$G14)*100))</f>
        <v>103.46223021582732</v>
      </c>
      <c r="I14" s="55">
        <f>IF(ISERR('S1 Numbers'!I14/'S1 Numbers'!$G14*100),"..",IF(('S1 Numbers'!I14/'S1 Numbers'!$G14*100)=0,"..",('S1 Numbers'!I14/'S1 Numbers'!$G14)*100))</f>
        <v>107.08932853717026</v>
      </c>
      <c r="J14" s="55">
        <f>IF(ISERR('S1 Numbers'!J14/'S1 Numbers'!$G14*100),"..",IF(('S1 Numbers'!J14/'S1 Numbers'!$G14*100)=0,"..",('S1 Numbers'!J14/'S1 Numbers'!$G14)*100))</f>
        <v>106.29496402877699</v>
      </c>
      <c r="K14" s="55">
        <f>IF(ISERR('S1 Numbers'!K14/'S1 Numbers'!$G14*100),"..",IF(('S1 Numbers'!K14/'S1 Numbers'!$G14*100)=0,"..",('S1 Numbers'!K14/'S1 Numbers'!$G14)*100))</f>
        <v>100.08992805755395</v>
      </c>
      <c r="L14" s="55">
        <f>IF(ISERR('S1 Numbers'!L14/'S1 Numbers'!$G14*100),"..",IF(('S1 Numbers'!L14/'S1 Numbers'!$G14*100)=0,"..",('S1 Numbers'!L14/'S1 Numbers'!$G14)*100))</f>
        <v>100.95923261390887</v>
      </c>
      <c r="M14" s="55">
        <f>IF(ISERR('S1 Numbers'!M14/'S1 Numbers'!$G14*100),"..",IF(('S1 Numbers'!M14/'S1 Numbers'!$G14*100)=0,"..",('S1 Numbers'!M14/'S1 Numbers'!$G14)*100))</f>
        <v>102.32314148681054</v>
      </c>
      <c r="N14" s="55">
        <f>IF(ISERR('S1 Numbers'!N14/'S1 Numbers'!$G14*100),"..",IF(('S1 Numbers'!N14/'S1 Numbers'!$G14*100)=0,"..",('S1 Numbers'!N14/'S1 Numbers'!$G14)*100))</f>
        <v>100.52458033573141</v>
      </c>
      <c r="O14" s="711">
        <f>IF(ISERR('S1 Numbers'!O14/'S1 Numbers'!$G14*100),"..",IF(('S1 Numbers'!O14/'S1 Numbers'!$G14*100)=0,"..",('S1 Numbers'!O14/'S1 Numbers'!$G14)*100))</f>
        <v>98.051558752997607</v>
      </c>
    </row>
    <row r="15" spans="1:15" ht="7.5" customHeight="1">
      <c r="A15" s="45"/>
      <c r="B15" s="45"/>
      <c r="C15" s="539"/>
      <c r="D15" s="539"/>
      <c r="E15" s="539"/>
      <c r="F15" s="539"/>
      <c r="G15" s="539"/>
      <c r="H15" s="540"/>
      <c r="I15" s="539"/>
      <c r="J15" s="539"/>
      <c r="K15" s="539"/>
      <c r="L15" s="539"/>
      <c r="M15" s="539"/>
      <c r="N15" s="55"/>
    </row>
    <row r="16" spans="1:15" ht="20.25" customHeight="1">
      <c r="A16" s="46" t="s">
        <v>11</v>
      </c>
      <c r="B16" s="45"/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5"/>
    </row>
    <row r="17" spans="1:15" ht="20.25" customHeight="1">
      <c r="A17" s="45"/>
      <c r="B17" s="49" t="s">
        <v>637</v>
      </c>
      <c r="C17" s="55">
        <f>IF(ISERR('S1 Numbers'!C18/'S1 Numbers'!$C18*100),"..",IF(('S1 Numbers'!C18/'S1 Numbers'!$C18*100)=0,"..",('S1 Numbers'!C18/'S1 Numbers'!$C18)*100))</f>
        <v>100</v>
      </c>
      <c r="D17" s="55">
        <f>IF(ISERR('S1 Numbers'!D18/'S1 Numbers'!$D18*100),"..",IF(('S1 Numbers'!D18/'S1 Numbers'!$D18*100)=0,"..",('S1 Numbers'!D18/'S1 Numbers'!$D18)*100))</f>
        <v>100</v>
      </c>
      <c r="E17" s="55">
        <f>IF(ISERR('S1 Numbers'!E18/'S1 Numbers'!$E18*100),"..",IF(('S1 Numbers'!E18/'S1 Numbers'!$E18*100)=0,"..",('S1 Numbers'!E18/'S1 Numbers'!$E18)*100))</f>
        <v>100</v>
      </c>
      <c r="F17" s="55">
        <f>IF(ISERR('S1 Numbers'!F18/'S1 Numbers'!$E18*100),"..",IF(('S1 Numbers'!F18/'S1 Numbers'!$E18*100)=0,"..",('S1 Numbers'!F18/'S1 Numbers'!$E18)*100))</f>
        <v>95.66724436741768</v>
      </c>
      <c r="G17" s="55">
        <f>IF(ISERR('S1 Numbers'!G18/'S1 Numbers'!$E18*100),"..",IF(('S1 Numbers'!G18/'S1 Numbers'!$E18*100)=0,"..",('S1 Numbers'!G18/'S1 Numbers'!$E18)*100))</f>
        <v>98.229498107458127</v>
      </c>
      <c r="H17" s="55">
        <f>IF(ISERR('S1 Numbers'!H18/'S1 Numbers'!$E18*100),"..",IF(('S1 Numbers'!H18/'S1 Numbers'!$E18*100)=0,"..",('S1 Numbers'!H18/'S1 Numbers'!$E18)*100))</f>
        <v>102.15395239547385</v>
      </c>
      <c r="I17" s="55">
        <f>IF(ISERR('S1 Numbers'!I18/'S1 Numbers'!$E18*100),"..",IF(('S1 Numbers'!I18/'S1 Numbers'!$E18*100)=0,"..",('S1 Numbers'!I18/'S1 Numbers'!$E18)*100))</f>
        <v>90.717205605803613</v>
      </c>
      <c r="J17" s="55">
        <f>IF(ISERR('S1 Numbers'!J18/'S1 Numbers'!$E18*100),"..",IF(('S1 Numbers'!J18/'S1 Numbers'!$E18*100)=0,"..",('S1 Numbers'!J18/'S1 Numbers'!$E18)*100))</f>
        <v>76.212281815939548</v>
      </c>
      <c r="K17" s="55">
        <f>IF(ISERR('S1 Numbers'!K18/'S1 Numbers'!$E18*100),"..",IF(('S1 Numbers'!K18/'S1 Numbers'!$E18*100)=0,"..",('S1 Numbers'!K18/'S1 Numbers'!$E18)*100))</f>
        <v>76.218350299787673</v>
      </c>
      <c r="L17" s="55">
        <f>IF(ISERR('S1 Numbers'!L18/'S1 Numbers'!$E18*100),"..",IF(('S1 Numbers'!L18/'S1 Numbers'!$E18*100)=0,"..",('S1 Numbers'!L18/'S1 Numbers'!$E18)*100))</f>
        <v>83.304448295782791</v>
      </c>
      <c r="M17" s="55">
        <f>IF(ISERR('S1 Numbers'!M18/'S1 Numbers'!$E18*100),"..",IF(('S1 Numbers'!M18/'S1 Numbers'!$E18*100)=0,"..",('S1 Numbers'!M18/'S1 Numbers'!$E18)*100))</f>
        <v>87.001733102253027</v>
      </c>
      <c r="N17" s="55">
        <f>IF(ISERR('S1 Numbers'!N18/'S1 Numbers'!$E18*100),"..",IF(('S1 Numbers'!N18/'S1 Numbers'!$E18*100)=0,"..",('S1 Numbers'!N18/'S1 Numbers'!$E18)*100))</f>
        <v>78.451761987290595</v>
      </c>
      <c r="O17" s="55">
        <f>IF(ISERR('S1 Numbers'!O18/'S1 Numbers'!$E18*100),"..",IF(('S1 Numbers'!O18/'S1 Numbers'!$E18*100)=0,"..",('S1 Numbers'!O18/'S1 Numbers'!$E18)*100))</f>
        <v>79.491623339110333</v>
      </c>
    </row>
    <row r="18" spans="1:15" ht="20.25" customHeight="1">
      <c r="A18" s="45"/>
      <c r="B18" s="49" t="s">
        <v>638</v>
      </c>
      <c r="C18" s="55">
        <f>IF(ISERR('S1 Numbers'!C19/'S1 Numbers'!$C19*100),"..",IF(('S1 Numbers'!C19/'S1 Numbers'!$C19*100)=0,"..",('S1 Numbers'!C19/'S1 Numbers'!$C19)*100))</f>
        <v>100</v>
      </c>
      <c r="D18" s="55">
        <f>IF(ISERR('S1 Numbers'!D19/'S1 Numbers'!$D19*100),"..",IF(('S1 Numbers'!D19/'S1 Numbers'!$D19*100)=0,"..",('S1 Numbers'!D19/'S1 Numbers'!$D19)*100))</f>
        <v>100</v>
      </c>
      <c r="E18" s="55">
        <f>IF(ISERR('S1 Numbers'!E19/'S1 Numbers'!$E19*100),"..",IF(('S1 Numbers'!E19/'S1 Numbers'!$E19*100)=0,"..",('S1 Numbers'!E19/'S1 Numbers'!$E19)*100))</f>
        <v>100</v>
      </c>
      <c r="F18" s="55">
        <f>IF(ISERR('S1 Numbers'!F19/'S1 Numbers'!$E19*100),"..",IF(('S1 Numbers'!F19/'S1 Numbers'!$E19*100)=0,"..",('S1 Numbers'!F19/'S1 Numbers'!$E19)*100))</f>
        <v>127.28888888888889</v>
      </c>
      <c r="G18" s="55">
        <f>IF(ISERR('S1 Numbers'!G19/'S1 Numbers'!$E19*100),"..",IF(('S1 Numbers'!G19/'S1 Numbers'!$E19*100)=0,"..",('S1 Numbers'!G19/'S1 Numbers'!$E19)*100))</f>
        <v>115.20000000000002</v>
      </c>
      <c r="H18" s="55">
        <f>IF(ISERR('S1 Numbers'!H19/'S1 Numbers'!$E19*100),"..",IF(('S1 Numbers'!H19/'S1 Numbers'!$E19*100)=0,"..",('S1 Numbers'!H19/'S1 Numbers'!$E19)*100))</f>
        <v>100.8888888888889</v>
      </c>
      <c r="I18" s="55">
        <f>IF(ISERR('S1 Numbers'!I19/'S1 Numbers'!$E19*100),"..",IF(('S1 Numbers'!I19/'S1 Numbers'!$E19*100)=0,"..",('S1 Numbers'!I19/'S1 Numbers'!$E19)*100))</f>
        <v>92.088888888888889</v>
      </c>
      <c r="J18" s="55">
        <f>IF(ISERR('S1 Numbers'!J19/'S1 Numbers'!$E19*100),"..",IF(('S1 Numbers'!J19/'S1 Numbers'!$E19*100)=0,"..",('S1 Numbers'!J19/'S1 Numbers'!$E19)*100))</f>
        <v>86.133333333333326</v>
      </c>
      <c r="K18" s="55">
        <f>IF(ISERR('S1 Numbers'!K19/'S1 Numbers'!$E19*100),"..",IF(('S1 Numbers'!K19/'S1 Numbers'!$E19*100)=0,"..",('S1 Numbers'!K19/'S1 Numbers'!$E19)*100))</f>
        <v>74.044444444444451</v>
      </c>
      <c r="L18" s="55">
        <f>IF(ISERR('S1 Numbers'!L19/'S1 Numbers'!$E19*100),"..",IF(('S1 Numbers'!L19/'S1 Numbers'!$E19*100)=0,"..",('S1 Numbers'!L19/'S1 Numbers'!$E19)*100))</f>
        <v>87.733333333333334</v>
      </c>
      <c r="M18" s="55">
        <f>IF(ISERR('S1 Numbers'!M19/'S1 Numbers'!$E19*100),"..",IF(('S1 Numbers'!M19/'S1 Numbers'!$E19*100)=0,"..",('S1 Numbers'!M19/'S1 Numbers'!$E19)*100))</f>
        <v>74.933333333333323</v>
      </c>
      <c r="N18" s="55" t="str">
        <f>IF(ISERR('S1 Numbers'!N19/'S1 Numbers'!$E19*100),"..",IF(('S1 Numbers'!N19/'S1 Numbers'!$E19*100)=0,"..",('S1 Numbers'!N19/'S1 Numbers'!$E19)*100))</f>
        <v>..</v>
      </c>
      <c r="O18" s="55" t="str">
        <f>IF(ISERR('S1 Numbers'!O19/'S1 Numbers'!$E19*100),"..",IF(('S1 Numbers'!O19/'S1 Numbers'!$E19*100)=0,"..",('S1 Numbers'!O19/'S1 Numbers'!$E19)*100))</f>
        <v>..</v>
      </c>
    </row>
    <row r="19" spans="1:15" ht="20.25" customHeight="1">
      <c r="A19" s="45"/>
      <c r="B19" s="49" t="s">
        <v>14</v>
      </c>
      <c r="C19" s="55">
        <f>IF(ISERR('S1 Numbers'!C20/'S1 Numbers'!$C20*100),"..",IF(('S1 Numbers'!C20/'S1 Numbers'!$C20*100)=0,"..",('S1 Numbers'!C20/'S1 Numbers'!$C20)*100))</f>
        <v>100</v>
      </c>
      <c r="D19" s="55">
        <f>IF(ISERR('S1 Numbers'!D20/'S1 Numbers'!$D20*100),"..",IF(('S1 Numbers'!D20/'S1 Numbers'!$D20*100)=0,"..",('S1 Numbers'!D20/'S1 Numbers'!$D20)*100))</f>
        <v>100</v>
      </c>
      <c r="E19" s="55">
        <f>IF(ISERR('S1 Numbers'!E20/'S1 Numbers'!$E20*100),"..",IF(('S1 Numbers'!E20/'S1 Numbers'!$E20*100)=0,"..",('S1 Numbers'!E20/'S1 Numbers'!$E20)*100))</f>
        <v>100</v>
      </c>
      <c r="F19" s="55">
        <f>IF(ISERR('S1 Numbers'!F20/'S1 Numbers'!$E20*100),"..",IF(('S1 Numbers'!F20/'S1 Numbers'!$E20*100)=0,"..",('S1 Numbers'!F20/'S1 Numbers'!$E20)*100))</f>
        <v>124.59736456808201</v>
      </c>
      <c r="G19" s="55">
        <f>IF(ISERR('S1 Numbers'!G20/'S1 Numbers'!$E20*100),"..",IF(('S1 Numbers'!G20/'S1 Numbers'!$E20*100)=0,"..",('S1 Numbers'!G20/'S1 Numbers'!$E20)*100))</f>
        <v>100.43923865300147</v>
      </c>
      <c r="H19" s="55">
        <f>IF(ISERR('S1 Numbers'!H20/'S1 Numbers'!$E20*100),"..",IF(('S1 Numbers'!H20/'S1 Numbers'!$E20*100)=0,"..",('S1 Numbers'!H20/'S1 Numbers'!$E20)*100))</f>
        <v>111.22498779892631</v>
      </c>
      <c r="I19" s="55">
        <f>IF(ISERR('S1 Numbers'!I20/'S1 Numbers'!$E20*100),"..",IF(('S1 Numbers'!I20/'S1 Numbers'!$E20*100)=0,"..",('S1 Numbers'!I20/'S1 Numbers'!$E20)*100))</f>
        <v>113.6163982430454</v>
      </c>
      <c r="J19" s="55">
        <f>IF(ISERR('S1 Numbers'!J20/'S1 Numbers'!$E20*100),"..",IF(('S1 Numbers'!J20/'S1 Numbers'!$E20*100)=0,"..",('S1 Numbers'!J20/'S1 Numbers'!$E20)*100))</f>
        <v>96.82772083943388</v>
      </c>
      <c r="K19" s="55">
        <f>IF(ISERR('S1 Numbers'!K20/'S1 Numbers'!$E20*100),"..",IF(('S1 Numbers'!K20/'S1 Numbers'!$E20*100)=0,"..",('S1 Numbers'!K20/'S1 Numbers'!$E20)*100))</f>
        <v>87.603709126403132</v>
      </c>
      <c r="L19" s="55">
        <f>IF(ISERR('S1 Numbers'!L20/'S1 Numbers'!$E20*100),"..",IF(('S1 Numbers'!L20/'S1 Numbers'!$E20*100)=0,"..",('S1 Numbers'!L20/'S1 Numbers'!$E20)*100))</f>
        <v>79.697413372376772</v>
      </c>
      <c r="M19" s="55">
        <f>IF(ISERR('S1 Numbers'!M20/'S1 Numbers'!$E20*100),"..",IF(('S1 Numbers'!M20/'S1 Numbers'!$E20*100)=0,"..",('S1 Numbers'!M20/'S1 Numbers'!$E20)*100))</f>
        <v>61.200585651537331</v>
      </c>
      <c r="N19" s="55">
        <f>IF(ISERR('S1 Numbers'!N20/'S1 Numbers'!$E20*100),"..",IF(('S1 Numbers'!N20/'S1 Numbers'!$E20*100)=0,"..",('S1 Numbers'!N20/'S1 Numbers'!$E20)*100))</f>
        <v>55.588091752074185</v>
      </c>
      <c r="O19" s="55">
        <f>IF(ISERR('S1 Numbers'!O20/'S1 Numbers'!$E20*100),"..",IF(('S1 Numbers'!O20/'S1 Numbers'!$E20*100)=0,"..",('S1 Numbers'!O20/'S1 Numbers'!$E20)*100))</f>
        <v>57.637872132747688</v>
      </c>
    </row>
    <row r="20" spans="1:15" ht="20.25" customHeight="1">
      <c r="A20" s="45"/>
      <c r="B20" s="49" t="s">
        <v>15</v>
      </c>
      <c r="C20" s="55">
        <f>IF(ISERR('S1 Numbers'!C21/'S1 Numbers'!$C21*100),"..",IF(('S1 Numbers'!C21/'S1 Numbers'!$C21*100)=0,"..",('S1 Numbers'!C21/'S1 Numbers'!$C21)*100))</f>
        <v>100</v>
      </c>
      <c r="D20" s="55">
        <f>IF(ISERR('S1 Numbers'!D21/'S1 Numbers'!$D21*100),"..",IF(('S1 Numbers'!D21/'S1 Numbers'!$D21*100)=0,"..",('S1 Numbers'!D21/'S1 Numbers'!$D21)*100))</f>
        <v>100</v>
      </c>
      <c r="E20" s="55">
        <f>IF(ISERR('S1 Numbers'!E21/'S1 Numbers'!$E21*100),"..",IF(('S1 Numbers'!E21/'S1 Numbers'!$E21*100)=0,"..",('S1 Numbers'!E21/'S1 Numbers'!$E21)*100))</f>
        <v>100</v>
      </c>
      <c r="F20" s="55">
        <f>IF(ISERR('S1 Numbers'!F21/'S1 Numbers'!$E21*100),"..",IF(('S1 Numbers'!F21/'S1 Numbers'!$E21*100)=0,"..",('S1 Numbers'!F21/'S1 Numbers'!$E21)*100))</f>
        <v>132.33082706766916</v>
      </c>
      <c r="G20" s="55">
        <f>IF(ISERR('S1 Numbers'!G21/'S1 Numbers'!$E21*100),"..",IF(('S1 Numbers'!G21/'S1 Numbers'!$E21*100)=0,"..",('S1 Numbers'!G21/'S1 Numbers'!$E21)*100))</f>
        <v>111.27819548872179</v>
      </c>
      <c r="H20" s="55">
        <f>IF(ISERR('S1 Numbers'!H21/'S1 Numbers'!$E21*100),"..",IF(('S1 Numbers'!H21/'S1 Numbers'!$E21*100)=0,"..",('S1 Numbers'!H21/'S1 Numbers'!$E21)*100))</f>
        <v>137.59398496240601</v>
      </c>
      <c r="I20" s="55">
        <f>IF(ISERR('S1 Numbers'!I21/'S1 Numbers'!$E21*100),"..",IF(('S1 Numbers'!I21/'S1 Numbers'!$E21*100)=0,"..",('S1 Numbers'!I21/'S1 Numbers'!$E21)*100))</f>
        <v>131.57894736842104</v>
      </c>
      <c r="J20" s="55">
        <f>IF(ISERR('S1 Numbers'!J21/'S1 Numbers'!$E21*100),"..",IF(('S1 Numbers'!J21/'S1 Numbers'!$E21*100)=0,"..",('S1 Numbers'!J21/'S1 Numbers'!$E21)*100))</f>
        <v>269.92481203007515</v>
      </c>
      <c r="K20" s="55">
        <f>IF(ISERR('S1 Numbers'!K21/'S1 Numbers'!$E21*100),"..",IF(('S1 Numbers'!K21/'S1 Numbers'!$E21*100)=0,"..",('S1 Numbers'!K21/'S1 Numbers'!$E21)*100))</f>
        <v>141.35338345864662</v>
      </c>
      <c r="L20" s="55">
        <f>IF(ISERR('S1 Numbers'!L21/'S1 Numbers'!$E21*100),"..",IF(('S1 Numbers'!L21/'S1 Numbers'!$E21*100)=0,"..",('S1 Numbers'!L21/'S1 Numbers'!$E21)*100))</f>
        <v>181.95488721804509</v>
      </c>
      <c r="M20" s="55">
        <f>IF(ISERR('S1 Numbers'!M21/'S1 Numbers'!$E21*100),"..",IF(('S1 Numbers'!M21/'S1 Numbers'!$E21*100)=0,"..",('S1 Numbers'!M21/'S1 Numbers'!$E21)*100))</f>
        <v>193.23308270676688</v>
      </c>
      <c r="N20" s="55">
        <f>IF(ISERR('S1 Numbers'!N21/'S1 Numbers'!$E21*100),"..",IF(('S1 Numbers'!N21/'S1 Numbers'!$E21*100)=0,"..",('S1 Numbers'!N21/'S1 Numbers'!$E21)*100))</f>
        <v>157.89473684210526</v>
      </c>
      <c r="O20" s="55">
        <f>IF(ISERR('S1 Numbers'!O21/'S1 Numbers'!$E21*100),"..",IF(('S1 Numbers'!O21/'S1 Numbers'!$E21*100)=0,"..",('S1 Numbers'!O21/'S1 Numbers'!$E21)*100))</f>
        <v>164.66165413533832</v>
      </c>
    </row>
    <row r="21" spans="1:15" ht="20.25" customHeight="1">
      <c r="A21" s="45"/>
      <c r="B21" s="49" t="s">
        <v>16</v>
      </c>
      <c r="C21" s="55">
        <f>IF(ISERR('S1 Numbers'!C22/'S1 Numbers'!$C22*100),"..",IF(('S1 Numbers'!C22/'S1 Numbers'!$C22*100)=0,"..",('S1 Numbers'!C22/'S1 Numbers'!$C22)*100))</f>
        <v>100</v>
      </c>
      <c r="D21" s="55">
        <f>IF(ISERR('S1 Numbers'!D22/'S1 Numbers'!$D22*100),"..",IF(('S1 Numbers'!D22/'S1 Numbers'!$D22*100)=0,"..",('S1 Numbers'!D22/'S1 Numbers'!$D22)*100))</f>
        <v>100</v>
      </c>
      <c r="E21" s="55">
        <f>IF(ISERR('S1 Numbers'!E22/'S1 Numbers'!$E22*100),"..",IF(('S1 Numbers'!E22/'S1 Numbers'!$E22*100)=0,"..",('S1 Numbers'!E22/'S1 Numbers'!$E22)*100))</f>
        <v>100</v>
      </c>
      <c r="F21" s="55">
        <f>IF(ISERR('S1 Numbers'!F22/'S1 Numbers'!$E22*100),"..",IF(('S1 Numbers'!F22/'S1 Numbers'!$E22*100)=0,"..",('S1 Numbers'!F22/'S1 Numbers'!$E22)*100))</f>
        <v>102.20661985957872</v>
      </c>
      <c r="G21" s="55">
        <f>IF(ISERR('S1 Numbers'!G22/'S1 Numbers'!$E22*100),"..",IF(('S1 Numbers'!G22/'S1 Numbers'!$E22*100)=0,"..",('S1 Numbers'!G22/'S1 Numbers'!$E22)*100))</f>
        <v>101.90571715145435</v>
      </c>
      <c r="H21" s="55">
        <f>IF(ISERR('S1 Numbers'!H22/'S1 Numbers'!$E22*100),"..",IF(('S1 Numbers'!H22/'S1 Numbers'!$E22*100)=0,"..",('S1 Numbers'!H22/'S1 Numbers'!$E22)*100))</f>
        <v>105.31594784353058</v>
      </c>
      <c r="I21" s="55">
        <f>IF(ISERR('S1 Numbers'!I22/'S1 Numbers'!$E22*100),"..",IF(('S1 Numbers'!I22/'S1 Numbers'!$E22*100)=0,"..",('S1 Numbers'!I22/'S1 Numbers'!$E22)*100))</f>
        <v>122.2668004012036</v>
      </c>
      <c r="J21" s="55">
        <f>IF(ISERR('S1 Numbers'!J22/'S1 Numbers'!$E22*100),"..",IF(('S1 Numbers'!J22/'S1 Numbers'!$E22*100)=0,"..",('S1 Numbers'!J22/'S1 Numbers'!$E22)*100))</f>
        <v>101.30391173520562</v>
      </c>
      <c r="K21" s="55">
        <f>IF(ISERR('S1 Numbers'!K22/'S1 Numbers'!$E22*100),"..",IF(('S1 Numbers'!K22/'S1 Numbers'!$E22*100)=0,"..",('S1 Numbers'!K22/'S1 Numbers'!$E22)*100))</f>
        <v>109.22768304914744</v>
      </c>
      <c r="L21" s="55">
        <f>IF(ISERR('S1 Numbers'!L22/'S1 Numbers'!$E22*100),"..",IF(('S1 Numbers'!L22/'S1 Numbers'!$E22*100)=0,"..",('S1 Numbers'!L22/'S1 Numbers'!$E22)*100))</f>
        <v>107.32196589769308</v>
      </c>
      <c r="M21" s="55">
        <f>IF(ISERR('S1 Numbers'!M22/'S1 Numbers'!$E22*100),"..",IF(('S1 Numbers'!M22/'S1 Numbers'!$E22*100)=0,"..",('S1 Numbers'!M22/'S1 Numbers'!$E22)*100))</f>
        <v>108.2246740220662</v>
      </c>
      <c r="N21" s="55">
        <f>IF(ISERR('S1 Numbers'!N22/'S1 Numbers'!$E22*100),"..",IF(('S1 Numbers'!N22/'S1 Numbers'!$E22*100)=0,"..",('S1 Numbers'!N22/'S1 Numbers'!$E22)*100))</f>
        <v>107.22166499498493</v>
      </c>
      <c r="O21" s="55">
        <f>IF(ISERR('S1 Numbers'!O22/'S1 Numbers'!$E22*100),"..",IF(('S1 Numbers'!O22/'S1 Numbers'!$E22*100)=0,"..",('S1 Numbers'!O22/'S1 Numbers'!$E22)*100))</f>
        <v>94.383149448345023</v>
      </c>
    </row>
    <row r="22" spans="1:15" ht="20.25" customHeight="1">
      <c r="A22" s="45"/>
      <c r="B22" s="49" t="s">
        <v>639</v>
      </c>
      <c r="C22" s="55">
        <f>IF(ISERR('S1 Numbers'!C23/'S1 Numbers'!$C23*100),"..",IF(('S1 Numbers'!C23/'S1 Numbers'!$C23*100)=0,"..",('S1 Numbers'!C23/'S1 Numbers'!$C23)*100))</f>
        <v>100</v>
      </c>
      <c r="D22" s="55">
        <f>IF(ISERR('S1 Numbers'!D23/'S1 Numbers'!$D23*100),"..",IF(('S1 Numbers'!D23/'S1 Numbers'!$D23*100)=0,"..",('S1 Numbers'!D23/'S1 Numbers'!$D23)*100))</f>
        <v>100</v>
      </c>
      <c r="E22" s="55">
        <f>IF(ISERR('S1 Numbers'!E23/'S1 Numbers'!$E23*100),"..",IF(('S1 Numbers'!E23/'S1 Numbers'!$E23*100)=0,"..",('S1 Numbers'!E23/'S1 Numbers'!$E23)*100))</f>
        <v>100</v>
      </c>
      <c r="F22" s="55">
        <f>IF(ISERR('S1 Numbers'!F23/'S1 Numbers'!$E23*100),"..",IF(('S1 Numbers'!F23/'S1 Numbers'!$E23*100)=0,"..",('S1 Numbers'!F23/'S1 Numbers'!$E23)*100))</f>
        <v>99.822637596916124</v>
      </c>
      <c r="G22" s="55">
        <f>IF(ISERR('S1 Numbers'!G23/'S1 Numbers'!$E23*100),"..",IF(('S1 Numbers'!G23/'S1 Numbers'!$E23*100)=0,"..",('S1 Numbers'!G23/'S1 Numbers'!$E23)*100))</f>
        <v>100.54599004327058</v>
      </c>
      <c r="H22" s="55">
        <f>IF(ISERR('S1 Numbers'!H23/'S1 Numbers'!$E23*100),"..",IF(('S1 Numbers'!H23/'S1 Numbers'!$E23*100)=0,"..",('S1 Numbers'!H23/'S1 Numbers'!$E23)*100))</f>
        <v>99.460961373738883</v>
      </c>
      <c r="I22" s="55">
        <f>IF(ISERR('S1 Numbers'!I23/'S1 Numbers'!$E23*100),"..",IF(('S1 Numbers'!I23/'S1 Numbers'!$E23*100)=0,"..",('S1 Numbers'!I23/'S1 Numbers'!$E23)*100))</f>
        <v>99.822637596916124</v>
      </c>
      <c r="J22" s="55">
        <f>IF(ISERR('S1 Numbers'!J23/'S1 Numbers'!$E23*100),"..",IF(('S1 Numbers'!J23/'S1 Numbers'!$E23*100)=0,"..",('S1 Numbers'!J23/'S1 Numbers'!$E23)*100))</f>
        <v>99.822637596916124</v>
      </c>
      <c r="K22" s="55">
        <f>IF(ISERR('S1 Numbers'!K23/'S1 Numbers'!$E23*100),"..",IF(('S1 Numbers'!K23/'S1 Numbers'!$E23*100)=0,"..",('S1 Numbers'!K23/'S1 Numbers'!$E23)*100))</f>
        <v>99.822637596916124</v>
      </c>
      <c r="L22" s="55">
        <f>IF(ISERR('S1 Numbers'!L23/'S1 Numbers'!$E23*100),"..",IF(('S1 Numbers'!L23/'S1 Numbers'!$E23*100)=0,"..",('S1 Numbers'!L23/'S1 Numbers'!$E23)*100))</f>
        <v>100.54599004327058</v>
      </c>
      <c r="M22" s="55">
        <f>IF(ISERR('S1 Numbers'!M23/'S1 Numbers'!$E23*100),"..",IF(('S1 Numbers'!M23/'S1 Numbers'!$E23*100)=0,"..",('S1 Numbers'!M23/'S1 Numbers'!$E23)*100))</f>
        <v>101.99269493597951</v>
      </c>
      <c r="N22" s="55" t="str">
        <f>IF(ISERR('S1 Numbers'!N23/'S1 Numbers'!$E23*100),"..",IF(('S1 Numbers'!N23/'S1 Numbers'!$E23*100)=0,"..",('S1 Numbers'!N23/'S1 Numbers'!$E23)*100))</f>
        <v>..</v>
      </c>
      <c r="O22" s="55" t="str">
        <f>IF(ISERR('S1 Numbers'!O23/'S1 Numbers'!$E23*100),"..",IF(('S1 Numbers'!O23/'S1 Numbers'!$E23*100)=0,"..",('S1 Numbers'!O23/'S1 Numbers'!$E23)*100))</f>
        <v>..</v>
      </c>
    </row>
    <row r="23" spans="1:15" s="9" customFormat="1" ht="19.5" customHeight="1">
      <c r="A23" s="45"/>
      <c r="B23" s="49" t="s">
        <v>114</v>
      </c>
      <c r="C23" s="55">
        <f>IF(ISERR('S1 Numbers'!C24/'S1 Numbers'!$C24*100),"..",IF(('S1 Numbers'!C24/'S1 Numbers'!$C24*100)=0,"..",('S1 Numbers'!C24/'S1 Numbers'!$C24)*100))</f>
        <v>100</v>
      </c>
      <c r="D23" s="55">
        <f>IF(ISERR('S1 Numbers'!D24/'S1 Numbers'!$D24*100),"..",IF(('S1 Numbers'!D24/'S1 Numbers'!$D24*100)=0,"..",('S1 Numbers'!D24/'S1 Numbers'!$D24)*100))</f>
        <v>100</v>
      </c>
      <c r="E23" s="55">
        <f>IF(ISERR('S1 Numbers'!E24/'S1 Numbers'!$E24*100),"..",IF(('S1 Numbers'!E24/'S1 Numbers'!$E24*100)=0,"..",('S1 Numbers'!E24/'S1 Numbers'!$E24)*100))</f>
        <v>100</v>
      </c>
      <c r="F23" s="55">
        <f>IF(ISERR('S1 Numbers'!F24/'S1 Numbers'!$E24*100),"..",IF(('S1 Numbers'!F24/'S1 Numbers'!$E24*100)=0,"..",('S1 Numbers'!F24/'S1 Numbers'!$E24)*100))</f>
        <v>100.49672495735133</v>
      </c>
      <c r="G23" s="55">
        <f>IF(ISERR('S1 Numbers'!G24/'S1 Numbers'!$E24*100),"..",IF(('S1 Numbers'!G24/'S1 Numbers'!$E24*100)=0,"..",('S1 Numbers'!G24/'S1 Numbers'!$E24)*100))</f>
        <v>99.682603541502957</v>
      </c>
      <c r="H23" s="55">
        <f>IF(ISERR('S1 Numbers'!H24/'S1 Numbers'!$E24*100),"..",IF(('S1 Numbers'!H24/'S1 Numbers'!$E24*100)=0,"..",('S1 Numbers'!H24/'S1 Numbers'!$E24)*100))</f>
        <v>102.87521236611677</v>
      </c>
      <c r="I23" s="55">
        <f>IF(ISERR('S1 Numbers'!I24/'S1 Numbers'!$E24*100),"..",IF(('S1 Numbers'!I24/'S1 Numbers'!$E24*100)=0,"..",('S1 Numbers'!I24/'S1 Numbers'!$E24)*100))</f>
        <v>95.250993997169033</v>
      </c>
      <c r="J23" s="55">
        <f>IF(ISERR('S1 Numbers'!J24/'S1 Numbers'!$E24*100),"..",IF(('S1 Numbers'!J24/'S1 Numbers'!$E24*100)=0,"..",('S1 Numbers'!J24/'S1 Numbers'!$E24)*100))</f>
        <v>83.163484566421118</v>
      </c>
      <c r="K23" s="55">
        <f>IF(ISERR('S1 Numbers'!K24/'S1 Numbers'!$E24*100),"..",IF(('S1 Numbers'!K24/'S1 Numbers'!$E24*100)=0,"..",('S1 Numbers'!K24/'S1 Numbers'!$E24)*100))</f>
        <v>81.457298155612506</v>
      </c>
      <c r="L23" s="55">
        <f>IF(ISERR('S1 Numbers'!L24/'S1 Numbers'!$E24*100),"..",IF(('S1 Numbers'!L24/'S1 Numbers'!$E24*100)=0,"..",('S1 Numbers'!L24/'S1 Numbers'!$E24)*100))</f>
        <v>86.681501706071344</v>
      </c>
      <c r="M23" s="55">
        <f>IF(ISERR('S1 Numbers'!M24/'S1 Numbers'!$E24*100),"..",IF(('S1 Numbers'!M24/'S1 Numbers'!$E24*100)=0,"..",('S1 Numbers'!M24/'S1 Numbers'!$E24)*100))</f>
        <v>87.423946898613423</v>
      </c>
      <c r="N23" s="55" t="str">
        <f>IF(ISERR('S1 Numbers'!N24/'S1 Numbers'!$E24*100),"..",IF(('S1 Numbers'!N24/'S1 Numbers'!$E24*100)=0,"..",('S1 Numbers'!N24/'S1 Numbers'!$E24)*100))</f>
        <v>..</v>
      </c>
      <c r="O23" s="55" t="str">
        <f>IF(ISERR('S1 Numbers'!O24/'S1 Numbers'!$E24*100),"..",IF(('S1 Numbers'!O24/'S1 Numbers'!$E24*100)=0,"..",('S1 Numbers'!O24/'S1 Numbers'!$E24)*100))</f>
        <v>..</v>
      </c>
    </row>
    <row r="24" spans="1:15" ht="9" customHeight="1">
      <c r="A24" s="45"/>
      <c r="B24" s="45"/>
      <c r="C24" s="539"/>
      <c r="D24" s="539"/>
      <c r="E24" s="539"/>
      <c r="F24" s="539"/>
      <c r="G24" s="539"/>
      <c r="H24" s="539"/>
      <c r="I24" s="539"/>
      <c r="J24" s="539"/>
      <c r="K24" s="539"/>
      <c r="L24" s="539"/>
      <c r="M24" s="539"/>
      <c r="N24" s="55"/>
    </row>
    <row r="25" spans="1:15" ht="20.25" customHeight="1">
      <c r="A25" s="46" t="s">
        <v>370</v>
      </c>
      <c r="B25" s="45"/>
      <c r="C25" s="539"/>
      <c r="D25" s="539"/>
      <c r="E25" s="539"/>
      <c r="F25" s="539"/>
      <c r="G25" s="539"/>
      <c r="H25" s="539"/>
      <c r="I25" s="539"/>
      <c r="J25" s="539"/>
      <c r="K25" s="539"/>
      <c r="L25" s="539"/>
      <c r="M25" s="539"/>
      <c r="N25" s="55"/>
    </row>
    <row r="26" spans="1:15" ht="20.25" customHeight="1">
      <c r="A26" s="45"/>
      <c r="B26" s="49" t="s">
        <v>19</v>
      </c>
      <c r="C26" s="55">
        <f>IF(ISERR('S1 Numbers'!C27/'S1 Numbers'!$C27*100),"..",IF(('S1 Numbers'!C27/'S1 Numbers'!$C27*100)=0,"..",('S1 Numbers'!C27/'S1 Numbers'!$C27)*100))</f>
        <v>100</v>
      </c>
      <c r="D26" s="55">
        <f>IF(ISERR('S1 Numbers'!D27/'S1 Numbers'!$D27*100),"..",IF(('S1 Numbers'!D27/'S1 Numbers'!$D27*100)=0,"..",('S1 Numbers'!D27/'S1 Numbers'!$D27)*100))</f>
        <v>100</v>
      </c>
      <c r="E26" s="55">
        <f>IF(ISERR('S1 Numbers'!E27/'S1 Numbers'!$E27*100),"..",IF(('S1 Numbers'!E27/'S1 Numbers'!$E27*100)=0,"..",('S1 Numbers'!E27/'S1 Numbers'!$E27)*100))</f>
        <v>100</v>
      </c>
      <c r="F26" s="55">
        <f>IF(ISERR('S1 Numbers'!F27/'S1 Numbers'!$E27*100),"..",IF(('S1 Numbers'!F27/'S1 Numbers'!$E27*100)=0,"..",('S1 Numbers'!F27/'S1 Numbers'!$E27)*100))</f>
        <v>100.66053991958643</v>
      </c>
      <c r="G26" s="55">
        <f>IF(ISERR('S1 Numbers'!G27/'S1 Numbers'!$E27*100),"..",IF(('S1 Numbers'!G27/'S1 Numbers'!$E27*100)=0,"..",('S1 Numbers'!G27/'S1 Numbers'!$E27)*100))</f>
        <v>101.03388856978748</v>
      </c>
      <c r="H26" s="55">
        <f>IF(ISERR('S1 Numbers'!H27/'S1 Numbers'!$E27*100),"..",IF(('S1 Numbers'!H27/'S1 Numbers'!$E27*100)=0,"..",('S1 Numbers'!H27/'S1 Numbers'!$E27)*100))</f>
        <v>100.66053991958643</v>
      </c>
      <c r="I26" s="55">
        <f>IF(ISERR('S1 Numbers'!I27/'S1 Numbers'!$E27*100),"..",IF(('S1 Numbers'!I27/'S1 Numbers'!$E27*100)=0,"..",('S1 Numbers'!I27/'S1 Numbers'!$E27)*100))</f>
        <v>100.66053991958643</v>
      </c>
      <c r="J26" s="55">
        <f>IF(ISERR('S1 Numbers'!J27/'S1 Numbers'!$E27*100),"..",IF(('S1 Numbers'!J27/'S1 Numbers'!$E27*100)=0,"..",('S1 Numbers'!J27/'S1 Numbers'!$E27)*100))</f>
        <v>101.09132682366455</v>
      </c>
      <c r="K26" s="55">
        <f>IF(ISERR('S1 Numbers'!K27/'S1 Numbers'!$E27*100),"..",IF(('S1 Numbers'!K27/'S1 Numbers'!$E27*100)=0,"..",('S1 Numbers'!K27/'S1 Numbers'!$E27)*100))</f>
        <v>101.03388856978748</v>
      </c>
      <c r="L26" s="55">
        <f>IF(ISERR('S1 Numbers'!L27/'S1 Numbers'!$E27*100),"..",IF(('S1 Numbers'!L27/'S1 Numbers'!$E27*100)=0,"..",('S1 Numbers'!L27/'S1 Numbers'!$E27)*100))</f>
        <v>101.16677197013213</v>
      </c>
      <c r="M26" s="55">
        <f>IF(ISERR('S1 Numbers'!M27/'S1 Numbers'!$E27*100),"..",IF(('S1 Numbers'!M27/'S1 Numbers'!$E27*100)=0,"..",('S1 Numbers'!M27/'S1 Numbers'!$E27)*100))</f>
        <v>102.02914991384262</v>
      </c>
      <c r="N26" s="55">
        <f>IF(ISERR('S1 Numbers'!N27/'S1 Numbers'!$E27*100),"..",IF(('S1 Numbers'!N27/'S1 Numbers'!$E27*100)=0,"..",('S1 Numbers'!N27/'S1 Numbers'!$E27)*100))</f>
        <v>101.98253877082138</v>
      </c>
      <c r="O26" s="55">
        <f>IF(ISERR('S1 Numbers'!O27/'S1 Numbers'!$E27*100),"..",IF(('S1 Numbers'!O27/'S1 Numbers'!$E27*100)=0,"..",('S1 Numbers'!O27/'S1 Numbers'!$E27)*100))</f>
        <v>102.52492820218266</v>
      </c>
    </row>
    <row r="27" spans="1:15" ht="20.25" customHeight="1">
      <c r="A27" s="45"/>
      <c r="B27" s="49" t="s">
        <v>20</v>
      </c>
      <c r="C27" s="55">
        <f>IF(ISERR('S1 Numbers'!C28/'S1 Numbers'!$C28*100),"..",IF(('S1 Numbers'!C28/'S1 Numbers'!$C28*100)=0,"..",('S1 Numbers'!C28/'S1 Numbers'!$C28)*100))</f>
        <v>100</v>
      </c>
      <c r="D27" s="55">
        <f>IF(ISERR('S1 Numbers'!D28/'S1 Numbers'!$D28*100),"..",IF(('S1 Numbers'!D28/'S1 Numbers'!$D28*100)=0,"..",('S1 Numbers'!D28/'S1 Numbers'!$D28)*100))</f>
        <v>100</v>
      </c>
      <c r="E27" s="55">
        <f>IF(ISERR('S1 Numbers'!E28/'S1 Numbers'!$E28*100),"..",IF(('S1 Numbers'!E28/'S1 Numbers'!$E28*100)=0,"..",('S1 Numbers'!E28/'S1 Numbers'!$E28)*100))</f>
        <v>100</v>
      </c>
      <c r="F27" s="55">
        <f>IF(ISERR('S1 Numbers'!F28/'S1 Numbers'!$E28*100),"..",IF(('S1 Numbers'!F28/'S1 Numbers'!$E28*100)=0,"..",('S1 Numbers'!F28/'S1 Numbers'!$E28)*100))</f>
        <v>100.20221083850093</v>
      </c>
      <c r="G27" s="55">
        <f>IF(ISERR('S1 Numbers'!G28/'S1 Numbers'!$E28*100),"..",IF(('S1 Numbers'!G28/'S1 Numbers'!$E28*100)=0,"..",('S1 Numbers'!G28/'S1 Numbers'!$E28)*100))</f>
        <v>100.08142356430305</v>
      </c>
      <c r="H27" s="55">
        <f>IF(ISERR('S1 Numbers'!H28/'S1 Numbers'!$E28*100),"..",IF(('S1 Numbers'!H28/'S1 Numbers'!$E28*100)=0,"..",('S1 Numbers'!H28/'S1 Numbers'!$E28)*100))</f>
        <v>99.49757346993799</v>
      </c>
      <c r="I27" s="55">
        <f>IF(ISERR('S1 Numbers'!I28/'S1 Numbers'!$E28*100),"..",IF(('S1 Numbers'!I28/'S1 Numbers'!$E28*100)=0,"..",('S1 Numbers'!I28/'S1 Numbers'!$E28)*100))</f>
        <v>100.04044216770018</v>
      </c>
      <c r="J27" s="55">
        <f>IF(ISERR('S1 Numbers'!J28/'S1 Numbers'!$E28*100),"..",IF(('S1 Numbers'!J28/'S1 Numbers'!$E28*100)=0,"..",('S1 Numbers'!J28/'S1 Numbers'!$E28)*100))</f>
        <v>100.04044216770018</v>
      </c>
      <c r="K27" s="55">
        <f>IF(ISERR('S1 Numbers'!K28/'S1 Numbers'!$E28*100),"..",IF(('S1 Numbers'!K28/'S1 Numbers'!$E28*100)=0,"..",('S1 Numbers'!K28/'S1 Numbers'!$E28)*100))</f>
        <v>99.946077109733082</v>
      </c>
      <c r="L27" s="55">
        <f>IF(ISERR('S1 Numbers'!L28/'S1 Numbers'!$E28*100),"..",IF(('S1 Numbers'!L28/'S1 Numbers'!$E28*100)=0,"..",('S1 Numbers'!L28/'S1 Numbers'!$E28)*100))</f>
        <v>100.66055540576974</v>
      </c>
      <c r="M27" s="55">
        <f>IF(ISERR('S1 Numbers'!M28/'S1 Numbers'!$E28*100),"..",IF(('S1 Numbers'!M28/'S1 Numbers'!$E28*100)=0,"..",('S1 Numbers'!M28/'S1 Numbers'!$E28)*100))</f>
        <v>100.73469937988678</v>
      </c>
      <c r="N27" s="55">
        <f>IF(ISERR('S1 Numbers'!N28/'S1 Numbers'!$E28*100),"..",IF(('S1 Numbers'!N28/'S1 Numbers'!$E28*100)=0,"..",('S1 Numbers'!N28/'S1 Numbers'!$E28)*100))</f>
        <v>100.73739552440011</v>
      </c>
      <c r="O27" s="55">
        <f>IF(ISERR('S1 Numbers'!O28/'S1 Numbers'!$E28*100),"..",IF(('S1 Numbers'!O28/'S1 Numbers'!$E28*100)=0,"..",('S1 Numbers'!O28/'S1 Numbers'!$E28)*100))</f>
        <v>99.839956861687781</v>
      </c>
    </row>
    <row r="28" spans="1:15" ht="20.25" customHeight="1">
      <c r="A28" s="45"/>
      <c r="B28" s="49" t="s">
        <v>21</v>
      </c>
      <c r="C28" s="55">
        <f>IF(ISERR('S1 Numbers'!C29/'S1 Numbers'!$C29*100),"..",IF(('S1 Numbers'!C29/'S1 Numbers'!$C29*100)=0,"..",('S1 Numbers'!C29/'S1 Numbers'!$C29)*100))</f>
        <v>100</v>
      </c>
      <c r="D28" s="55">
        <f>IF(ISERR('S1 Numbers'!D29/'S1 Numbers'!$D29*100),"..",IF(('S1 Numbers'!D29/'S1 Numbers'!$D29*100)=0,"..",('S1 Numbers'!D29/'S1 Numbers'!$D29)*100))</f>
        <v>100</v>
      </c>
      <c r="E28" s="55">
        <f>IF(ISERR('S1 Numbers'!E29/'S1 Numbers'!$E29*100),"..",IF(('S1 Numbers'!E29/'S1 Numbers'!$E29*100)=0,"..",('S1 Numbers'!E29/'S1 Numbers'!$E29)*100))</f>
        <v>100</v>
      </c>
      <c r="F28" s="55">
        <f>IF(ISERR('S1 Numbers'!F29/'S1 Numbers'!$E29*100),"..",IF(('S1 Numbers'!F29/'S1 Numbers'!$E29*100)=0,"..",('S1 Numbers'!F29/'S1 Numbers'!$E29)*100))</f>
        <v>100.49843490934924</v>
      </c>
      <c r="G28" s="55">
        <f>IF(ISERR('S1 Numbers'!G29/'S1 Numbers'!$E29*100),"..",IF(('S1 Numbers'!G29/'S1 Numbers'!$E29*100)=0,"..",('S1 Numbers'!G29/'S1 Numbers'!$E29)*100))</f>
        <v>100.76810291237781</v>
      </c>
      <c r="H28" s="55">
        <f>IF(ISERR('S1 Numbers'!H29/'S1 Numbers'!$E29*100),"..",IF(('S1 Numbers'!H29/'S1 Numbers'!$E29*100)=0,"..",('S1 Numbers'!H29/'S1 Numbers'!$E29)*100))</f>
        <v>101.39480292858261</v>
      </c>
      <c r="I28" s="55">
        <f>IF(ISERR('S1 Numbers'!I29/'S1 Numbers'!$E29*100),"..",IF(('S1 Numbers'!I29/'S1 Numbers'!$E29*100)=0,"..",('S1 Numbers'!I29/'S1 Numbers'!$E29)*100))</f>
        <v>101.66360118249258</v>
      </c>
      <c r="J28" s="55">
        <f>IF(ISERR('S1 Numbers'!J29/'S1 Numbers'!$E29*100),"..",IF(('S1 Numbers'!J29/'S1 Numbers'!$E29*100)=0,"..",('S1 Numbers'!J29/'S1 Numbers'!$E29)*100))</f>
        <v>102.061282522895</v>
      </c>
      <c r="K28" s="55">
        <f>IF(ISERR('S1 Numbers'!K29/'S1 Numbers'!$E29*100),"..",IF(('S1 Numbers'!K29/'S1 Numbers'!$E29*100)=0,"..",('S1 Numbers'!K29/'S1 Numbers'!$E29)*100))</f>
        <v>102.29531370019656</v>
      </c>
      <c r="L28" s="55">
        <f>IF(ISERR('S1 Numbers'!L29/'S1 Numbers'!$E29*100),"..",IF(('S1 Numbers'!L29/'S1 Numbers'!$E29*100)=0,"..",('S1 Numbers'!L29/'S1 Numbers'!$E29)*100))</f>
        <v>102.46737525279946</v>
      </c>
      <c r="M28" s="55">
        <f>IF(ISERR('S1 Numbers'!M29/'S1 Numbers'!$E29*100),"..",IF(('S1 Numbers'!M29/'S1 Numbers'!$E29*100)=0,"..",('S1 Numbers'!M29/'S1 Numbers'!$E29)*100))</f>
        <v>102.70613282991646</v>
      </c>
      <c r="N28" s="55">
        <f>IF(ISERR('S1 Numbers'!N29/'S1 Numbers'!$E29*100),"..",IF(('S1 Numbers'!N29/'S1 Numbers'!$E29*100)=0,"..",('S1 Numbers'!N29/'S1 Numbers'!$E29)*100))</f>
        <v>102.85447083090338</v>
      </c>
      <c r="O28" s="55">
        <f>IF(ISERR('S1 Numbers'!O29/'S1 Numbers'!$E29*100),"..",IF(('S1 Numbers'!O29/'S1 Numbers'!$E29*100)=0,"..",('S1 Numbers'!O29/'S1 Numbers'!$E29)*100))</f>
        <v>103.02214930571132</v>
      </c>
    </row>
    <row r="29" spans="1:15" ht="20.25" customHeight="1">
      <c r="A29" s="45"/>
      <c r="B29" s="49" t="s">
        <v>650</v>
      </c>
      <c r="C29" s="55">
        <f>IF(ISERR('S1 Numbers'!C30/'S1 Numbers'!$C30*100),"..",IF(('S1 Numbers'!C30/'S1 Numbers'!$C30*100)=0,"..",('S1 Numbers'!C30/'S1 Numbers'!$C30)*100))</f>
        <v>100</v>
      </c>
      <c r="D29" s="55">
        <f>IF(ISERR('S1 Numbers'!D30/'S1 Numbers'!$D30*100),"..",IF(('S1 Numbers'!D30/'S1 Numbers'!$D30*100)=0,"..",('S1 Numbers'!D30/'S1 Numbers'!$D30)*100))</f>
        <v>100</v>
      </c>
      <c r="E29" s="55">
        <f>IF(ISERR('S1 Numbers'!E30/'S1 Numbers'!$E30*100),"..",IF(('S1 Numbers'!E30/'S1 Numbers'!$E30*100)=0,"..",('S1 Numbers'!E30/'S1 Numbers'!$E30)*100))</f>
        <v>100</v>
      </c>
      <c r="F29" s="55">
        <f>IF(ISERR('S1 Numbers'!F30/'S1 Numbers'!$E30*100),"..",IF(('S1 Numbers'!F30/'S1 Numbers'!$E30*100)=0,"..",('S1 Numbers'!F30/'S1 Numbers'!$E30)*100))</f>
        <v>100.4690743754086</v>
      </c>
      <c r="G29" s="55">
        <f>IF(ISERR('S1 Numbers'!G30/'S1 Numbers'!$E30*100),"..",IF(('S1 Numbers'!G30/'S1 Numbers'!$E30*100)=0,"..",('S1 Numbers'!G30/'S1 Numbers'!$E30)*100))</f>
        <v>100.69224511448789</v>
      </c>
      <c r="H29" s="55">
        <f>IF(ISERR('S1 Numbers'!H30/'S1 Numbers'!$E30*100),"..",IF(('S1 Numbers'!H30/'S1 Numbers'!$E30*100)=0,"..",('S1 Numbers'!H30/'S1 Numbers'!$E30)*100))</f>
        <v>101.09066615815318</v>
      </c>
      <c r="I29" s="55">
        <f>IF(ISERR('S1 Numbers'!I30/'S1 Numbers'!$E30*100),"..",IF(('S1 Numbers'!I30/'S1 Numbers'!$E30*100)=0,"..",('S1 Numbers'!I30/'S1 Numbers'!$E30)*100))</f>
        <v>101.37956263078054</v>
      </c>
      <c r="J29" s="55">
        <f>IF(ISERR('S1 Numbers'!J30/'S1 Numbers'!$E30*100),"..",IF(('S1 Numbers'!J30/'S1 Numbers'!$E30*100)=0,"..",('S1 Numbers'!J30/'S1 Numbers'!$E30)*100))</f>
        <v>101.72517227817517</v>
      </c>
      <c r="K29" s="55">
        <f>IF(ISERR('S1 Numbers'!K30/'S1 Numbers'!$E30*100),"..",IF(('S1 Numbers'!K30/'S1 Numbers'!$E30*100)=0,"..",('S1 Numbers'!K30/'S1 Numbers'!$E30)*100))</f>
        <v>101.89613612187762</v>
      </c>
      <c r="L29" s="55">
        <f>IF(ISERR('S1 Numbers'!L30/'S1 Numbers'!$E30*100),"..",IF(('S1 Numbers'!L30/'S1 Numbers'!$E30*100)=0,"..",('S1 Numbers'!L30/'S1 Numbers'!$E30)*100))</f>
        <v>102.13867287141039</v>
      </c>
      <c r="M29" s="55">
        <f>IF(ISERR('S1 Numbers'!M30/'S1 Numbers'!$E30*100),"..",IF(('S1 Numbers'!M30/'S1 Numbers'!$E30*100)=0,"..",('S1 Numbers'!M30/'S1 Numbers'!$E30)*100))</f>
        <v>102.39557292854487</v>
      </c>
      <c r="N29" s="55">
        <f>IF(ISERR('S1 Numbers'!N30/'S1 Numbers'!$E30*100),"..",IF(('S1 Numbers'!N30/'S1 Numbers'!$E30*100)=0,"..",('S1 Numbers'!N30/'S1 Numbers'!$E30)*100))</f>
        <v>102.51168655932561</v>
      </c>
      <c r="O29" s="55">
        <f>IF(ISERR('S1 Numbers'!O30/'S1 Numbers'!$E30*100),"..",IF(('S1 Numbers'!O30/'S1 Numbers'!$E30*100)=0,"..",('S1 Numbers'!O30/'S1 Numbers'!$E30)*100))</f>
        <v>102.55853354677711</v>
      </c>
    </row>
    <row r="30" spans="1:15" ht="9" customHeight="1">
      <c r="A30" s="45"/>
      <c r="B30" s="45"/>
      <c r="C30" s="539"/>
      <c r="D30" s="539"/>
      <c r="E30" s="539"/>
      <c r="F30" s="539"/>
      <c r="G30" s="539"/>
      <c r="H30" s="539"/>
      <c r="I30" s="539"/>
      <c r="J30" s="539"/>
      <c r="K30" s="539"/>
      <c r="L30" s="539"/>
      <c r="M30" s="539"/>
      <c r="N30" s="55"/>
    </row>
    <row r="31" spans="1:15" ht="20.25" customHeight="1">
      <c r="A31" s="47" t="s">
        <v>22</v>
      </c>
      <c r="B31" s="45"/>
      <c r="C31" s="539"/>
      <c r="D31" s="539"/>
      <c r="E31" s="539"/>
      <c r="F31" s="539"/>
      <c r="G31" s="539"/>
      <c r="H31" s="539"/>
      <c r="I31" s="539"/>
      <c r="J31" s="539"/>
      <c r="K31" s="539"/>
      <c r="L31" s="539"/>
      <c r="M31" s="539"/>
      <c r="N31" s="55"/>
    </row>
    <row r="32" spans="1:15" ht="20.25" customHeight="1">
      <c r="A32" s="45"/>
      <c r="B32" s="45" t="s">
        <v>24</v>
      </c>
      <c r="C32" s="55">
        <f>IF(ISERR('S1 Numbers'!C33/'S1 Numbers'!$C33*100),"..",IF(('S1 Numbers'!C33/'S1 Numbers'!$C33*100)=0,"..",('S1 Numbers'!C33/'S1 Numbers'!$C33)*100))</f>
        <v>100</v>
      </c>
      <c r="D32" s="55">
        <f>IF(ISERR('S1 Numbers'!D33/'S1 Numbers'!$D33*100),"..",IF(('S1 Numbers'!D33/'S1 Numbers'!$D33*100)=0,"..",('S1 Numbers'!D33/'S1 Numbers'!$D33)*100))</f>
        <v>100</v>
      </c>
      <c r="E32" s="55">
        <f>IF(ISERR('S1 Numbers'!E33/'S1 Numbers'!$E33*100),"..",IF(('S1 Numbers'!E33/'S1 Numbers'!$E33*100)=0,"..",('S1 Numbers'!E33/'S1 Numbers'!$E33)*100))</f>
        <v>100</v>
      </c>
      <c r="F32" s="55">
        <f>IF(ISERR('S1 Numbers'!F33/'S1 Numbers'!$E33*100),"..",IF(('S1 Numbers'!F33/'S1 Numbers'!$E33*100)=0,"..",('S1 Numbers'!F33/'S1 Numbers'!$E33)*100))</f>
        <v>100.92853815338938</v>
      </c>
      <c r="G32" s="55">
        <f>IF(ISERR('S1 Numbers'!G33/'S1 Numbers'!$E33*100),"..",IF(('S1 Numbers'!G33/'S1 Numbers'!$E33*100)=0,"..",('S1 Numbers'!G33/'S1 Numbers'!$E33)*100))</f>
        <v>105.55933236881016</v>
      </c>
      <c r="H32" s="55">
        <f>IF(ISERR('S1 Numbers'!H33/'S1 Numbers'!$E33*100),"..",IF(('S1 Numbers'!H33/'S1 Numbers'!$E33*100)=0,"..",('S1 Numbers'!H33/'S1 Numbers'!$E33)*100))</f>
        <v>107.92223363744201</v>
      </c>
      <c r="I32" s="55">
        <f>IF(ISERR('S1 Numbers'!I33/'S1 Numbers'!$E33*100),"..",IF(('S1 Numbers'!I33/'S1 Numbers'!$E33*100)=0,"..",('S1 Numbers'!I33/'S1 Numbers'!$E33)*100))</f>
        <v>109.66159151574044</v>
      </c>
      <c r="J32" s="55">
        <f>IF(ISERR('S1 Numbers'!J33/'S1 Numbers'!$E33*100),"..",IF(('S1 Numbers'!J33/'S1 Numbers'!$E33*100)=0,"..",('S1 Numbers'!J33/'S1 Numbers'!$E33)*100))</f>
        <v>108.84113968635438</v>
      </c>
      <c r="K32" s="55">
        <f>IF(ISERR('S1 Numbers'!K33/'S1 Numbers'!$E33*100),"..",IF(('S1 Numbers'!K33/'S1 Numbers'!$E33*100)=0,"..",('S1 Numbers'!K33/'S1 Numbers'!$E33)*100))</f>
        <v>106.70796492995063</v>
      </c>
      <c r="L32" s="55">
        <f>IF(ISERR('S1 Numbers'!L33/'S1 Numbers'!$E33*100),"..",IF(('S1 Numbers'!L33/'S1 Numbers'!$E33*100)=0,"..",('S1 Numbers'!L33/'S1 Numbers'!$E33)*100))</f>
        <v>107.80737038132796</v>
      </c>
      <c r="M32" s="55">
        <f>IF(ISERR('S1 Numbers'!M33/'S1 Numbers'!$E33*100),"..",IF(('S1 Numbers'!M33/'S1 Numbers'!$E33*100)=0,"..",('S1 Numbers'!M33/'S1 Numbers'!$E33)*100))</f>
        <v>117.160521236329</v>
      </c>
      <c r="N32" s="55">
        <f>IF(ISERR('S1 Numbers'!N33/'S1 Numbers'!$E33*100),"..",IF(('S1 Numbers'!N33/'S1 Numbers'!$E33*100)=0,"..",('S1 Numbers'!N33/'S1 Numbers'!$E33)*100))</f>
        <v>119.16242370003098</v>
      </c>
      <c r="O32" s="55">
        <f>IF(ISERR('S1 Numbers'!O33/'S1 Numbers'!$E33*100),"..",IF(('S1 Numbers'!O33/'S1 Numbers'!$E33*100)=0,"..",('S1 Numbers'!O33/'S1 Numbers'!$E33)*100))</f>
        <v>121.77146051747864</v>
      </c>
    </row>
    <row r="33" spans="1:15" ht="20.25" customHeight="1">
      <c r="A33" s="45"/>
      <c r="B33" s="45" t="s">
        <v>25</v>
      </c>
      <c r="C33" s="55">
        <f>IF(ISERR('S1 Numbers'!C34/'S1 Numbers'!$C34*100),"..",IF(('S1 Numbers'!C34/'S1 Numbers'!$C34*100)=0,"..",('S1 Numbers'!C34/'S1 Numbers'!$C34)*100))</f>
        <v>100</v>
      </c>
      <c r="D33" s="55">
        <f>IF(ISERR('S1 Numbers'!D34/'S1 Numbers'!$D34*100),"..",IF(('S1 Numbers'!D34/'S1 Numbers'!$D34*100)=0,"..",('S1 Numbers'!D34/'S1 Numbers'!$D34)*100))</f>
        <v>100</v>
      </c>
      <c r="E33" s="55">
        <f>IF(ISERR('S1 Numbers'!E34/'S1 Numbers'!$E34*100),"..",IF(('S1 Numbers'!E34/'S1 Numbers'!$E34*100)=0,"..",('S1 Numbers'!E34/'S1 Numbers'!$E34)*100))</f>
        <v>100</v>
      </c>
      <c r="F33" s="55">
        <f>IF(ISERR('S1 Numbers'!F34/'S1 Numbers'!$E34*100),"..",IF(('S1 Numbers'!F34/'S1 Numbers'!$E34*100)=0,"..",('S1 Numbers'!F34/'S1 Numbers'!$E34)*100))</f>
        <v>99.050854662204941</v>
      </c>
      <c r="G33" s="55">
        <f>IF(ISERR('S1 Numbers'!G34/'S1 Numbers'!$E34*100),"..",IF(('S1 Numbers'!G34/'S1 Numbers'!$E34*100)=0,"..",('S1 Numbers'!G34/'S1 Numbers'!$E34)*100))</f>
        <v>101.58722980917065</v>
      </c>
      <c r="H33" s="55">
        <f>IF(ISERR('S1 Numbers'!H34/'S1 Numbers'!$E34*100),"..",IF(('S1 Numbers'!H34/'S1 Numbers'!$E34*100)=0,"..",('S1 Numbers'!H34/'S1 Numbers'!$E34)*100))</f>
        <v>101.32947454101475</v>
      </c>
      <c r="I33" s="55">
        <f>IF(ISERR('S1 Numbers'!I34/'S1 Numbers'!$E34*100),"..",IF(('S1 Numbers'!I34/'S1 Numbers'!$E34*100)=0,"..",('S1 Numbers'!I34/'S1 Numbers'!$E34)*100))</f>
        <v>100.05878628922855</v>
      </c>
      <c r="J33" s="55">
        <f>IF(ISERR('S1 Numbers'!J34/'S1 Numbers'!$E34*100),"..",IF(('S1 Numbers'!J34/'S1 Numbers'!$E34*100)=0,"..",('S1 Numbers'!J34/'S1 Numbers'!$E34)*100))</f>
        <v>100.96319073889843</v>
      </c>
      <c r="K33" s="55">
        <f>IF(ISERR('S1 Numbers'!K34/'S1 Numbers'!$E34*100),"..",IF(('S1 Numbers'!K34/'S1 Numbers'!$E34*100)=0,"..",('S1 Numbers'!K34/'S1 Numbers'!$E34)*100))</f>
        <v>99.44831328570136</v>
      </c>
      <c r="L33" s="55">
        <f>IF(ISERR('S1 Numbers'!L34/'S1 Numbers'!$E34*100),"..",IF(('S1 Numbers'!L34/'S1 Numbers'!$E34*100)=0,"..",('S1 Numbers'!L34/'S1 Numbers'!$E34)*100))</f>
        <v>99.466401374694769</v>
      </c>
      <c r="M33" s="55">
        <f>IF(ISERR('S1 Numbers'!M34/'S1 Numbers'!$E34*100),"..",IF(('S1 Numbers'!M34/'S1 Numbers'!$E34*100)=0,"..",('S1 Numbers'!M34/'S1 Numbers'!$E34)*100))</f>
        <v>98.186669078411867</v>
      </c>
      <c r="N33" s="55">
        <f>IF(ISERR('S1 Numbers'!N34/'S1 Numbers'!$E34*100),"..",IF(('S1 Numbers'!N34/'S1 Numbers'!$E34*100)=0,"..",('S1 Numbers'!N34/'S1 Numbers'!$E34)*100))</f>
        <v>98.516776702541378</v>
      </c>
      <c r="O33" s="55">
        <f>IF(ISERR('S1 Numbers'!O34/'S1 Numbers'!$E34*100),"..",IF(('S1 Numbers'!O34/'S1 Numbers'!$E34*100)=0,"..",('S1 Numbers'!O34/'S1 Numbers'!$E34)*100))</f>
        <v>99.556841819661756</v>
      </c>
    </row>
    <row r="34" spans="1:15" ht="20.25" customHeight="1">
      <c r="A34" s="45"/>
      <c r="B34" s="45" t="s">
        <v>26</v>
      </c>
      <c r="C34" s="55">
        <f>IF(ISERR('S1 Numbers'!C35/'S1 Numbers'!$C35*100),"..",IF(('S1 Numbers'!C35/'S1 Numbers'!$C35*100)=0,"..",('S1 Numbers'!C35/'S1 Numbers'!$C35)*100))</f>
        <v>100</v>
      </c>
      <c r="D34" s="55">
        <f>IF(ISERR('S1 Numbers'!D35/'S1 Numbers'!$D35*100),"..",IF(('S1 Numbers'!D35/'S1 Numbers'!$D35*100)=0,"..",('S1 Numbers'!D35/'S1 Numbers'!$D35)*100))</f>
        <v>100</v>
      </c>
      <c r="E34" s="55">
        <f>IF(ISERR('S1 Numbers'!E35/'S1 Numbers'!$E35*100),"..",IF(('S1 Numbers'!E35/'S1 Numbers'!$E35*100)=0,"..",('S1 Numbers'!E35/'S1 Numbers'!$E35)*100))</f>
        <v>100</v>
      </c>
      <c r="F34" s="55">
        <f>IF(ISERR('S1 Numbers'!F35/'S1 Numbers'!$E35*100),"..",IF(('S1 Numbers'!F35/'S1 Numbers'!$E35*100)=0,"..",('S1 Numbers'!F35/'S1 Numbers'!$E35)*100))</f>
        <v>100.0293968278589</v>
      </c>
      <c r="G34" s="55">
        <f>IF(ISERR('S1 Numbers'!G35/'S1 Numbers'!$E35*100),"..",IF(('S1 Numbers'!G35/'S1 Numbers'!$E35*100)=0,"..",('S1 Numbers'!G35/'S1 Numbers'!$E35)*100))</f>
        <v>103.31039097546891</v>
      </c>
      <c r="H34" s="55">
        <f>IF(ISERR('S1 Numbers'!H35/'S1 Numbers'!$E35*100),"..",IF(('S1 Numbers'!H35/'S1 Numbers'!$E35*100)=0,"..",('S1 Numbers'!H35/'S1 Numbers'!$E35)*100))</f>
        <v>104.59126279630757</v>
      </c>
      <c r="I34" s="55">
        <f>IF(ISERR('S1 Numbers'!I35/'S1 Numbers'!$E35*100),"..",IF(('S1 Numbers'!I35/'S1 Numbers'!$E35*100)=0,"..",('S1 Numbers'!I35/'S1 Numbers'!$E35)*100))</f>
        <v>104.13230324076027</v>
      </c>
      <c r="J34" s="55">
        <f>IF(ISERR('S1 Numbers'!J35/'S1 Numbers'!$E35*100),"..",IF(('S1 Numbers'!J35/'S1 Numbers'!$E35*100)=0,"..",('S1 Numbers'!J35/'S1 Numbers'!$E35)*100))</f>
        <v>103.54455401401343</v>
      </c>
      <c r="K34" s="55">
        <f>IF(ISERR('S1 Numbers'!K35/'S1 Numbers'!$E35*100),"..",IF(('S1 Numbers'!K35/'S1 Numbers'!$E35*100)=0,"..",('S1 Numbers'!K35/'S1 Numbers'!$E35)*100))</f>
        <v>101.8328222022528</v>
      </c>
      <c r="L34" s="55">
        <f>IF(ISERR('S1 Numbers'!L35/'S1 Numbers'!$E35*100),"..",IF(('S1 Numbers'!L35/'S1 Numbers'!$E35*100)=0,"..",('S1 Numbers'!L35/'S1 Numbers'!$E35)*100))</f>
        <v>101.60334242447915</v>
      </c>
      <c r="M34" s="55">
        <f>IF(ISERR('S1 Numbers'!M35/'S1 Numbers'!$E35*100),"..",IF(('S1 Numbers'!M35/'S1 Numbers'!$E35*100)=0,"..",('S1 Numbers'!M35/'S1 Numbers'!$E35)*100))</f>
        <v>101.97566165576497</v>
      </c>
      <c r="N34" s="55">
        <f>IF(ISERR('S1 Numbers'!N35/'S1 Numbers'!$E35*100),"..",IF(('S1 Numbers'!N35/'S1 Numbers'!$E35*100)=0,"..",('S1 Numbers'!N35/'S1 Numbers'!$E35)*100))</f>
        <v>102.6570760979296</v>
      </c>
      <c r="O34" s="55">
        <f>IF(ISERR('S1 Numbers'!O35/'S1 Numbers'!$E35*100),"..",IF(('S1 Numbers'!O35/'S1 Numbers'!$E35*100)=0,"..",('S1 Numbers'!O35/'S1 Numbers'!$E35)*100))</f>
        <v>104.87928333371737</v>
      </c>
    </row>
    <row r="35" spans="1:15" ht="9" customHeight="1">
      <c r="A35" s="45"/>
      <c r="B35" s="45"/>
      <c r="C35" s="539"/>
      <c r="D35" s="539"/>
      <c r="E35" s="539"/>
      <c r="F35" s="539"/>
      <c r="G35" s="539"/>
      <c r="H35" s="539"/>
      <c r="I35" s="539"/>
      <c r="J35" s="539"/>
      <c r="K35" s="539"/>
      <c r="L35" s="539"/>
      <c r="M35" s="539"/>
      <c r="N35" s="55"/>
    </row>
    <row r="36" spans="1:15" ht="20.25" customHeight="1">
      <c r="A36" s="46" t="s">
        <v>643</v>
      </c>
      <c r="B36" s="45"/>
      <c r="C36" s="539"/>
      <c r="D36" s="539"/>
      <c r="E36" s="539"/>
      <c r="F36" s="539"/>
      <c r="G36" s="539"/>
      <c r="H36" s="539"/>
      <c r="I36" s="539"/>
      <c r="J36" s="539"/>
      <c r="K36" s="539"/>
      <c r="L36" s="539"/>
      <c r="M36" s="539"/>
      <c r="N36" s="55"/>
    </row>
    <row r="37" spans="1:15" ht="20.25" customHeight="1">
      <c r="A37" s="45"/>
      <c r="B37" s="49" t="s">
        <v>27</v>
      </c>
      <c r="C37" s="55">
        <f>IF(ISERR('S1 Numbers'!C38/'S1 Numbers'!$C38*100),"..",IF(('S1 Numbers'!C38/'S1 Numbers'!$C38*100)=0,"..",('S1 Numbers'!C38/'S1 Numbers'!$C38)*100))</f>
        <v>100</v>
      </c>
      <c r="D37" s="55">
        <f>IF(ISERR('S1 Numbers'!D38/'S1 Numbers'!$D38*100),"..",IF(('S1 Numbers'!D38/'S1 Numbers'!$D38*100)=0,"..",('S1 Numbers'!D38/'S1 Numbers'!$D38)*100))</f>
        <v>100</v>
      </c>
      <c r="E37" s="55">
        <f>IF(ISERR('S1 Numbers'!E38/'S1 Numbers'!$E38*100),"..",IF(('S1 Numbers'!E38/'S1 Numbers'!$E38*100)=0,"..",('S1 Numbers'!E38/'S1 Numbers'!$E38)*100))</f>
        <v>100</v>
      </c>
      <c r="F37" s="55">
        <f>IF(ISERR('S1 Numbers'!F38/'S1 Numbers'!$E38*100),"..",IF(('S1 Numbers'!F38/'S1 Numbers'!$E38*100)=0,"..",('S1 Numbers'!F38/'S1 Numbers'!$E38)*100))</f>
        <v>92.857142857142861</v>
      </c>
      <c r="G37" s="55">
        <f>IF(ISERR('S1 Numbers'!G38/'S1 Numbers'!$E38*100),"..",IF(('S1 Numbers'!G38/'S1 Numbers'!$E38*100)=0,"..",('S1 Numbers'!G38/'S1 Numbers'!$E38)*100))</f>
        <v>101.94805194805194</v>
      </c>
      <c r="H37" s="55">
        <f>IF(ISERR('S1 Numbers'!H38/'S1 Numbers'!$E38*100),"..",IF(('S1 Numbers'!H38/'S1 Numbers'!$E38*100)=0,"..",('S1 Numbers'!H38/'S1 Numbers'!$E38)*100))</f>
        <v>91.233766233766232</v>
      </c>
      <c r="I37" s="55">
        <f>IF(ISERR('S1 Numbers'!I38/'S1 Numbers'!$E38*100),"..",IF(('S1 Numbers'!I38/'S1 Numbers'!$E38*100)=0,"..",('S1 Numbers'!I38/'S1 Numbers'!$E38)*100))</f>
        <v>87.662337662337663</v>
      </c>
      <c r="J37" s="55">
        <f>IF(ISERR('S1 Numbers'!J38/'S1 Numbers'!$E38*100),"..",IF(('S1 Numbers'!J38/'S1 Numbers'!$E38*100)=0,"..",('S1 Numbers'!J38/'S1 Numbers'!$E38)*100))</f>
        <v>70.129870129870127</v>
      </c>
      <c r="K37" s="55">
        <f>IF(ISERR('S1 Numbers'!K38/'S1 Numbers'!$E38*100),"..",IF(('S1 Numbers'!K38/'S1 Numbers'!$E38*100)=0,"..",('S1 Numbers'!K38/'S1 Numbers'!$E38)*100))</f>
        <v>67.532467532467535</v>
      </c>
      <c r="L37" s="55">
        <f>IF(ISERR('S1 Numbers'!L38/'S1 Numbers'!$E38*100),"..",IF(('S1 Numbers'!L38/'S1 Numbers'!$E38*100)=0,"..",('S1 Numbers'!L38/'S1 Numbers'!$E38)*100))</f>
        <v>60.064935064935064</v>
      </c>
      <c r="M37" s="55">
        <f>IF(ISERR('S1 Numbers'!M38/'S1 Numbers'!$E38*100),"..",IF(('S1 Numbers'!M38/'S1 Numbers'!$E38*100)=0,"..",('S1 Numbers'!M38/'S1 Numbers'!$E38)*100))</f>
        <v>57.792207792207797</v>
      </c>
      <c r="N37" s="55">
        <f>IF(ISERR('S1 Numbers'!N38/'S1 Numbers'!$E38*100),"..",IF(('S1 Numbers'!N38/'S1 Numbers'!$E38*100)=0,"..",('S1 Numbers'!N38/'S1 Numbers'!$E38)*100))</f>
        <v>55.844155844155843</v>
      </c>
      <c r="O37" s="55">
        <f>IF(ISERR('S1 Numbers'!O38/'S1 Numbers'!$E38*100),"..",IF(('S1 Numbers'!O38/'S1 Numbers'!$E38*100)=0,"..",('S1 Numbers'!O38/'S1 Numbers'!$E38)*100))</f>
        <v>64.935064935064929</v>
      </c>
    </row>
    <row r="38" spans="1:15" ht="20.25" customHeight="1">
      <c r="A38" s="45"/>
      <c r="B38" s="49" t="s">
        <v>28</v>
      </c>
      <c r="C38" s="55">
        <f>IF(ISERR('S1 Numbers'!C39/'S1 Numbers'!$C39*100),"..",IF(('S1 Numbers'!C39/'S1 Numbers'!$C39*100)=0,"..",('S1 Numbers'!C39/'S1 Numbers'!$C39)*100))</f>
        <v>100</v>
      </c>
      <c r="D38" s="55">
        <f>IF(ISERR('S1 Numbers'!D39/'S1 Numbers'!$D39*100),"..",IF(('S1 Numbers'!D39/'S1 Numbers'!$D39*100)=0,"..",('S1 Numbers'!D39/'S1 Numbers'!$D39)*100))</f>
        <v>100</v>
      </c>
      <c r="E38" s="55">
        <f>IF(ISERR('S1 Numbers'!E39/'S1 Numbers'!$E39*100),"..",IF(('S1 Numbers'!E39/'S1 Numbers'!$E39*100)=0,"..",('S1 Numbers'!E39/'S1 Numbers'!$E39)*100))</f>
        <v>100</v>
      </c>
      <c r="F38" s="55">
        <f>IF(ISERR('S1 Numbers'!F39/'S1 Numbers'!$E39*100),"..",IF(('S1 Numbers'!F39/'S1 Numbers'!$E39*100)=0,"..",('S1 Numbers'!F39/'S1 Numbers'!$E39)*100))</f>
        <v>96.031229668184778</v>
      </c>
      <c r="G38" s="55">
        <f>IF(ISERR('S1 Numbers'!G39/'S1 Numbers'!$E39*100),"..",IF(('S1 Numbers'!G39/'S1 Numbers'!$E39*100)=0,"..",('S1 Numbers'!G39/'S1 Numbers'!$E39)*100))</f>
        <v>95.933636955107346</v>
      </c>
      <c r="H38" s="55">
        <f>IF(ISERR('S1 Numbers'!H39/'S1 Numbers'!$E39*100),"..",IF(('S1 Numbers'!H39/'S1 Numbers'!$E39*100)=0,"..",('S1 Numbers'!H39/'S1 Numbers'!$E39)*100))</f>
        <v>86.727391021470396</v>
      </c>
      <c r="I38" s="55">
        <f>IF(ISERR('S1 Numbers'!I39/'S1 Numbers'!$E39*100),"..",IF(('S1 Numbers'!I39/'S1 Numbers'!$E39*100)=0,"..",('S1 Numbers'!I39/'S1 Numbers'!$E39)*100))</f>
        <v>92.550422901756662</v>
      </c>
      <c r="J38" s="55">
        <f>IF(ISERR('S1 Numbers'!J39/'S1 Numbers'!$E39*100),"..",IF(('S1 Numbers'!J39/'S1 Numbers'!$E39*100)=0,"..",('S1 Numbers'!J39/'S1 Numbers'!$E39)*100))</f>
        <v>81.424853610930384</v>
      </c>
      <c r="K38" s="55">
        <f>IF(ISERR('S1 Numbers'!K39/'S1 Numbers'!$E39*100),"..",IF(('S1 Numbers'!K39/'S1 Numbers'!$E39*100)=0,"..",('S1 Numbers'!K39/'S1 Numbers'!$E39)*100))</f>
        <v>70.819778789850361</v>
      </c>
      <c r="L38" s="55">
        <f>IF(ISERR('S1 Numbers'!L39/'S1 Numbers'!$E39*100),"..",IF(('S1 Numbers'!L39/'S1 Numbers'!$E39*100)=0,"..",('S1 Numbers'!L39/'S1 Numbers'!$E39)*100))</f>
        <v>67.176317501626542</v>
      </c>
      <c r="M38" s="55">
        <f>IF(ISERR('S1 Numbers'!M39/'S1 Numbers'!$E39*100),"..",IF(('S1 Numbers'!M39/'S1 Numbers'!$E39*100)=0,"..",('S1 Numbers'!M39/'S1 Numbers'!$E39)*100))</f>
        <v>70.234222511385809</v>
      </c>
      <c r="N38" s="55">
        <f>IF(ISERR('S1 Numbers'!N39/'S1 Numbers'!$E39*100),"..",IF(('S1 Numbers'!N39/'S1 Numbers'!$E39*100)=0,"..",('S1 Numbers'!N39/'S1 Numbers'!$E39)*100))</f>
        <v>59.986987638256338</v>
      </c>
      <c r="O38" s="55">
        <f>IF(ISERR('S1 Numbers'!O39/'S1 Numbers'!$E39*100),"..",IF(('S1 Numbers'!O39/'S1 Numbers'!$E39*100)=0,"..",('S1 Numbers'!O39/'S1 Numbers'!$E39)*100))</f>
        <v>61.613532856213403</v>
      </c>
    </row>
    <row r="39" spans="1:15" ht="20.25" customHeight="1">
      <c r="A39" s="45"/>
      <c r="B39" s="49" t="s">
        <v>29</v>
      </c>
      <c r="C39" s="55">
        <f>IF(ISERR('S1 Numbers'!C40/'S1 Numbers'!$C40*100),"..",IF(('S1 Numbers'!C40/'S1 Numbers'!$C40*100)=0,"..",('S1 Numbers'!C40/'S1 Numbers'!$C40)*100))</f>
        <v>100</v>
      </c>
      <c r="D39" s="55">
        <f>IF(ISERR('S1 Numbers'!D40/'S1 Numbers'!$D40*100),"..",IF(('S1 Numbers'!D40/'S1 Numbers'!$D40*100)=0,"..",('S1 Numbers'!D40/'S1 Numbers'!$D40)*100))</f>
        <v>100</v>
      </c>
      <c r="E39" s="55">
        <f>IF(ISERR('S1 Numbers'!E40/'S1 Numbers'!$E40*100),"..",IF(('S1 Numbers'!E40/'S1 Numbers'!$E40*100)=0,"..",('S1 Numbers'!E40/'S1 Numbers'!$E40)*100))</f>
        <v>100</v>
      </c>
      <c r="F39" s="55">
        <f>IF(ISERR('S1 Numbers'!F40/'S1 Numbers'!$E40*100),"..",IF(('S1 Numbers'!F40/'S1 Numbers'!$E40*100)=0,"..",('S1 Numbers'!F40/'S1 Numbers'!$E40)*100))</f>
        <v>96.665225381039889</v>
      </c>
      <c r="G39" s="55">
        <f>IF(ISERR('S1 Numbers'!G40/'S1 Numbers'!$E40*100),"..",IF(('S1 Numbers'!G40/'S1 Numbers'!$E40*100)=0,"..",('S1 Numbers'!G40/'S1 Numbers'!$E40)*100))</f>
        <v>93.335855583180191</v>
      </c>
      <c r="H39" s="55">
        <f>IF(ISERR('S1 Numbers'!H40/'S1 Numbers'!$E40*100),"..",IF(('S1 Numbers'!H40/'S1 Numbers'!$E40*100)=0,"..",('S1 Numbers'!H40/'S1 Numbers'!$E40)*100))</f>
        <v>87.768889849745975</v>
      </c>
      <c r="I39" s="55">
        <f>IF(ISERR('S1 Numbers'!I40/'S1 Numbers'!$E40*100),"..",IF(('S1 Numbers'!I40/'S1 Numbers'!$E40*100)=0,"..",('S1 Numbers'!I40/'S1 Numbers'!$E40)*100))</f>
        <v>84.271970597773219</v>
      </c>
      <c r="J39" s="55">
        <f>IF(ISERR('S1 Numbers'!J40/'S1 Numbers'!$E40*100),"..",IF(('S1 Numbers'!J40/'S1 Numbers'!$E40*100)=0,"..",('S1 Numbers'!J40/'S1 Numbers'!$E40)*100))</f>
        <v>81.304723813641772</v>
      </c>
      <c r="K39" s="55">
        <f>IF(ISERR('S1 Numbers'!K40/'S1 Numbers'!$E40*100),"..",IF(('S1 Numbers'!K40/'S1 Numbers'!$E40*100)=0,"..",('S1 Numbers'!K40/'S1 Numbers'!$E40)*100))</f>
        <v>72.089503837422981</v>
      </c>
      <c r="L39" s="55">
        <f>IF(ISERR('S1 Numbers'!L40/'S1 Numbers'!$E40*100),"..",IF(('S1 Numbers'!L40/'S1 Numbers'!$E40*100)=0,"..",('S1 Numbers'!L40/'S1 Numbers'!$E40)*100))</f>
        <v>69.127661874391961</v>
      </c>
      <c r="M39" s="55">
        <f>IF(ISERR('S1 Numbers'!M40/'S1 Numbers'!$E40*100),"..",IF(('S1 Numbers'!M40/'S1 Numbers'!$E40*100)=0,"..",('S1 Numbers'!M40/'S1 Numbers'!$E40)*100))</f>
        <v>68.75472921846287</v>
      </c>
      <c r="N39" s="55">
        <f>IF(ISERR('S1 Numbers'!N40/'S1 Numbers'!$E40*100),"..",IF(('S1 Numbers'!N40/'S1 Numbers'!$E40*100)=0,"..",('S1 Numbers'!N40/'S1 Numbers'!$E40)*100))</f>
        <v>62.177061939249811</v>
      </c>
      <c r="O39" s="55">
        <f>IF(ISERR('S1 Numbers'!O40/'S1 Numbers'!$E40*100),"..",IF(('S1 Numbers'!O40/'S1 Numbers'!$E40*100)=0,"..",('S1 Numbers'!O40/'S1 Numbers'!$E40)*100))</f>
        <v>60.750189168738508</v>
      </c>
    </row>
    <row r="40" spans="1:15" ht="8.25" customHeight="1">
      <c r="A40" s="45"/>
      <c r="B40" s="45"/>
      <c r="C40" s="539"/>
      <c r="D40" s="539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spans="1:15" ht="20.25" customHeight="1">
      <c r="A41" s="46" t="s">
        <v>644</v>
      </c>
      <c r="B41" s="45"/>
      <c r="C41" s="545"/>
      <c r="D41" s="545"/>
      <c r="E41" s="545"/>
      <c r="F41" s="545"/>
      <c r="G41" s="545"/>
      <c r="H41" s="545"/>
      <c r="I41" s="545"/>
      <c r="J41" s="545"/>
      <c r="K41" s="545"/>
      <c r="L41" s="545"/>
      <c r="M41" s="545"/>
      <c r="N41" s="55"/>
    </row>
    <row r="42" spans="1:15" ht="20.25" customHeight="1">
      <c r="A42" s="46" t="s">
        <v>645</v>
      </c>
      <c r="B42" s="41"/>
      <c r="C42" s="55">
        <f>IF(ISERR('S1 Numbers'!C43/'S1 Numbers'!$C43*100),"..",IF(('S1 Numbers'!C43/'S1 Numbers'!$C43*100)=0,"..",('S1 Numbers'!C43/'S1 Numbers'!$C43)*100))</f>
        <v>100</v>
      </c>
      <c r="D42" s="55">
        <f>IF(ISERR('S1 Numbers'!D43/'S1 Numbers'!$D43*100),"..",IF(('S1 Numbers'!D43/'S1 Numbers'!$D43*100)=0,"..",('S1 Numbers'!D43/'S1 Numbers'!$D43)*100))</f>
        <v>100</v>
      </c>
      <c r="E42" s="55">
        <f>IF(ISERR('S1 Numbers'!E43/'S1 Numbers'!$E43*100),"..",IF(('S1 Numbers'!E43/'S1 Numbers'!$E43*100)=0,"..",('S1 Numbers'!E43/'S1 Numbers'!$E43)*100))</f>
        <v>100</v>
      </c>
      <c r="F42" s="55">
        <f>IF(ISERR('S1 Numbers'!F43/'S1 Numbers'!$E43*100),"..",IF(('S1 Numbers'!F43/'S1 Numbers'!$E43*100)=0,"..",('S1 Numbers'!F43/'S1 Numbers'!$E43)*100))</f>
        <v>108.44540243350048</v>
      </c>
      <c r="G42" s="55">
        <f>IF(ISERR('S1 Numbers'!G43/'S1 Numbers'!$E43*100),"..",IF(('S1 Numbers'!G43/'S1 Numbers'!$E43*100)=0,"..",('S1 Numbers'!G43/'S1 Numbers'!$E43)*100))</f>
        <v>111.81138028521001</v>
      </c>
      <c r="H42" s="55">
        <f>IF(ISERR('S1 Numbers'!H43/'S1 Numbers'!$E43*100),"..",IF(('S1 Numbers'!H43/'S1 Numbers'!$E43*100)=0,"..",('S1 Numbers'!H43/'S1 Numbers'!$E43)*100))</f>
        <v>116.31444949471286</v>
      </c>
      <c r="I42" s="55">
        <f>IF(ISERR('S1 Numbers'!I43/'S1 Numbers'!$E43*100),"..",IF(('S1 Numbers'!I43/'S1 Numbers'!$E43*100)=0,"..",('S1 Numbers'!I43/'S1 Numbers'!$E43)*100))</f>
        <v>119.37741124283461</v>
      </c>
      <c r="J42" s="55">
        <f>IF(ISERR('S1 Numbers'!J43/'S1 Numbers'!$E43*100),"..",IF(('S1 Numbers'!J43/'S1 Numbers'!$E43*100)=0,"..",('S1 Numbers'!J43/'S1 Numbers'!$E43)*100))</f>
        <v>120.15838058197836</v>
      </c>
      <c r="K42" s="55">
        <f>IF(ISERR('S1 Numbers'!K43/'S1 Numbers'!$E43*100),"..",IF(('S1 Numbers'!K43/'S1 Numbers'!$E43*100)=0,"..",('S1 Numbers'!K43/'S1 Numbers'!$E43)*100))</f>
        <v>122.28417912312763</v>
      </c>
      <c r="L42" s="55">
        <f>IF(ISERR('S1 Numbers'!L43/'S1 Numbers'!$E43*100),"..",IF(('S1 Numbers'!L43/'S1 Numbers'!$E43*100)=0,"..",('S1 Numbers'!L43/'S1 Numbers'!$E43)*100))</f>
        <v>126.67322680911548</v>
      </c>
      <c r="M42" s="55">
        <f>IF(ISERR('S1 Numbers'!M43/'S1 Numbers'!$E43*100),"..",IF(('S1 Numbers'!M43/'S1 Numbers'!$E43*100)=0,"..",('S1 Numbers'!M43/'S1 Numbers'!$E43)*100))</f>
        <v>130.03139496743358</v>
      </c>
      <c r="N42" s="55">
        <f>IF(ISERR('S1 Numbers'!N43/'S1 Numbers'!$E43*100),"..",IF(('S1 Numbers'!N43/'S1 Numbers'!$E43*100)=0,"..",('S1 Numbers'!N43/'S1 Numbers'!$E43)*100))</f>
        <v>134.85778548334193</v>
      </c>
      <c r="O42" s="55">
        <f>IF(ISERR('S1 Numbers'!O43/'S1 Numbers'!$E43*100),"..",IF(('S1 Numbers'!O43/'S1 Numbers'!$E43*100)=0,"..",('S1 Numbers'!O43/'S1 Numbers'!$E43)*100))</f>
        <v>144.76047670368465</v>
      </c>
    </row>
    <row r="43" spans="1:15" ht="20.25" customHeight="1">
      <c r="A43" s="46"/>
      <c r="B43" s="41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  <row r="44" spans="1:15" ht="9.75" customHeight="1">
      <c r="A44" s="46"/>
      <c r="B44" s="49"/>
      <c r="C44" s="539"/>
      <c r="D44" s="540"/>
      <c r="E44" s="539"/>
      <c r="F44" s="540"/>
      <c r="G44" s="539"/>
      <c r="H44" s="539"/>
      <c r="I44" s="539"/>
      <c r="J44" s="539"/>
      <c r="K44" s="539"/>
      <c r="L44" s="539"/>
      <c r="M44" s="539"/>
      <c r="N44" s="55"/>
    </row>
    <row r="45" spans="1:15" ht="20.25" customHeight="1">
      <c r="A45" s="49" t="s">
        <v>651</v>
      </c>
      <c r="B45" s="41"/>
      <c r="C45" s="55">
        <f>IF(ISERR('S1 Numbers'!C46/'S1 Numbers'!$C46*100),"..",IF(('S1 Numbers'!C46/'S1 Numbers'!$C46*100)=0,"..",('S1 Numbers'!C46/'S1 Numbers'!$C46)*100))</f>
        <v>100</v>
      </c>
      <c r="D45" s="55">
        <f>IF(ISERR('S1 Numbers'!D46/'S1 Numbers'!$D46*100),"..",IF(('S1 Numbers'!D46/'S1 Numbers'!$D46*100)=0,"..",('S1 Numbers'!D46/'S1 Numbers'!$D46)*100))</f>
        <v>100</v>
      </c>
      <c r="E45" s="55">
        <f>IF(ISERR('S1 Numbers'!E46/'S1 Numbers'!$E46*100),"..",IF(('S1 Numbers'!E46/'S1 Numbers'!$E46*100)=0,"..",('S1 Numbers'!E46/'S1 Numbers'!$E46)*100))</f>
        <v>100</v>
      </c>
      <c r="F45" s="55">
        <f>IF(ISERR('S1 Numbers'!F46/'S1 Numbers'!$E46*100),"..",IF(('S1 Numbers'!F46/'S1 Numbers'!$E46*100)=0,"..",('S1 Numbers'!F46/'S1 Numbers'!$E46)*100))</f>
        <v>108.94513100183715</v>
      </c>
      <c r="G45" s="55">
        <f>IF(ISERR('S1 Numbers'!G46/'S1 Numbers'!$E46*100),"..",IF(('S1 Numbers'!G46/'S1 Numbers'!$E46*100)=0,"..",('S1 Numbers'!G46/'S1 Numbers'!$E46)*100))</f>
        <v>113.92322873005773</v>
      </c>
      <c r="H45" s="55">
        <f>IF(ISERR('S1 Numbers'!H46/'S1 Numbers'!$E46*100),"..",IF(('S1 Numbers'!H46/'S1 Numbers'!$E46*100)=0,"..",('S1 Numbers'!H46/'S1 Numbers'!$E46)*100))</f>
        <v>118.75371909930567</v>
      </c>
      <c r="I45" s="547">
        <f>IF(ISERR('S1 Numbers'!I46/'S1 Numbers'!$E46*100),"..",IF(('S1 Numbers'!I46/'S1 Numbers'!$E46*100)=0,"..",('S1 Numbers'!I46/'S1 Numbers'!$E46)*100))</f>
        <v>124.48664810992673</v>
      </c>
      <c r="J45" s="55">
        <f>IF(ISERR('S1 Numbers'!J46/'S1 Numbers'!$E46*100),"..",IF(('S1 Numbers'!J46/'S1 Numbers'!$E46*100)=0,"..",('S1 Numbers'!J46/'S1 Numbers'!$E46)*100))</f>
        <v>124.84222321888181</v>
      </c>
      <c r="K45" s="55">
        <f>IF(ISERR('S1 Numbers'!K46/'S1 Numbers'!$E46*100),"..",IF(('S1 Numbers'!K46/'S1 Numbers'!$E46*100)=0,"..",('S1 Numbers'!K46/'S1 Numbers'!$E46)*100))</f>
        <v>129.69460523586429</v>
      </c>
      <c r="L45" s="55">
        <f>IF(ISERR('S1 Numbers'!L46/'S1 Numbers'!$E46*100),"..",IF(('S1 Numbers'!L46/'S1 Numbers'!$E46*100)=0,"..",('S1 Numbers'!L46/'S1 Numbers'!$E46)*100))</f>
        <v>136.00335285612709</v>
      </c>
      <c r="M45" s="55">
        <f>IF(ISERR('S1 Numbers'!M46/'S1 Numbers'!$E46*100),"..",IF(('S1 Numbers'!M46/'S1 Numbers'!$E46*100)=0,"..",('S1 Numbers'!M46/'S1 Numbers'!$E46)*100))</f>
        <v>139.98874338598017</v>
      </c>
      <c r="N45" s="55">
        <f>IF(ISERR('S1 Numbers'!N46/'S1 Numbers'!$E46*100),"..",IF(('S1 Numbers'!N46/'S1 Numbers'!$E46*100)=0,"..",('S1 Numbers'!N46/'S1 Numbers'!$E46)*100))</f>
        <v>141.53615968909452</v>
      </c>
      <c r="O45" s="63" t="str">
        <f>IF(ISERR('S1 Numbers'!O46/'S1 Numbers'!$E46*100),"..",IF(('S1 Numbers'!O46/'S1 Numbers'!$E46*100)=0,"..",('S1 Numbers'!O46/'S1 Numbers'!$E46)*100))</f>
        <v>..</v>
      </c>
    </row>
    <row r="46" spans="1:15" ht="20.25" customHeight="1">
      <c r="A46" s="49" t="s">
        <v>675</v>
      </c>
      <c r="B46" s="41"/>
      <c r="C46" s="55">
        <f>IF(ISERR('S1 Numbers'!C47/'S1 Numbers'!$C47*100),"..",IF(('S1 Numbers'!C47/'S1 Numbers'!$C47*100)=0,"..",('S1 Numbers'!C47/'S1 Numbers'!$C47)*100))</f>
        <v>100</v>
      </c>
      <c r="D46" s="55">
        <f>IF(ISERR('S1 Numbers'!D47/'S1 Numbers'!$D47*100),"..",IF(('S1 Numbers'!D47/'S1 Numbers'!$D47*100)=0,"..",('S1 Numbers'!D47/'S1 Numbers'!$D47)*100))</f>
        <v>100</v>
      </c>
      <c r="E46" s="55">
        <f>IF(ISERR('S1 Numbers'!E47/'S1 Numbers'!$E47*100),"..",IF(('S1 Numbers'!E47/'S1 Numbers'!$E47*100)=0,"..",('S1 Numbers'!E47/'S1 Numbers'!$E47)*100))</f>
        <v>100</v>
      </c>
      <c r="F46" s="55">
        <f>IF(ISERR('S1 Numbers'!F47/'S1 Numbers'!$E47*100),"..",IF(('S1 Numbers'!F47/'S1 Numbers'!$E47*100)=0,"..",('S1 Numbers'!F47/'S1 Numbers'!$E47)*100))</f>
        <v>100.33375955794293</v>
      </c>
      <c r="G46" s="55">
        <f>IF(ISERR('S1 Numbers'!G47/'S1 Numbers'!$E47*100),"..",IF(('S1 Numbers'!G47/'S1 Numbers'!$E47*100)=0,"..",('S1 Numbers'!G47/'S1 Numbers'!$E47)*100))</f>
        <v>103.32999616550789</v>
      </c>
      <c r="H46" s="55">
        <f>IF(ISERR('S1 Numbers'!H47/'S1 Numbers'!$E47*100),"..",IF(('S1 Numbers'!H47/'S1 Numbers'!$E47*100)=0,"..",('S1 Numbers'!H47/'S1 Numbers'!$E47)*100))</f>
        <v>117.64322508523215</v>
      </c>
      <c r="I46" s="547">
        <f>IF(ISERR('S1 Numbers'!I47/'S1 Numbers'!$E47*100),"..",IF(('S1 Numbers'!I47/'S1 Numbers'!$E47*100)=0,"..",('S1 Numbers'!I47/'S1 Numbers'!$E47)*100))</f>
        <v>118.09773154209742</v>
      </c>
      <c r="J46" s="55">
        <f>IF(ISERR('S1 Numbers'!J47/'S1 Numbers'!$E47*100),"..",IF(('S1 Numbers'!J47/'S1 Numbers'!$E47*100)=0,"..",('S1 Numbers'!J47/'S1 Numbers'!$E47)*100))</f>
        <v>129.7458942919009</v>
      </c>
      <c r="K46" s="55">
        <f>IF(ISERR('S1 Numbers'!K47/'S1 Numbers'!$E47*100),"..",IF(('S1 Numbers'!K47/'S1 Numbers'!$E47*100)=0,"..",('S1 Numbers'!K47/'S1 Numbers'!$E47)*100))</f>
        <v>134.45797018609113</v>
      </c>
      <c r="L46" s="55">
        <f>IF(ISERR('S1 Numbers'!L47/'S1 Numbers'!$E47*100),"..",IF(('S1 Numbers'!L47/'S1 Numbers'!$E47*100)=0,"..",('S1 Numbers'!L47/'S1 Numbers'!$E47)*100))</f>
        <v>137.81081235785391</v>
      </c>
      <c r="M46" s="55">
        <f>IF(ISERR('S1 Numbers'!M47/'S1 Numbers'!$E47*100),"..",IF(('S1 Numbers'!M47/'S1 Numbers'!$E47*100)=0,"..",('S1 Numbers'!M47/'S1 Numbers'!$E47)*100))</f>
        <v>143.19153777966895</v>
      </c>
      <c r="N46" s="55">
        <f>IF(ISERR('S1 Numbers'!N47/'S1 Numbers'!$E47*100),"..",IF(('S1 Numbers'!N47/'S1 Numbers'!$E47*100)=0,"..",('S1 Numbers'!N47/'S1 Numbers'!$E47)*100))</f>
        <v>147.43663007306696</v>
      </c>
      <c r="O46" s="63" t="str">
        <f>IF(ISERR('S1 Numbers'!O47/'S1 Numbers'!$E47*100),"..",IF(('S1 Numbers'!O47/'S1 Numbers'!$E47*100)=0,"..",('S1 Numbers'!O47/'S1 Numbers'!$E47)*100))</f>
        <v>..</v>
      </c>
    </row>
    <row r="47" spans="1:15" ht="8.25" customHeight="1">
      <c r="A47" s="45"/>
      <c r="B47" s="45"/>
      <c r="C47" s="539"/>
      <c r="D47" s="539"/>
      <c r="E47" s="539"/>
      <c r="F47" s="539"/>
      <c r="G47" s="539"/>
      <c r="H47" s="539"/>
      <c r="I47" s="539"/>
      <c r="J47" s="539"/>
      <c r="K47" s="539"/>
      <c r="L47" s="539"/>
      <c r="M47" s="539"/>
      <c r="N47" s="55"/>
    </row>
    <row r="48" spans="1:15" ht="20.25" customHeight="1">
      <c r="A48" s="46" t="s">
        <v>31</v>
      </c>
      <c r="B48" s="45"/>
      <c r="C48" s="539"/>
      <c r="D48" s="539"/>
      <c r="E48" s="539"/>
      <c r="F48" s="539"/>
      <c r="G48" s="539"/>
      <c r="H48" s="539"/>
      <c r="I48" s="539"/>
      <c r="J48" s="539"/>
      <c r="K48" s="539"/>
      <c r="L48" s="539"/>
      <c r="M48" s="539"/>
      <c r="N48" s="55"/>
    </row>
    <row r="49" spans="1:15" ht="20.25" customHeight="1">
      <c r="A49" s="45"/>
      <c r="B49" s="49" t="s">
        <v>32</v>
      </c>
      <c r="C49" s="55">
        <f>IF(ISERR('S1 Numbers'!C50/'S1 Numbers'!$C50*100),"..",IF(('S1 Numbers'!C50/'S1 Numbers'!$C50*100)=0,"..",('S1 Numbers'!C50/'S1 Numbers'!$C50)*100))</f>
        <v>100</v>
      </c>
      <c r="D49" s="55">
        <f>IF(ISERR('S1 Numbers'!D50/'S1 Numbers'!$D50*100),"..",IF(('S1 Numbers'!D50/'S1 Numbers'!$D50*100)=0,"..",('S1 Numbers'!D50/'S1 Numbers'!$D50)*100))</f>
        <v>100</v>
      </c>
      <c r="E49" s="55">
        <f>IF(ISERR('S1 Numbers'!E50/'S1 Numbers'!$E50*100),"..",IF(('S1 Numbers'!E50/'S1 Numbers'!$E50*100)=0,"..",('S1 Numbers'!E50/'S1 Numbers'!$E50)*100))</f>
        <v>100</v>
      </c>
      <c r="F49" s="55">
        <f>IF(ISERR('S1 Numbers'!F50/'S1 Numbers'!$E50*100),"..",IF(('S1 Numbers'!F50/'S1 Numbers'!$E50*100)=0,"..",('S1 Numbers'!F50/'S1 Numbers'!$E50)*100))</f>
        <v>105.49767235646199</v>
      </c>
      <c r="G49" s="55">
        <f>IF(ISERR('S1 Numbers'!G50/'S1 Numbers'!$E50*100),"..",IF(('S1 Numbers'!G50/'S1 Numbers'!$E50*100)=0,"..",('S1 Numbers'!G50/'S1 Numbers'!$E50)*100))</f>
        <v>108.34404788295278</v>
      </c>
      <c r="H49" s="55">
        <f>IF(ISERR('S1 Numbers'!H50/'S1 Numbers'!$E50*100),"..",IF(('S1 Numbers'!H50/'S1 Numbers'!$E50*100)=0,"..",('S1 Numbers'!H50/'S1 Numbers'!$E50)*100))</f>
        <v>111.42540456661494</v>
      </c>
      <c r="I49" s="55">
        <f>IF(ISERR('S1 Numbers'!I50/'S1 Numbers'!$E50*100),"..",IF(('S1 Numbers'!I50/'S1 Numbers'!$E50*100)=0,"..",('S1 Numbers'!I50/'S1 Numbers'!$E50)*100))</f>
        <v>107.94945688317445</v>
      </c>
      <c r="J49" s="55">
        <f>IF(ISERR('S1 Numbers'!J50/'S1 Numbers'!$E50*100),"..",IF(('S1 Numbers'!J50/'S1 Numbers'!$E50*100)=0,"..",('S1 Numbers'!J50/'S1 Numbers'!$E50)*100))</f>
        <v>99.738417202394146</v>
      </c>
      <c r="K49" s="55">
        <f>IF(ISERR('S1 Numbers'!K50/'S1 Numbers'!$E50*100),"..",IF(('S1 Numbers'!K50/'S1 Numbers'!$E50*100)=0,"..",('S1 Numbers'!K50/'S1 Numbers'!$E50)*100))</f>
        <v>92.693416093992468</v>
      </c>
      <c r="L49" s="55">
        <f>IF(ISERR('S1 Numbers'!L50/'S1 Numbers'!$E50*100),"..",IF(('S1 Numbers'!L50/'S1 Numbers'!$E50*100)=0,"..",('S1 Numbers'!L50/'S1 Numbers'!$E50)*100))</f>
        <v>97.827532697849705</v>
      </c>
      <c r="M49" s="55">
        <f>IF(ISERR('S1 Numbers'!M50/'S1 Numbers'!$E50*100),"..",IF(('S1 Numbers'!M50/'S1 Numbers'!$E50*100)=0,"..",('S1 Numbers'!M50/'S1 Numbers'!$E50)*100))</f>
        <v>98.457104854799383</v>
      </c>
      <c r="N49" s="55">
        <f>IF(ISERR('S1 Numbers'!N50/'S1 Numbers'!$E50*100),"..",IF(('S1 Numbers'!N50/'S1 Numbers'!$E50*100)=0,"..",('S1 Numbers'!N50/'S1 Numbers'!$E50)*100))</f>
        <v>103.08135668366216</v>
      </c>
      <c r="O49" s="55">
        <f>IF(ISERR('S1 Numbers'!O50/'S1 Numbers'!$E50*100),"..",IF(('S1 Numbers'!O50/'S1 Numbers'!$E50*100)=0,"..",('S1 Numbers'!O50/'S1 Numbers'!$E50)*100))</f>
        <v>106.74351585014409</v>
      </c>
    </row>
    <row r="50" spans="1:15" ht="20.25" customHeight="1">
      <c r="A50" s="45"/>
      <c r="B50" s="49" t="s">
        <v>33</v>
      </c>
      <c r="C50" s="55">
        <f>IF(ISERR('S1 Numbers'!C51/'S1 Numbers'!$C51*100),"..",IF(('S1 Numbers'!C51/'S1 Numbers'!$C51*100)=0,"..",('S1 Numbers'!C51/'S1 Numbers'!$C51)*100))</f>
        <v>100</v>
      </c>
      <c r="D50" s="55">
        <f>IF(ISERR('S1 Numbers'!D51/'S1 Numbers'!$D51*100),"..",IF(('S1 Numbers'!D51/'S1 Numbers'!$D51*100)=0,"..",('S1 Numbers'!D51/'S1 Numbers'!$D51)*100))</f>
        <v>100</v>
      </c>
      <c r="E50" s="55">
        <f>IF(ISERR('S1 Numbers'!E51/'S1 Numbers'!$E51*100),"..",IF(('S1 Numbers'!E51/'S1 Numbers'!$E51*100)=0,"..",('S1 Numbers'!E51/'S1 Numbers'!$E51)*100))</f>
        <v>100</v>
      </c>
      <c r="F50" s="55">
        <f>IF(ISERR('S1 Numbers'!F51/'S1 Numbers'!$E51*100),"..",IF(('S1 Numbers'!F51/'S1 Numbers'!$E51*100)=0,"..",('S1 Numbers'!F51/'S1 Numbers'!$E51)*100))</f>
        <v>106.00944957030907</v>
      </c>
      <c r="G50" s="55">
        <f>IF(ISERR('S1 Numbers'!G51/'S1 Numbers'!$E51*100),"..",IF(('S1 Numbers'!G51/'S1 Numbers'!$E51*100)=0,"..",('S1 Numbers'!G51/'S1 Numbers'!$E51)*100))</f>
        <v>109.05696192684103</v>
      </c>
      <c r="H50" s="55">
        <f>IF(ISERR('S1 Numbers'!H51/'S1 Numbers'!$E51*100),"..",IF(('S1 Numbers'!H51/'S1 Numbers'!$E51*100)=0,"..",('S1 Numbers'!H51/'S1 Numbers'!$E51)*100))</f>
        <v>111.03582227339443</v>
      </c>
      <c r="I50" s="55">
        <f>IF(ISERR('S1 Numbers'!I51/'S1 Numbers'!$E51*100),"..",IF(('S1 Numbers'!I51/'S1 Numbers'!$E51*100)=0,"..",('S1 Numbers'!I51/'S1 Numbers'!$E51)*100))</f>
        <v>108.15712633484256</v>
      </c>
      <c r="J50" s="55">
        <f>IF(ISERR('S1 Numbers'!J51/'S1 Numbers'!$E51*100),"..",IF(('S1 Numbers'!J51/'S1 Numbers'!$E51*100)=0,"..",('S1 Numbers'!J51/'S1 Numbers'!$E51)*100))</f>
        <v>99.239418503939049</v>
      </c>
      <c r="K50" s="55">
        <f>IF(ISERR('S1 Numbers'!K51/'S1 Numbers'!$E51*100),"..",IF(('S1 Numbers'!K51/'S1 Numbers'!$E51*100)=0,"..",('S1 Numbers'!K51/'S1 Numbers'!$E51)*100))</f>
        <v>91.909518549060493</v>
      </c>
      <c r="L50" s="55">
        <f>IF(ISERR('S1 Numbers'!L51/'S1 Numbers'!$E51*100),"..",IF(('S1 Numbers'!L51/'S1 Numbers'!$E51*100)=0,"..",('S1 Numbers'!L51/'S1 Numbers'!$E51)*100))</f>
        <v>94.991520281308823</v>
      </c>
      <c r="M50" s="55">
        <f>IF(ISERR('S1 Numbers'!M51/'S1 Numbers'!$E51*100),"..",IF(('S1 Numbers'!M51/'S1 Numbers'!$E51*100)=0,"..",('S1 Numbers'!M51/'S1 Numbers'!$E51)*100))</f>
        <v>96.4820836769305</v>
      </c>
      <c r="N50" s="55">
        <f>IF(ISERR('S1 Numbers'!N51/'S1 Numbers'!$E51*100),"..",IF(('S1 Numbers'!N51/'S1 Numbers'!$E51*100)=0,"..",('S1 Numbers'!N51/'S1 Numbers'!$E51)*100))</f>
        <v>97.602858728405238</v>
      </c>
      <c r="O50" s="55">
        <f>IF(ISERR('S1 Numbers'!O51/'S1 Numbers'!$E51*100),"..",IF(('S1 Numbers'!O51/'S1 Numbers'!$E51*100)=0,"..",('S1 Numbers'!O51/'S1 Numbers'!$E51)*100))</f>
        <v>97.551513642752312</v>
      </c>
    </row>
    <row r="51" spans="1:15" ht="7.5" customHeight="1">
      <c r="A51" s="45"/>
      <c r="B51" s="41"/>
      <c r="C51" s="539"/>
      <c r="D51" s="539"/>
      <c r="E51" s="539"/>
      <c r="F51" s="539"/>
      <c r="G51" s="539"/>
      <c r="H51" s="539"/>
      <c r="I51" s="539"/>
      <c r="J51" s="539"/>
      <c r="K51" s="539"/>
      <c r="L51" s="539"/>
      <c r="M51" s="539"/>
      <c r="N51" s="55"/>
    </row>
    <row r="52" spans="1:15" ht="20.25" customHeight="1">
      <c r="A52" s="41"/>
      <c r="B52" s="49" t="s">
        <v>35</v>
      </c>
      <c r="C52" s="55">
        <f>IF(ISERR('S1 Numbers'!C53/'S1 Numbers'!$C53*100),"..",IF(('S1 Numbers'!C53/'S1 Numbers'!$C53*100)=0,"..",('S1 Numbers'!C53/'S1 Numbers'!$C53)*100))</f>
        <v>100</v>
      </c>
      <c r="D52" s="55">
        <f>IF(ISERR('S1 Numbers'!D53/'S1 Numbers'!$D53*100),"..",IF(('S1 Numbers'!D53/'S1 Numbers'!$D53*100)=0,"..",('S1 Numbers'!D53/'S1 Numbers'!$D53)*100))</f>
        <v>100</v>
      </c>
      <c r="E52" s="55">
        <f>IF(ISERR('S1 Numbers'!E53/'S1 Numbers'!$E53*100),"..",IF(('S1 Numbers'!E53/'S1 Numbers'!$E53*100)=0,"..",('S1 Numbers'!E53/'S1 Numbers'!$E53)*100))</f>
        <v>100</v>
      </c>
      <c r="F52" s="55">
        <f>IF(ISERR('S1 Numbers'!F53/'S1 Numbers'!$E53*100),"..",IF(('S1 Numbers'!F53/'S1 Numbers'!$E53*100)=0,"..",('S1 Numbers'!F53/'S1 Numbers'!$E53)*100))</f>
        <v>98.099000366950577</v>
      </c>
      <c r="G52" s="55">
        <f>IF(ISERR('S1 Numbers'!G53/'S1 Numbers'!$E53*100),"..",IF(('S1 Numbers'!G53/'S1 Numbers'!$E53*100)=0,"..",('S1 Numbers'!G53/'S1 Numbers'!$E53)*100))</f>
        <v>102.84524237840745</v>
      </c>
      <c r="H52" s="55">
        <f>IF(ISERR('S1 Numbers'!H53/'S1 Numbers'!$E53*100),"..",IF(('S1 Numbers'!H53/'S1 Numbers'!$E53*100)=0,"..",('S1 Numbers'!H53/'S1 Numbers'!$E53)*100))</f>
        <v>81.652126680967939</v>
      </c>
      <c r="I52" s="55">
        <f>IF(ISERR('S1 Numbers'!I53/'S1 Numbers'!$E53*100),"..",IF(('S1 Numbers'!I53/'S1 Numbers'!$E53*100)=0,"..",('S1 Numbers'!I53/'S1 Numbers'!$E53)*100))</f>
        <v>62.043148728179098</v>
      </c>
      <c r="J52" s="55">
        <f>IF(ISERR('S1 Numbers'!J53/'S1 Numbers'!$E53*100),"..",IF(('S1 Numbers'!J53/'S1 Numbers'!$E53*100)=0,"..",('S1 Numbers'!J53/'S1 Numbers'!$E53)*100))</f>
        <v>62.856059063984894</v>
      </c>
      <c r="K52" s="55">
        <f>IF(ISERR('S1 Numbers'!K53/'S1 Numbers'!$E53*100),"..",IF(('S1 Numbers'!K53/'S1 Numbers'!$E53*100)=0,"..",('S1 Numbers'!K53/'S1 Numbers'!$E53)*100))</f>
        <v>58.712783535464965</v>
      </c>
      <c r="L52" s="55">
        <f>IF(ISERR('S1 Numbers'!L53/'S1 Numbers'!$E53*100),"..",IF(('S1 Numbers'!L53/'S1 Numbers'!$E53*100)=0,"..",('S1 Numbers'!L53/'S1 Numbers'!$E53)*100))</f>
        <v>55.78554147048547</v>
      </c>
      <c r="M52" s="55">
        <f>IF(ISERR('S1 Numbers'!M53/'S1 Numbers'!$E53*100),"..",IF(('S1 Numbers'!M53/'S1 Numbers'!$E53*100)=0,"..",('S1 Numbers'!M53/'S1 Numbers'!$E53)*100))</f>
        <v>64.479664963391969</v>
      </c>
      <c r="N52" s="55">
        <f>IF(ISERR('S1 Numbers'!N53/'S1 Numbers'!$E53*100),"..",IF(('S1 Numbers'!N53/'S1 Numbers'!$E53*100)=0,"..",('S1 Numbers'!N53/'S1 Numbers'!$E53)*100))</f>
        <v>66.98033547857429</v>
      </c>
      <c r="O52" s="55">
        <f>IF(ISERR('S1 Numbers'!O53/'S1 Numbers'!$E53*100),"..",IF(('S1 Numbers'!O53/'S1 Numbers'!$E53*100)=0,"..",('S1 Numbers'!O53/'S1 Numbers'!$E53)*100))</f>
        <v>73.963262722368597</v>
      </c>
    </row>
    <row r="53" spans="1:15" ht="8.25" customHeight="1">
      <c r="A53" s="46"/>
      <c r="B53" s="45"/>
      <c r="C53" s="539"/>
      <c r="D53" s="539"/>
      <c r="E53" s="539"/>
      <c r="F53" s="539"/>
      <c r="G53" s="539"/>
      <c r="H53" s="539"/>
      <c r="I53" s="539"/>
      <c r="J53" s="539"/>
      <c r="K53" s="539"/>
      <c r="L53" s="539"/>
      <c r="M53" s="539"/>
      <c r="N53" s="55"/>
    </row>
    <row r="54" spans="1:15" s="9" customFormat="1" ht="19.5" customHeight="1">
      <c r="A54" s="520" t="s">
        <v>647</v>
      </c>
      <c r="B54" s="337"/>
      <c r="C54" s="521"/>
      <c r="D54" s="521"/>
      <c r="E54" s="521"/>
      <c r="F54" s="521"/>
      <c r="G54" s="521"/>
      <c r="H54" s="521"/>
      <c r="I54" s="521"/>
      <c r="J54" s="521"/>
      <c r="K54" s="521"/>
      <c r="L54" s="521"/>
      <c r="M54" s="521"/>
      <c r="N54" s="55"/>
      <c r="O54" s="4"/>
    </row>
    <row r="55" spans="1:15" s="9" customFormat="1" ht="19.5" customHeight="1">
      <c r="A55" s="337"/>
      <c r="B55" s="522" t="s">
        <v>36</v>
      </c>
      <c r="C55" s="55">
        <f>IF(ISERR('S1 Numbers'!C56/'S1 Numbers'!$C56*100),"..",IF(('S1 Numbers'!C56/'S1 Numbers'!$C56*100)=0,"..",('S1 Numbers'!C56/'S1 Numbers'!$C56)*100))</f>
        <v>100</v>
      </c>
      <c r="D55" s="55">
        <f>IF(ISERR('S1 Numbers'!D56/'S1 Numbers'!$D56*100),"..",IF(('S1 Numbers'!D56/'S1 Numbers'!$D56*100)=0,"..",('S1 Numbers'!D56/'S1 Numbers'!$D56)*100))</f>
        <v>100</v>
      </c>
      <c r="E55" s="55">
        <f>IF(ISERR('S1 Numbers'!E56/'S1 Numbers'!$E56*100),"..",IF(('S1 Numbers'!E56/'S1 Numbers'!$E56*100)=0,"..",('S1 Numbers'!E56/'S1 Numbers'!$E56)*100))</f>
        <v>100</v>
      </c>
      <c r="F55" s="55">
        <f>IF(ISERR('S1 Numbers'!F56/'S1 Numbers'!$E56*100),"..",IF(('S1 Numbers'!F56/'S1 Numbers'!$E56*100)=0,"..",('S1 Numbers'!F56/'S1 Numbers'!$E56)*100))</f>
        <v>97.561209450688196</v>
      </c>
      <c r="G55" s="55">
        <f>IF(ISERR('S1 Numbers'!G56/'S1 Numbers'!$E56*100),"..",IF(('S1 Numbers'!G56/'S1 Numbers'!$E56*100)=0,"..",('S1 Numbers'!G56/'S1 Numbers'!$E56)*100))</f>
        <v>97.708002139327178</v>
      </c>
      <c r="H55" s="55">
        <f>IF(ISERR('S1 Numbers'!H56/'S1 Numbers'!$E56*100),"..",IF(('S1 Numbers'!H56/'S1 Numbers'!$E56*100)=0,"..",('S1 Numbers'!H56/'S1 Numbers'!$E56)*100))</f>
        <v>98.927623490225898</v>
      </c>
      <c r="I55" s="55">
        <f>IF(ISERR('S1 Numbers'!I56/'S1 Numbers'!$E56*100),"..",IF(('S1 Numbers'!I56/'S1 Numbers'!$E56*100)=0,"..",('S1 Numbers'!I56/'S1 Numbers'!$E56)*100))</f>
        <v>92.401789711814601</v>
      </c>
      <c r="J55" s="55">
        <f>IF(ISERR('S1 Numbers'!J56/'S1 Numbers'!$E56*100),"..",IF(('S1 Numbers'!J56/'S1 Numbers'!$E56*100)=0,"..",('S1 Numbers'!J56/'S1 Numbers'!$E56)*100))</f>
        <v>94.293595712191802</v>
      </c>
      <c r="K55" s="55">
        <f>IF(ISERR('S1 Numbers'!K56/'S1 Numbers'!$E56*100),"..",IF(('S1 Numbers'!K56/'S1 Numbers'!$E56*100)=0,"..",('S1 Numbers'!K56/'S1 Numbers'!$E56)*100))</f>
        <v>92.187820082435664</v>
      </c>
      <c r="L55" s="55">
        <f>IF(ISERR('S1 Numbers'!L56/'S1 Numbers'!$E56*100),"..",IF(('S1 Numbers'!L56/'S1 Numbers'!$E56*100)=0,"..",('S1 Numbers'!L56/'S1 Numbers'!$E56)*100))</f>
        <v>88.870875584983793</v>
      </c>
      <c r="M55" s="55">
        <f>IF(ISERR('S1 Numbers'!M56/'S1 Numbers'!$E56*100),"..",IF(('S1 Numbers'!M56/'S1 Numbers'!$E56*100)=0,"..",('S1 Numbers'!M56/'S1 Numbers'!$E56)*100))</f>
        <v>89.485240081896805</v>
      </c>
      <c r="N55" s="55">
        <f>IF(ISERR('S1 Numbers'!N56/'S1 Numbers'!$E56*100),"..",IF(('S1 Numbers'!N56/'S1 Numbers'!$E56*100)=0,"..",('S1 Numbers'!N56/'S1 Numbers'!$E56)*100))</f>
        <v>89.153203288126647</v>
      </c>
      <c r="O55" s="55">
        <f>IF(ISERR('S1 Numbers'!O56/'S1 Numbers'!$E56*100),"..",IF(('S1 Numbers'!O56/'S1 Numbers'!$E56*100)=0,"..",('S1 Numbers'!O56/'S1 Numbers'!$E56)*100))</f>
        <v>89.312665473968352</v>
      </c>
    </row>
    <row r="56" spans="1:15" s="9" customFormat="1" ht="19.5" customHeight="1">
      <c r="A56" s="337"/>
      <c r="B56" s="522" t="s">
        <v>37</v>
      </c>
      <c r="C56" s="55">
        <f>IF(ISERR('S1 Numbers'!C57/'S1 Numbers'!$C57*100),"..",IF(('S1 Numbers'!C57/'S1 Numbers'!$C57*100)=0,"..",('S1 Numbers'!C57/'S1 Numbers'!$C57)*100))</f>
        <v>100</v>
      </c>
      <c r="D56" s="55">
        <f>IF(ISERR('S1 Numbers'!D57/'S1 Numbers'!$D57*100),"..",IF(('S1 Numbers'!D57/'S1 Numbers'!$D57*100)=0,"..",('S1 Numbers'!D57/'S1 Numbers'!$D57)*100))</f>
        <v>100</v>
      </c>
      <c r="E56" s="55">
        <f>IF(ISERR('S1 Numbers'!E57/'S1 Numbers'!$E57*100),"..",IF(('S1 Numbers'!E57/'S1 Numbers'!$E57*100)=0,"..",('S1 Numbers'!E57/'S1 Numbers'!$E57)*100))</f>
        <v>100</v>
      </c>
      <c r="F56" s="55">
        <f>IF(ISERR('S1 Numbers'!F57/'S1 Numbers'!$E57*100),"..",IF(('S1 Numbers'!F57/'S1 Numbers'!$E57*100)=0,"..",('S1 Numbers'!F57/'S1 Numbers'!$E57)*100))</f>
        <v>98.350258220028621</v>
      </c>
      <c r="G56" s="55">
        <f>IF(ISERR('S1 Numbers'!G57/'S1 Numbers'!$E57*100),"..",IF(('S1 Numbers'!G57/'S1 Numbers'!$E57*100)=0,"..",('S1 Numbers'!G57/'S1 Numbers'!$E57)*100))</f>
        <v>101.17473782323</v>
      </c>
      <c r="H56" s="55">
        <f>IF(ISERR('S1 Numbers'!H57/'S1 Numbers'!$E57*100),"..",IF(('S1 Numbers'!H57/'S1 Numbers'!$E57*100)=0,"..",('S1 Numbers'!H57/'S1 Numbers'!$E57)*100))</f>
        <v>105.43531142235669</v>
      </c>
      <c r="I56" s="55">
        <f>IF(ISERR('S1 Numbers'!I57/'S1 Numbers'!$E57*100),"..",IF(('S1 Numbers'!I57/'S1 Numbers'!$E57*100)=0,"..",('S1 Numbers'!I57/'S1 Numbers'!$E57)*100))</f>
        <v>99.315378123103898</v>
      </c>
      <c r="J56" s="55">
        <f>IF(ISERR('S1 Numbers'!J57/'S1 Numbers'!$E57*100),"..",IF(('S1 Numbers'!J57/'S1 Numbers'!$E57*100)=0,"..",('S1 Numbers'!J57/'S1 Numbers'!$E57)*100))</f>
        <v>101.64119456865343</v>
      </c>
      <c r="K56" s="55">
        <f>IF(ISERR('S1 Numbers'!K57/'S1 Numbers'!$E57*100),"..",IF(('S1 Numbers'!K57/'S1 Numbers'!$E57*100)=0,"..",('S1 Numbers'!K57/'S1 Numbers'!$E57)*100))</f>
        <v>99.532470790799039</v>
      </c>
      <c r="L56" s="55">
        <f>IF(ISERR('S1 Numbers'!L57/'S1 Numbers'!$E57*100),"..",IF(('S1 Numbers'!L57/'S1 Numbers'!$E57*100)=0,"..",('S1 Numbers'!L57/'S1 Numbers'!$E57)*100))</f>
        <v>99.150153703558672</v>
      </c>
      <c r="M56" s="55">
        <f>IF(ISERR('S1 Numbers'!M57/'S1 Numbers'!$E57*100),"..",IF(('S1 Numbers'!M57/'S1 Numbers'!$E57*100)=0,"..",('S1 Numbers'!M57/'S1 Numbers'!$E57)*100))</f>
        <v>99.354636797142177</v>
      </c>
      <c r="N56" s="55">
        <f>IF(ISERR('S1 Numbers'!N57/'S1 Numbers'!$E57*100),"..",IF(('S1 Numbers'!N57/'S1 Numbers'!$E57*100)=0,"..",('S1 Numbers'!N57/'S1 Numbers'!$E57)*100))</f>
        <v>95.902180903839962</v>
      </c>
      <c r="O56" s="55">
        <f>IF(ISERR('S1 Numbers'!O57/'S1 Numbers'!$E57*100),"..",IF(('S1 Numbers'!O57/'S1 Numbers'!$E57*100)=0,"..",('S1 Numbers'!O57/'S1 Numbers'!$E57)*100))</f>
        <v>98.572940698927908</v>
      </c>
    </row>
    <row r="57" spans="1:15" s="9" customFormat="1" ht="19.5" customHeight="1">
      <c r="A57" s="520" t="s">
        <v>431</v>
      </c>
      <c r="B57" s="33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4"/>
    </row>
    <row r="58" spans="1:15" s="9" customFormat="1" ht="19.5" customHeight="1">
      <c r="A58" s="337"/>
      <c r="B58" s="522" t="s">
        <v>36</v>
      </c>
      <c r="C58" s="55">
        <f>IF(ISERR('S1 Numbers'!C59/'S1 Numbers'!$C59*100),"..",IF(('S1 Numbers'!C59/'S1 Numbers'!$C59*100)=0,"..",('S1 Numbers'!C59/'S1 Numbers'!$C59)*100))</f>
        <v>100</v>
      </c>
      <c r="D58" s="55">
        <f>IF(ISERR('S1 Numbers'!D59/'S1 Numbers'!$D59*100),"..",IF(('S1 Numbers'!D59/'S1 Numbers'!$D59*100)=0,"..",('S1 Numbers'!D59/'S1 Numbers'!$D59)*100))</f>
        <v>100</v>
      </c>
      <c r="E58" s="55">
        <f>IF(ISERR('S1 Numbers'!E59/'S1 Numbers'!$E59*100),"..",IF(('S1 Numbers'!E59/'S1 Numbers'!$E59*100)=0,"..",('S1 Numbers'!E59/'S1 Numbers'!$E59)*100))</f>
        <v>100</v>
      </c>
      <c r="F58" s="55">
        <f>IF(ISERR('S1 Numbers'!F59/'S1 Numbers'!$E59*100),"..",IF(('S1 Numbers'!F59/'S1 Numbers'!$E59*100)=0,"..",('S1 Numbers'!F59/'S1 Numbers'!$E59)*100))</f>
        <v>100.4146121355563</v>
      </c>
      <c r="G58" s="55">
        <f>IF(ISERR('S1 Numbers'!G59/'S1 Numbers'!$E59*100),"..",IF(('S1 Numbers'!G59/'S1 Numbers'!$E59*100)=0,"..",('S1 Numbers'!G59/'S1 Numbers'!$E59)*100))</f>
        <v>101.92468345791148</v>
      </c>
      <c r="H58" s="55">
        <f>IF(ISERR('S1 Numbers'!H59/'S1 Numbers'!$E59*100),"..",IF(('S1 Numbers'!H59/'S1 Numbers'!$E59*100)=0,"..",('S1 Numbers'!H59/'S1 Numbers'!$E59)*100))</f>
        <v>102.68641749744238</v>
      </c>
      <c r="I58" s="55">
        <f>IF(ISERR('S1 Numbers'!I59/'S1 Numbers'!$E59*100),"..",IF(('S1 Numbers'!I59/'S1 Numbers'!$E59*100)=0,"..",('S1 Numbers'!I59/'S1 Numbers'!$E59)*100))</f>
        <v>96.473891638446219</v>
      </c>
      <c r="J58" s="55">
        <f>IF(ISERR('S1 Numbers'!J59/'S1 Numbers'!$E59*100),"..",IF(('S1 Numbers'!J59/'S1 Numbers'!$E59*100)=0,"..",('S1 Numbers'!J59/'S1 Numbers'!$E59)*100))</f>
        <v>99.741880311373848</v>
      </c>
      <c r="K58" s="55">
        <f>IF(ISERR('S1 Numbers'!K59/'S1 Numbers'!$E59*100),"..",IF(('S1 Numbers'!K59/'S1 Numbers'!$E59*100)=0,"..",('S1 Numbers'!K59/'S1 Numbers'!$E59)*100))</f>
        <v>96.664364337761256</v>
      </c>
      <c r="L58" s="55">
        <f>IF(ISERR('S1 Numbers'!L59/'S1 Numbers'!$E59*100),"..",IF(('S1 Numbers'!L59/'S1 Numbers'!$E59*100)=0,"..",('S1 Numbers'!L59/'S1 Numbers'!$E59)*100))</f>
        <v>93.731933671704894</v>
      </c>
      <c r="M58" s="55">
        <f>IF(ISERR('S1 Numbers'!M59/'S1 Numbers'!$E59*100),"..",IF(('S1 Numbers'!M59/'S1 Numbers'!$E59*100)=0,"..",('S1 Numbers'!M59/'S1 Numbers'!$E59)*100))</f>
        <v>95.117539357042475</v>
      </c>
      <c r="N58" s="55">
        <f>IF(ISERR('S1 Numbers'!N59/'S1 Numbers'!$E59*100),"..",IF(('S1 Numbers'!N59/'S1 Numbers'!$E59*100)=0,"..",('S1 Numbers'!N59/'S1 Numbers'!$E59)*100))</f>
        <v>94.423367898814519</v>
      </c>
      <c r="O58" s="55">
        <f>IF(ISERR('S1 Numbers'!O59/'S1 Numbers'!$E59*100),"..",IF(('S1 Numbers'!O59/'S1 Numbers'!$E59*100)=0,"..",('S1 Numbers'!O59/'S1 Numbers'!$E59)*100))</f>
        <v>95.075974442219774</v>
      </c>
    </row>
    <row r="59" spans="1:15" s="9" customFormat="1" ht="19.5" customHeight="1">
      <c r="A59" s="337"/>
      <c r="B59" s="522" t="s">
        <v>37</v>
      </c>
      <c r="C59" s="55">
        <f>IF(ISERR('S1 Numbers'!C60/'S1 Numbers'!$C60*100),"..",IF(('S1 Numbers'!C60/'S1 Numbers'!$C60*100)=0,"..",('S1 Numbers'!C60/'S1 Numbers'!$C60)*100))</f>
        <v>100</v>
      </c>
      <c r="D59" s="55">
        <f>IF(ISERR('S1 Numbers'!D60/'S1 Numbers'!$D60*100),"..",IF(('S1 Numbers'!D60/'S1 Numbers'!$D60*100)=0,"..",('S1 Numbers'!D60/'S1 Numbers'!$D60)*100))</f>
        <v>100</v>
      </c>
      <c r="E59" s="55">
        <f>IF(ISERR('S1 Numbers'!E60/'S1 Numbers'!$E60*100),"..",IF(('S1 Numbers'!E60/'S1 Numbers'!$E60*100)=0,"..",('S1 Numbers'!E60/'S1 Numbers'!$E60)*100))</f>
        <v>100</v>
      </c>
      <c r="F59" s="55">
        <f>IF(ISERR('S1 Numbers'!F60/'S1 Numbers'!$E60*100),"..",IF(('S1 Numbers'!F60/'S1 Numbers'!$E60*100)=0,"..",('S1 Numbers'!F60/'S1 Numbers'!$E60)*100))</f>
        <v>101.10002839225905</v>
      </c>
      <c r="G59" s="55">
        <f>IF(ISERR('S1 Numbers'!G60/'S1 Numbers'!$E60*100),"..",IF(('S1 Numbers'!G60/'S1 Numbers'!$E60*100)=0,"..",('S1 Numbers'!G60/'S1 Numbers'!$E60)*100))</f>
        <v>105.41783268114604</v>
      </c>
      <c r="H59" s="55">
        <f>IF(ISERR('S1 Numbers'!H60/'S1 Numbers'!$E60*100),"..",IF(('S1 Numbers'!H60/'S1 Numbers'!$E60*100)=0,"..",('S1 Numbers'!H60/'S1 Numbers'!$E60)*100))</f>
        <v>109.58172103939093</v>
      </c>
      <c r="I59" s="55">
        <f>IF(ISERR('S1 Numbers'!I60/'S1 Numbers'!$E60*100),"..",IF(('S1 Numbers'!I60/'S1 Numbers'!$E60*100)=0,"..",('S1 Numbers'!I60/'S1 Numbers'!$E60)*100))</f>
        <v>103.75335163954192</v>
      </c>
      <c r="J59" s="55">
        <f>IF(ISERR('S1 Numbers'!J60/'S1 Numbers'!$E60*100),"..",IF(('S1 Numbers'!J60/'S1 Numbers'!$E60*100)=0,"..",('S1 Numbers'!J60/'S1 Numbers'!$E60)*100))</f>
        <v>106.92641881530372</v>
      </c>
      <c r="K59" s="55">
        <f>IF(ISERR('S1 Numbers'!K60/'S1 Numbers'!$E60*100),"..",IF(('S1 Numbers'!K60/'S1 Numbers'!$E60*100)=0,"..",('S1 Numbers'!K60/'S1 Numbers'!$E60)*100))</f>
        <v>103.14843093391146</v>
      </c>
      <c r="L59" s="55">
        <f>IF(ISERR('S1 Numbers'!L60/'S1 Numbers'!$E60*100),"..",IF(('S1 Numbers'!L60/'S1 Numbers'!$E60*100)=0,"..",('S1 Numbers'!L60/'S1 Numbers'!$E60)*100))</f>
        <v>103.04245470667324</v>
      </c>
      <c r="M59" s="55">
        <f>IF(ISERR('S1 Numbers'!M60/'S1 Numbers'!$E60*100),"..",IF(('S1 Numbers'!M60/'S1 Numbers'!$E60*100)=0,"..",('S1 Numbers'!M60/'S1 Numbers'!$E60)*100))</f>
        <v>106.14048231299577</v>
      </c>
      <c r="N59" s="55">
        <f>IF(ISERR('S1 Numbers'!N60/'S1 Numbers'!$E60*100),"..",IF(('S1 Numbers'!N60/'S1 Numbers'!$E60*100)=0,"..",('S1 Numbers'!N60/'S1 Numbers'!$E60)*100))</f>
        <v>104.067443529493</v>
      </c>
      <c r="O59" s="55">
        <f>IF(ISERR('S1 Numbers'!O60/'S1 Numbers'!$E60*100),"..",IF(('S1 Numbers'!O60/'S1 Numbers'!$E60*100)=0,"..",('S1 Numbers'!O60/'S1 Numbers'!$E60)*100))</f>
        <v>106.02469197629911</v>
      </c>
    </row>
    <row r="60" spans="1:15" s="9" customFormat="1" ht="9" customHeight="1">
      <c r="A60" s="524"/>
      <c r="B60" s="524"/>
      <c r="C60" s="525"/>
      <c r="D60" s="525"/>
      <c r="E60" s="524"/>
      <c r="F60" s="524"/>
      <c r="G60" s="524"/>
      <c r="H60" s="524"/>
      <c r="I60" s="524"/>
      <c r="J60" s="524"/>
      <c r="K60" s="524"/>
      <c r="L60" s="524"/>
      <c r="M60" s="524"/>
      <c r="N60" s="548"/>
      <c r="O60" s="690"/>
    </row>
    <row r="61" spans="1:15">
      <c r="A61" s="29">
        <v>1</v>
      </c>
      <c r="B61" s="8" t="s">
        <v>38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5">
      <c r="A62" s="29">
        <v>2</v>
      </c>
      <c r="B62" s="29" t="s">
        <v>39</v>
      </c>
      <c r="C62" s="30"/>
      <c r="D62" s="6"/>
      <c r="E62" s="6"/>
      <c r="F62" s="6"/>
      <c r="G62" s="6"/>
      <c r="H62" s="8"/>
      <c r="I62" s="8"/>
      <c r="J62" s="8"/>
      <c r="K62" s="8"/>
      <c r="L62" s="8"/>
      <c r="M62" s="8"/>
    </row>
    <row r="63" spans="1:15">
      <c r="A63" s="29">
        <v>3</v>
      </c>
      <c r="B63" s="29" t="s">
        <v>40</v>
      </c>
      <c r="C63" s="30"/>
      <c r="D63" s="6"/>
      <c r="E63" s="6"/>
      <c r="F63" s="6"/>
      <c r="G63" s="6"/>
      <c r="H63" s="8"/>
      <c r="I63" s="8"/>
      <c r="J63" s="8"/>
      <c r="K63" s="8"/>
      <c r="L63" s="8"/>
      <c r="M63" s="8"/>
    </row>
    <row r="64" spans="1:15">
      <c r="A64" s="29"/>
      <c r="B64" s="29" t="s">
        <v>391</v>
      </c>
      <c r="C64" s="30"/>
      <c r="D64" s="6"/>
      <c r="E64" s="6"/>
      <c r="F64" s="6"/>
      <c r="G64" s="6"/>
      <c r="H64" s="8"/>
      <c r="I64" s="8"/>
      <c r="J64" s="8"/>
      <c r="K64" s="8"/>
      <c r="L64" s="8"/>
      <c r="M64" s="8"/>
    </row>
    <row r="65" spans="1:15">
      <c r="A65" s="29">
        <v>4</v>
      </c>
      <c r="B65" s="29" t="s">
        <v>41</v>
      </c>
      <c r="C65" s="30"/>
      <c r="D65" s="6"/>
      <c r="E65" s="6"/>
      <c r="F65" s="6"/>
      <c r="G65" s="6"/>
      <c r="H65" s="8"/>
      <c r="I65" s="8"/>
      <c r="J65" s="8"/>
      <c r="K65" s="8"/>
      <c r="L65" s="8"/>
      <c r="M65" s="8"/>
    </row>
    <row r="66" spans="1:15">
      <c r="A66" s="29"/>
      <c r="B66" s="29" t="s">
        <v>42</v>
      </c>
      <c r="C66" s="30"/>
      <c r="D66" s="6"/>
      <c r="E66" s="6"/>
      <c r="F66" s="6"/>
      <c r="G66" s="6"/>
      <c r="H66" s="8"/>
      <c r="I66" s="8"/>
      <c r="J66" s="8"/>
      <c r="K66" s="8"/>
      <c r="L66" s="8"/>
      <c r="M66" s="8"/>
    </row>
    <row r="67" spans="1:15">
      <c r="A67" s="29">
        <v>5</v>
      </c>
      <c r="B67" s="297" t="s">
        <v>398</v>
      </c>
      <c r="C67" s="298"/>
      <c r="D67" s="298"/>
      <c r="E67" s="298"/>
      <c r="F67" s="298"/>
      <c r="G67" s="298"/>
      <c r="H67" s="297"/>
      <c r="I67" s="297"/>
      <c r="J67" s="297"/>
      <c r="K67" s="297"/>
      <c r="L67" s="8"/>
      <c r="M67" s="8"/>
    </row>
    <row r="68" spans="1:15" s="2" customFormat="1">
      <c r="A68" s="29">
        <v>6</v>
      </c>
      <c r="B68" s="8" t="s">
        <v>43</v>
      </c>
      <c r="C68" s="8"/>
      <c r="D68" s="30"/>
      <c r="E68" s="30"/>
      <c r="F68" s="30"/>
      <c r="G68" s="30"/>
      <c r="H68" s="8"/>
      <c r="I68" s="8"/>
      <c r="J68" s="8"/>
      <c r="K68" s="8"/>
      <c r="L68" s="8"/>
      <c r="M68" s="8"/>
    </row>
    <row r="69" spans="1:15" s="2" customFormat="1">
      <c r="A69" s="29"/>
      <c r="B69" s="8" t="s">
        <v>44</v>
      </c>
      <c r="C69" s="8"/>
      <c r="D69" s="30"/>
      <c r="E69" s="30"/>
      <c r="F69" s="30"/>
      <c r="G69" s="30"/>
      <c r="H69" s="8"/>
      <c r="I69" s="8"/>
      <c r="J69" s="8"/>
      <c r="K69" s="8"/>
      <c r="L69" s="8"/>
      <c r="M69" s="8"/>
    </row>
    <row r="70" spans="1:15" s="2" customFormat="1">
      <c r="A70" s="29"/>
      <c r="B70" s="8" t="s">
        <v>392</v>
      </c>
      <c r="C70" s="8"/>
      <c r="D70" s="3"/>
      <c r="E70" s="3"/>
      <c r="F70" s="3"/>
      <c r="G70" s="3"/>
    </row>
    <row r="71" spans="1:15" s="2" customFormat="1">
      <c r="A71" s="29">
        <v>7</v>
      </c>
      <c r="B71" s="8" t="s">
        <v>45</v>
      </c>
      <c r="C71" s="8"/>
      <c r="D71" s="3"/>
      <c r="E71" s="3"/>
      <c r="F71" s="3"/>
      <c r="G71" s="3"/>
    </row>
    <row r="72" spans="1:15" s="2" customFormat="1">
      <c r="A72" s="29"/>
      <c r="B72" s="8" t="s">
        <v>46</v>
      </c>
      <c r="C72" s="8"/>
      <c r="D72" s="3"/>
      <c r="E72" s="3"/>
      <c r="F72" s="3"/>
      <c r="G72" s="3"/>
    </row>
    <row r="73" spans="1:15" s="2" customFormat="1">
      <c r="A73" s="317">
        <v>8</v>
      </c>
      <c r="B73" s="318" t="s">
        <v>427</v>
      </c>
      <c r="C73" s="319"/>
      <c r="D73" s="320"/>
      <c r="E73" s="320"/>
      <c r="F73" s="320"/>
      <c r="G73" s="320"/>
      <c r="H73" s="321"/>
      <c r="I73" s="321"/>
      <c r="J73" s="321"/>
      <c r="K73" s="321"/>
      <c r="L73" s="321"/>
      <c r="M73" s="321"/>
      <c r="N73" s="321"/>
      <c r="O73" s="322"/>
    </row>
    <row r="74" spans="1:15" s="2" customFormat="1">
      <c r="A74" s="317"/>
      <c r="B74" s="318" t="s">
        <v>428</v>
      </c>
      <c r="C74" s="319"/>
      <c r="D74" s="320"/>
      <c r="E74" s="320"/>
      <c r="F74" s="320"/>
      <c r="G74" s="320"/>
      <c r="H74" s="321"/>
      <c r="I74" s="321"/>
      <c r="J74" s="321"/>
      <c r="K74" s="321"/>
      <c r="L74" s="321"/>
      <c r="M74" s="321"/>
      <c r="N74" s="321"/>
      <c r="O74" s="322"/>
    </row>
    <row r="75" spans="1:15">
      <c r="A75" s="343" t="s">
        <v>433</v>
      </c>
      <c r="B75" s="321"/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23"/>
      <c r="O75" s="323"/>
    </row>
    <row r="76" spans="1:15">
      <c r="A76" s="8" t="s">
        <v>395</v>
      </c>
    </row>
    <row r="77" spans="1:15">
      <c r="B77" s="8"/>
    </row>
  </sheetData>
  <phoneticPr fontId="3" type="noConversion"/>
  <pageMargins left="0.74803149606299213" right="0.78740157480314965" top="0.70866141732283472" bottom="0.55118110236220474" header="0.51181102362204722" footer="0.51181102362204722"/>
  <pageSetup paperSize="9" scale="5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107"/>
  <sheetViews>
    <sheetView zoomScale="70" zoomScaleNormal="70" workbookViewId="0">
      <pane ySplit="4" topLeftCell="A5" activePane="bottomLeft" state="frozenSplit"/>
      <selection pane="bottomLeft" activeCell="A5" sqref="A5"/>
    </sheetView>
  </sheetViews>
  <sheetFormatPr defaultColWidth="11.42578125" defaultRowHeight="15"/>
  <cols>
    <col min="1" max="1" width="1.85546875" style="34" customWidth="1"/>
    <col min="2" max="3" width="3.28515625" style="34" customWidth="1"/>
    <col min="4" max="4" width="50.5703125" style="34" customWidth="1"/>
    <col min="5" max="8" width="10.7109375" style="34" hidden="1" customWidth="1"/>
    <col min="9" max="9" width="12.5703125" style="34" hidden="1" customWidth="1"/>
    <col min="10" max="10" width="11.5703125" style="34" customWidth="1"/>
    <col min="11" max="12" width="11.7109375" style="34" customWidth="1"/>
    <col min="13" max="13" width="12" style="34" customWidth="1"/>
    <col min="14" max="14" width="11.85546875" style="34" customWidth="1"/>
    <col min="15" max="15" width="12.7109375" style="34" customWidth="1"/>
    <col min="16" max="16" width="11.140625" style="34" customWidth="1"/>
    <col min="17" max="17" width="11.5703125" style="34" customWidth="1"/>
    <col min="18" max="18" width="11" style="34" customWidth="1"/>
    <col min="19" max="19" width="11" style="353" customWidth="1"/>
    <col min="20" max="16384" width="11.42578125" style="34"/>
  </cols>
  <sheetData>
    <row r="1" spans="1:20" ht="6" customHeight="1"/>
    <row r="2" spans="1:20" s="36" customFormat="1" ht="21.75">
      <c r="B2" s="37" t="s">
        <v>438</v>
      </c>
      <c r="Q2" s="549" t="s">
        <v>463</v>
      </c>
      <c r="S2" s="606"/>
    </row>
    <row r="3" spans="1:20" ht="6" customHeight="1">
      <c r="B3" s="35"/>
      <c r="C3" s="35"/>
      <c r="D3" s="35"/>
      <c r="E3" s="35"/>
      <c r="F3" s="35"/>
      <c r="G3" s="35"/>
    </row>
    <row r="4" spans="1:20" ht="18">
      <c r="B4" s="550"/>
      <c r="C4" s="550"/>
      <c r="D4" s="550"/>
      <c r="E4" s="550">
        <v>1999</v>
      </c>
      <c r="F4" s="550">
        <v>2000</v>
      </c>
      <c r="G4" s="550">
        <v>2001</v>
      </c>
      <c r="H4" s="550">
        <v>2002</v>
      </c>
      <c r="I4" s="550">
        <v>2003</v>
      </c>
      <c r="J4" s="550">
        <v>2004</v>
      </c>
      <c r="K4" s="550">
        <v>2005</v>
      </c>
      <c r="L4" s="550">
        <v>2006</v>
      </c>
      <c r="M4" s="550">
        <v>2007</v>
      </c>
      <c r="N4" s="550">
        <v>2008</v>
      </c>
      <c r="O4" s="550">
        <v>2009</v>
      </c>
      <c r="P4" s="550">
        <v>2010</v>
      </c>
      <c r="Q4" s="550">
        <v>2011</v>
      </c>
      <c r="R4" s="551">
        <v>2012</v>
      </c>
      <c r="S4" s="552">
        <v>2013</v>
      </c>
      <c r="T4" s="551">
        <v>2014</v>
      </c>
    </row>
    <row r="5" spans="1:20" ht="15" customHeight="1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553"/>
      <c r="T5" s="553" t="s">
        <v>400</v>
      </c>
    </row>
    <row r="6" spans="1:20" ht="21.75">
      <c r="A6" s="365"/>
      <c r="B6" s="554" t="s">
        <v>652</v>
      </c>
      <c r="C6" s="555"/>
      <c r="D6" s="555"/>
      <c r="E6" s="555"/>
      <c r="F6" s="555"/>
      <c r="G6" s="555"/>
      <c r="H6" s="556"/>
      <c r="I6" s="556"/>
      <c r="J6" s="556"/>
      <c r="K6" s="556"/>
      <c r="L6" s="556"/>
      <c r="M6" s="556"/>
      <c r="N6" s="556"/>
      <c r="O6" s="556"/>
      <c r="P6" s="556"/>
      <c r="Q6" s="556"/>
      <c r="R6" s="557"/>
      <c r="S6" s="558"/>
    </row>
    <row r="7" spans="1:20" ht="18.75">
      <c r="A7" s="365"/>
      <c r="B7" s="559"/>
      <c r="C7" s="560"/>
      <c r="D7" s="561" t="s">
        <v>52</v>
      </c>
      <c r="E7" s="562">
        <v>19.5</v>
      </c>
      <c r="F7" s="562">
        <v>18.100000000000001</v>
      </c>
      <c r="G7" s="562">
        <v>18.2</v>
      </c>
      <c r="H7" s="562">
        <v>17</v>
      </c>
      <c r="I7" s="562">
        <v>15.6</v>
      </c>
      <c r="J7" s="562">
        <v>15.3</v>
      </c>
      <c r="K7" s="562">
        <v>13.5</v>
      </c>
      <c r="L7" s="562">
        <v>13.6</v>
      </c>
      <c r="M7" s="563">
        <v>22</v>
      </c>
      <c r="N7" s="562">
        <v>22.2</v>
      </c>
      <c r="O7" s="562">
        <v>21.8</v>
      </c>
      <c r="P7" s="562">
        <v>22</v>
      </c>
      <c r="Q7" s="564">
        <v>22.1</v>
      </c>
      <c r="R7" s="563">
        <v>26</v>
      </c>
      <c r="S7" s="565">
        <v>23.3</v>
      </c>
      <c r="T7" s="565">
        <v>25</v>
      </c>
    </row>
    <row r="8" spans="1:20" ht="18.75">
      <c r="A8" s="365"/>
      <c r="B8" s="559"/>
      <c r="C8" s="560"/>
      <c r="D8" s="561" t="s">
        <v>439</v>
      </c>
      <c r="E8" s="562">
        <v>49.4</v>
      </c>
      <c r="F8" s="562">
        <v>50.7</v>
      </c>
      <c r="G8" s="562">
        <v>50.8</v>
      </c>
      <c r="H8" s="562">
        <v>51.8</v>
      </c>
      <c r="I8" s="562">
        <v>53.7</v>
      </c>
      <c r="J8" s="562">
        <v>52.7</v>
      </c>
      <c r="K8" s="562">
        <v>54.6</v>
      </c>
      <c r="L8" s="562">
        <v>54.5</v>
      </c>
      <c r="M8" s="563">
        <v>50.2</v>
      </c>
      <c r="N8" s="562">
        <v>49.8</v>
      </c>
      <c r="O8" s="562">
        <v>51</v>
      </c>
      <c r="P8" s="562">
        <v>51.1</v>
      </c>
      <c r="Q8" s="564">
        <v>49.9</v>
      </c>
      <c r="R8" s="563">
        <v>48.3</v>
      </c>
      <c r="S8" s="565">
        <v>50</v>
      </c>
      <c r="T8" s="565">
        <v>48.1</v>
      </c>
    </row>
    <row r="9" spans="1:20" ht="18.75">
      <c r="A9" s="365"/>
      <c r="B9" s="559"/>
      <c r="C9" s="560"/>
      <c r="D9" s="561" t="s">
        <v>440</v>
      </c>
      <c r="E9" s="562">
        <v>16</v>
      </c>
      <c r="F9" s="562">
        <v>16.600000000000001</v>
      </c>
      <c r="G9" s="562">
        <v>16.100000000000001</v>
      </c>
      <c r="H9" s="562">
        <v>15.5</v>
      </c>
      <c r="I9" s="562">
        <v>16.2</v>
      </c>
      <c r="J9" s="562">
        <v>15.8</v>
      </c>
      <c r="K9" s="562">
        <v>15.4</v>
      </c>
      <c r="L9" s="562">
        <v>15.4</v>
      </c>
      <c r="M9" s="563">
        <v>13.4</v>
      </c>
      <c r="N9" s="562">
        <v>13.8</v>
      </c>
      <c r="O9" s="562">
        <v>13.3</v>
      </c>
      <c r="P9" s="562">
        <v>14.3</v>
      </c>
      <c r="Q9" s="564">
        <v>13.1</v>
      </c>
      <c r="R9" s="563">
        <v>12.7</v>
      </c>
      <c r="S9" s="565">
        <v>13.6</v>
      </c>
      <c r="T9" s="565">
        <v>13</v>
      </c>
    </row>
    <row r="10" spans="1:20" ht="18.75">
      <c r="A10" s="365"/>
      <c r="B10" s="559"/>
      <c r="C10" s="560"/>
      <c r="D10" s="561" t="s">
        <v>56</v>
      </c>
      <c r="E10" s="562">
        <v>1.1000000000000001</v>
      </c>
      <c r="F10" s="562">
        <v>0.9</v>
      </c>
      <c r="G10" s="562">
        <v>0.7</v>
      </c>
      <c r="H10" s="562">
        <v>0.8</v>
      </c>
      <c r="I10" s="562">
        <v>0.8</v>
      </c>
      <c r="J10" s="562">
        <v>0.8</v>
      </c>
      <c r="K10" s="562">
        <v>0.9</v>
      </c>
      <c r="L10" s="562">
        <v>0.9</v>
      </c>
      <c r="M10" s="563">
        <v>0.7</v>
      </c>
      <c r="N10" s="562">
        <v>1</v>
      </c>
      <c r="O10" s="562">
        <v>0.9</v>
      </c>
      <c r="P10" s="562">
        <v>0.8</v>
      </c>
      <c r="Q10" s="564">
        <v>1.3</v>
      </c>
      <c r="R10" s="563">
        <v>1.2</v>
      </c>
      <c r="S10" s="565">
        <v>1</v>
      </c>
      <c r="T10" s="565">
        <v>1.4</v>
      </c>
    </row>
    <row r="11" spans="1:20" ht="18.75">
      <c r="A11" s="365"/>
      <c r="B11" s="559"/>
      <c r="C11" s="560"/>
      <c r="D11" s="561" t="s">
        <v>57</v>
      </c>
      <c r="E11" s="562">
        <v>9.4</v>
      </c>
      <c r="F11" s="562">
        <v>9.8000000000000007</v>
      </c>
      <c r="G11" s="562">
        <v>9.9</v>
      </c>
      <c r="H11" s="562">
        <v>10.6</v>
      </c>
      <c r="I11" s="562">
        <v>9.6999999999999993</v>
      </c>
      <c r="J11" s="562">
        <v>10.3</v>
      </c>
      <c r="K11" s="562">
        <v>10.4</v>
      </c>
      <c r="L11" s="562">
        <v>11.2</v>
      </c>
      <c r="M11" s="563">
        <v>9.3000000000000007</v>
      </c>
      <c r="N11" s="562">
        <v>9.1</v>
      </c>
      <c r="O11" s="562">
        <v>8.6</v>
      </c>
      <c r="P11" s="562">
        <v>8.6999999999999993</v>
      </c>
      <c r="Q11" s="564">
        <v>9.1</v>
      </c>
      <c r="R11" s="563">
        <v>8.1</v>
      </c>
      <c r="S11" s="565">
        <v>8.5</v>
      </c>
      <c r="T11" s="565">
        <v>8.6</v>
      </c>
    </row>
    <row r="12" spans="1:20" ht="18.75">
      <c r="A12" s="367"/>
      <c r="B12" s="566"/>
      <c r="C12" s="567"/>
      <c r="D12" s="561" t="s">
        <v>441</v>
      </c>
      <c r="E12" s="562">
        <v>1.9</v>
      </c>
      <c r="F12" s="562">
        <v>1.6</v>
      </c>
      <c r="G12" s="562">
        <v>1.9</v>
      </c>
      <c r="H12" s="562">
        <v>1.8</v>
      </c>
      <c r="I12" s="562">
        <v>1.6</v>
      </c>
      <c r="J12" s="562">
        <v>1.9</v>
      </c>
      <c r="K12" s="562">
        <v>2.2000000000000002</v>
      </c>
      <c r="L12" s="562">
        <v>1.6</v>
      </c>
      <c r="M12" s="563">
        <v>1.5</v>
      </c>
      <c r="N12" s="562">
        <v>1.5</v>
      </c>
      <c r="O12" s="562">
        <v>1.4</v>
      </c>
      <c r="P12" s="562">
        <v>0.8</v>
      </c>
      <c r="Q12" s="564">
        <v>1.3</v>
      </c>
      <c r="R12" s="563">
        <v>1.3</v>
      </c>
      <c r="S12" s="565">
        <v>1.6</v>
      </c>
      <c r="T12" s="565">
        <v>1.2</v>
      </c>
    </row>
    <row r="13" spans="1:20" ht="15" customHeight="1">
      <c r="A13" s="367"/>
      <c r="B13" s="568"/>
      <c r="C13" s="568"/>
      <c r="D13" s="561" t="s">
        <v>102</v>
      </c>
      <c r="E13" s="562">
        <v>1.4</v>
      </c>
      <c r="F13" s="562">
        <v>1.2</v>
      </c>
      <c r="G13" s="562">
        <v>1.4</v>
      </c>
      <c r="H13" s="562">
        <v>1.1000000000000001</v>
      </c>
      <c r="I13" s="562">
        <v>1.3</v>
      </c>
      <c r="J13" s="562">
        <v>1.7</v>
      </c>
      <c r="K13" s="562">
        <v>1.9</v>
      </c>
      <c r="L13" s="562">
        <v>1.8</v>
      </c>
      <c r="M13" s="563">
        <v>1.7</v>
      </c>
      <c r="N13" s="562">
        <v>1.6</v>
      </c>
      <c r="O13" s="562">
        <v>1.9</v>
      </c>
      <c r="P13" s="562">
        <v>1.4</v>
      </c>
      <c r="Q13" s="564">
        <v>2</v>
      </c>
      <c r="R13" s="563">
        <v>1.8</v>
      </c>
      <c r="S13" s="565">
        <v>1.7</v>
      </c>
      <c r="T13" s="565">
        <v>2.1</v>
      </c>
    </row>
    <row r="14" spans="1:20" ht="15.75" customHeight="1">
      <c r="A14" s="367"/>
      <c r="B14" s="568"/>
      <c r="C14" s="568"/>
      <c r="D14" s="561" t="s">
        <v>59</v>
      </c>
      <c r="E14" s="562">
        <v>1.3</v>
      </c>
      <c r="F14" s="562">
        <v>1.1000000000000001</v>
      </c>
      <c r="G14" s="562">
        <v>1.1000000000000001</v>
      </c>
      <c r="H14" s="562">
        <v>1.3</v>
      </c>
      <c r="I14" s="562">
        <v>1.1000000000000001</v>
      </c>
      <c r="J14" s="562">
        <v>1.4</v>
      </c>
      <c r="K14" s="562">
        <v>1.2</v>
      </c>
      <c r="L14" s="562">
        <v>0.9</v>
      </c>
      <c r="M14" s="563">
        <v>1.1000000000000001</v>
      </c>
      <c r="N14" s="562">
        <v>1</v>
      </c>
      <c r="O14" s="562">
        <v>1</v>
      </c>
      <c r="P14" s="562">
        <v>1</v>
      </c>
      <c r="Q14" s="564">
        <v>1.2</v>
      </c>
      <c r="R14" s="563">
        <v>0.7</v>
      </c>
      <c r="S14" s="565">
        <v>0.3</v>
      </c>
      <c r="T14" s="565">
        <v>0.6</v>
      </c>
    </row>
    <row r="15" spans="1:20" ht="4.5" customHeight="1">
      <c r="A15" s="367"/>
      <c r="B15" s="568"/>
      <c r="C15" s="568"/>
      <c r="D15" s="561"/>
      <c r="E15" s="555"/>
      <c r="F15" s="555"/>
      <c r="G15" s="555"/>
      <c r="H15" s="569"/>
      <c r="I15" s="562"/>
      <c r="J15" s="562"/>
      <c r="K15" s="562"/>
      <c r="L15" s="562"/>
      <c r="M15" s="563"/>
      <c r="N15" s="562"/>
      <c r="O15" s="562"/>
      <c r="P15" s="562"/>
      <c r="Q15" s="564"/>
      <c r="R15" s="563"/>
      <c r="S15" s="565"/>
      <c r="T15" s="565"/>
    </row>
    <row r="16" spans="1:20" ht="18.75">
      <c r="A16" s="367"/>
      <c r="B16" s="568"/>
      <c r="C16" s="568"/>
      <c r="D16" s="570" t="s">
        <v>51</v>
      </c>
      <c r="E16" s="569">
        <v>28389</v>
      </c>
      <c r="F16" s="569">
        <v>28557</v>
      </c>
      <c r="G16" s="569">
        <v>28524</v>
      </c>
      <c r="H16" s="569">
        <v>26944</v>
      </c>
      <c r="I16" s="569">
        <v>26790</v>
      </c>
      <c r="J16" s="569">
        <v>27122</v>
      </c>
      <c r="K16" s="569">
        <v>24658</v>
      </c>
      <c r="L16" s="569">
        <v>25215</v>
      </c>
      <c r="M16" s="571">
        <v>20519</v>
      </c>
      <c r="N16" s="569">
        <v>20449</v>
      </c>
      <c r="O16" s="569">
        <v>18679</v>
      </c>
      <c r="P16" s="569">
        <v>16296</v>
      </c>
      <c r="Q16" s="572">
        <v>17593</v>
      </c>
      <c r="R16" s="571">
        <v>19739</v>
      </c>
      <c r="S16" s="573">
        <v>20183</v>
      </c>
      <c r="T16" s="573">
        <v>19930</v>
      </c>
    </row>
    <row r="17" spans="1:22" ht="4.5" customHeight="1">
      <c r="A17" s="365"/>
      <c r="B17" s="574"/>
      <c r="C17" s="574"/>
      <c r="D17" s="559"/>
      <c r="E17" s="559"/>
      <c r="F17" s="559"/>
      <c r="G17" s="559"/>
      <c r="H17" s="555"/>
      <c r="I17" s="575"/>
      <c r="J17" s="575"/>
      <c r="K17" s="555"/>
      <c r="L17" s="575"/>
      <c r="M17" s="555"/>
      <c r="N17" s="575"/>
      <c r="O17" s="575"/>
      <c r="P17" s="575"/>
      <c r="Q17" s="555"/>
      <c r="R17" s="555"/>
      <c r="S17" s="555"/>
      <c r="T17" s="555"/>
    </row>
    <row r="18" spans="1:22" ht="18.75">
      <c r="A18" s="365"/>
      <c r="B18" s="554" t="s">
        <v>48</v>
      </c>
      <c r="C18" s="574"/>
      <c r="D18" s="559"/>
      <c r="E18" s="559"/>
      <c r="F18" s="559"/>
      <c r="G18" s="559"/>
      <c r="H18" s="555"/>
      <c r="I18" s="575"/>
      <c r="J18" s="575"/>
      <c r="K18" s="555"/>
      <c r="L18" s="575"/>
      <c r="M18" s="555"/>
      <c r="N18" s="575"/>
      <c r="O18" s="575"/>
      <c r="P18" s="575"/>
      <c r="Q18" s="575"/>
      <c r="R18" s="555"/>
      <c r="S18" s="555"/>
      <c r="T18" s="555"/>
    </row>
    <row r="19" spans="1:22" ht="18">
      <c r="A19" s="365"/>
      <c r="B19" s="574"/>
      <c r="C19" s="559" t="s">
        <v>49</v>
      </c>
      <c r="D19" s="559"/>
      <c r="E19" s="559">
        <v>7.3</v>
      </c>
      <c r="F19" s="559">
        <v>7.9</v>
      </c>
      <c r="G19" s="559">
        <v>8.6999999999999993</v>
      </c>
      <c r="H19" s="576">
        <v>9.3000000000000007</v>
      </c>
      <c r="I19" s="577">
        <v>9.1</v>
      </c>
      <c r="J19" s="577">
        <v>9</v>
      </c>
      <c r="K19" s="576">
        <v>11.1</v>
      </c>
      <c r="L19" s="577">
        <v>10.7</v>
      </c>
      <c r="M19" s="576">
        <v>11.2</v>
      </c>
      <c r="N19" s="577">
        <v>10</v>
      </c>
      <c r="O19" s="577">
        <v>11.4</v>
      </c>
      <c r="P19" s="577">
        <v>10.1</v>
      </c>
      <c r="Q19" s="577">
        <v>10.6</v>
      </c>
      <c r="R19" s="578">
        <v>13.2</v>
      </c>
      <c r="S19" s="559">
        <v>13.3</v>
      </c>
      <c r="T19" s="559">
        <v>13.1</v>
      </c>
    </row>
    <row r="20" spans="1:22" ht="18">
      <c r="A20" s="365"/>
      <c r="B20" s="574"/>
      <c r="C20" s="559" t="s">
        <v>50</v>
      </c>
      <c r="D20" s="559"/>
      <c r="E20" s="559">
        <v>92.7</v>
      </c>
      <c r="F20" s="559">
        <v>92.1</v>
      </c>
      <c r="G20" s="559">
        <v>91.3</v>
      </c>
      <c r="H20" s="576">
        <v>90.7</v>
      </c>
      <c r="I20" s="577">
        <v>90.9</v>
      </c>
      <c r="J20" s="577">
        <v>91</v>
      </c>
      <c r="K20" s="576">
        <v>88.9</v>
      </c>
      <c r="L20" s="577">
        <v>89.3</v>
      </c>
      <c r="M20" s="576">
        <v>88.8</v>
      </c>
      <c r="N20" s="577">
        <v>90</v>
      </c>
      <c r="O20" s="577">
        <v>88.6</v>
      </c>
      <c r="P20" s="577">
        <v>89.9</v>
      </c>
      <c r="Q20" s="577">
        <v>89.4</v>
      </c>
      <c r="R20" s="578">
        <v>86.8</v>
      </c>
      <c r="S20" s="559">
        <v>86.7</v>
      </c>
      <c r="T20" s="559">
        <v>86.9</v>
      </c>
    </row>
    <row r="21" spans="1:22" ht="5.25" customHeight="1">
      <c r="A21" s="365"/>
      <c r="B21" s="559"/>
      <c r="C21" s="559"/>
      <c r="D21" s="555"/>
      <c r="E21" s="555"/>
      <c r="F21" s="555"/>
      <c r="G21" s="555"/>
      <c r="H21" s="579"/>
      <c r="I21" s="579"/>
      <c r="J21" s="579"/>
      <c r="K21" s="579"/>
      <c r="L21" s="579"/>
      <c r="M21" s="579"/>
      <c r="N21" s="579"/>
      <c r="O21" s="579"/>
      <c r="P21" s="579"/>
      <c r="Q21" s="579"/>
      <c r="R21" s="578"/>
      <c r="S21" s="559"/>
      <c r="T21" s="559"/>
    </row>
    <row r="22" spans="1:22" ht="18.75">
      <c r="A22" s="365"/>
      <c r="B22" s="559"/>
      <c r="C22" s="560" t="s">
        <v>51</v>
      </c>
      <c r="D22" s="555"/>
      <c r="E22" s="580">
        <v>6534</v>
      </c>
      <c r="F22" s="580">
        <v>6818</v>
      </c>
      <c r="G22" s="580">
        <v>6922</v>
      </c>
      <c r="H22" s="556">
        <v>6597</v>
      </c>
      <c r="I22" s="556">
        <v>6681</v>
      </c>
      <c r="J22" s="556">
        <v>7058</v>
      </c>
      <c r="K22" s="556">
        <v>6841</v>
      </c>
      <c r="L22" s="556">
        <v>6845</v>
      </c>
      <c r="M22" s="556">
        <v>5888</v>
      </c>
      <c r="N22" s="556">
        <v>6092</v>
      </c>
      <c r="O22" s="556">
        <v>6103</v>
      </c>
      <c r="P22" s="556">
        <v>5862</v>
      </c>
      <c r="Q22" s="556">
        <v>6189</v>
      </c>
      <c r="R22" s="557">
        <v>4734</v>
      </c>
      <c r="S22" s="558">
        <v>4848</v>
      </c>
      <c r="T22" s="558">
        <v>4810</v>
      </c>
    </row>
    <row r="23" spans="1:22" ht="5.25" customHeight="1">
      <c r="A23" s="365"/>
      <c r="B23" s="559"/>
      <c r="C23" s="559"/>
      <c r="D23" s="559"/>
      <c r="E23" s="559"/>
      <c r="F23" s="559"/>
      <c r="G23" s="55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8"/>
      <c r="S23" s="559"/>
      <c r="T23" s="559"/>
    </row>
    <row r="24" spans="1:22" ht="21">
      <c r="A24" s="365"/>
      <c r="B24" s="554" t="s">
        <v>653</v>
      </c>
      <c r="C24" s="554"/>
      <c r="D24" s="559"/>
      <c r="E24" s="559"/>
      <c r="F24" s="559"/>
      <c r="G24" s="559"/>
      <c r="H24" s="579"/>
      <c r="I24" s="579"/>
      <c r="J24" s="579"/>
      <c r="K24" s="579"/>
      <c r="L24" s="579"/>
      <c r="M24" s="579"/>
      <c r="N24" s="579"/>
      <c r="O24" s="579"/>
      <c r="P24" s="579"/>
      <c r="Q24" s="579"/>
      <c r="R24" s="578"/>
      <c r="S24" s="559"/>
      <c r="T24" s="559"/>
    </row>
    <row r="25" spans="1:22" ht="18">
      <c r="A25" s="365"/>
      <c r="B25" s="559"/>
      <c r="C25" s="559" t="s">
        <v>52</v>
      </c>
      <c r="D25" s="555"/>
      <c r="E25" s="565">
        <v>13.673999999999999</v>
      </c>
      <c r="F25" s="565">
        <v>13.657999999999999</v>
      </c>
      <c r="G25" s="565">
        <v>13.103</v>
      </c>
      <c r="H25" s="565">
        <v>13.15</v>
      </c>
      <c r="I25" s="581">
        <v>12.646000000000001</v>
      </c>
      <c r="J25" s="581">
        <v>12.651</v>
      </c>
      <c r="K25" s="581">
        <v>12.734999999999999</v>
      </c>
      <c r="L25" s="581">
        <v>13.83</v>
      </c>
      <c r="M25" s="581">
        <v>11.856999999999999</v>
      </c>
      <c r="N25" s="581">
        <v>12.504</v>
      </c>
      <c r="O25" s="581">
        <v>12.321999999999999</v>
      </c>
      <c r="P25" s="581">
        <v>13.4</v>
      </c>
      <c r="Q25" s="581">
        <v>12.907</v>
      </c>
      <c r="R25" s="582">
        <v>13.603</v>
      </c>
      <c r="S25" s="583">
        <v>12.875</v>
      </c>
      <c r="T25" s="583">
        <v>12.94</v>
      </c>
    </row>
    <row r="26" spans="1:22" ht="18">
      <c r="A26" s="365"/>
      <c r="B26" s="559"/>
      <c r="C26" s="559" t="s">
        <v>53</v>
      </c>
      <c r="D26" s="555"/>
      <c r="E26" s="584">
        <f>E27+E28</f>
        <v>66.417000000000002</v>
      </c>
      <c r="F26" s="584">
        <f>F27+F28</f>
        <v>67.016999999999996</v>
      </c>
      <c r="G26" s="584">
        <f>G27+G28</f>
        <v>68.375</v>
      </c>
      <c r="H26" s="584">
        <f>H27+H28</f>
        <v>67.650999999999996</v>
      </c>
      <c r="I26" s="581">
        <v>68.5</v>
      </c>
      <c r="J26" s="581">
        <v>67</v>
      </c>
      <c r="K26" s="581">
        <v>67.400000000000006</v>
      </c>
      <c r="L26" s="581">
        <v>66.8</v>
      </c>
      <c r="M26" s="581">
        <v>68</v>
      </c>
      <c r="N26" s="581">
        <v>66</v>
      </c>
      <c r="O26" s="581">
        <v>67</v>
      </c>
      <c r="P26" s="581">
        <v>67.3</v>
      </c>
      <c r="Q26" s="581">
        <v>66.600999999999999</v>
      </c>
      <c r="R26" s="578">
        <f>R27+R28</f>
        <v>67.343000000000004</v>
      </c>
      <c r="S26" s="585">
        <f>S27+S28</f>
        <v>66.182000000000002</v>
      </c>
      <c r="T26" s="585">
        <v>67.66</v>
      </c>
      <c r="V26" s="356"/>
    </row>
    <row r="27" spans="1:22" ht="18">
      <c r="A27" s="365"/>
      <c r="B27" s="559"/>
      <c r="C27" s="555"/>
      <c r="D27" s="559" t="s">
        <v>54</v>
      </c>
      <c r="E27" s="565">
        <v>54.597999999999999</v>
      </c>
      <c r="F27" s="565">
        <v>56.518999999999998</v>
      </c>
      <c r="G27" s="565">
        <v>57.93</v>
      </c>
      <c r="H27" s="565">
        <v>56.622</v>
      </c>
      <c r="I27" s="581">
        <v>59.819000000000003</v>
      </c>
      <c r="J27" s="581">
        <v>58.893999999999998</v>
      </c>
      <c r="K27" s="581">
        <v>59.844000000000001</v>
      </c>
      <c r="L27" s="581">
        <v>59.783000000000001</v>
      </c>
      <c r="M27" s="581">
        <v>61.323999999999998</v>
      </c>
      <c r="N27" s="581">
        <v>59.890999999999998</v>
      </c>
      <c r="O27" s="581">
        <v>60.655000000000001</v>
      </c>
      <c r="P27" s="581">
        <v>61</v>
      </c>
      <c r="Q27" s="581">
        <v>59.095999999999997</v>
      </c>
      <c r="R27" s="582">
        <v>61.362000000000002</v>
      </c>
      <c r="S27" s="583">
        <v>60.603999999999999</v>
      </c>
      <c r="T27" s="583">
        <v>61.63</v>
      </c>
      <c r="V27" s="356"/>
    </row>
    <row r="28" spans="1:22" ht="18">
      <c r="A28" s="365"/>
      <c r="B28" s="559"/>
      <c r="C28" s="586"/>
      <c r="D28" s="555" t="s">
        <v>55</v>
      </c>
      <c r="E28" s="565">
        <v>11.819000000000001</v>
      </c>
      <c r="F28" s="565">
        <v>10.497999999999999</v>
      </c>
      <c r="G28" s="565">
        <v>10.445</v>
      </c>
      <c r="H28" s="565">
        <v>11.029</v>
      </c>
      <c r="I28" s="581">
        <v>8.6859999999999999</v>
      </c>
      <c r="J28" s="581">
        <v>8.0760000000000005</v>
      </c>
      <c r="K28" s="581">
        <v>7.5380000000000003</v>
      </c>
      <c r="L28" s="581">
        <v>7.0110000000000001</v>
      </c>
      <c r="M28" s="581">
        <v>6.6509999999999998</v>
      </c>
      <c r="N28" s="581">
        <v>6.1420000000000003</v>
      </c>
      <c r="O28" s="581">
        <v>6.3849999999999998</v>
      </c>
      <c r="P28" s="581">
        <v>6.3</v>
      </c>
      <c r="Q28" s="581">
        <v>7.5049999999999999</v>
      </c>
      <c r="R28" s="582">
        <v>5.9809999999999999</v>
      </c>
      <c r="S28" s="583">
        <v>5.5780000000000003</v>
      </c>
      <c r="T28" s="583">
        <v>6.03</v>
      </c>
      <c r="U28" s="357"/>
      <c r="V28" s="358"/>
    </row>
    <row r="29" spans="1:22" ht="18">
      <c r="A29" s="365"/>
      <c r="B29" s="559"/>
      <c r="C29" s="586" t="s">
        <v>56</v>
      </c>
      <c r="D29" s="555"/>
      <c r="E29" s="565">
        <v>1.7370000000000001</v>
      </c>
      <c r="F29" s="565">
        <v>1.718</v>
      </c>
      <c r="G29" s="565">
        <v>1.716</v>
      </c>
      <c r="H29" s="565">
        <v>1.5669999999999999</v>
      </c>
      <c r="I29" s="581">
        <v>1.7749999999999999</v>
      </c>
      <c r="J29" s="581">
        <v>1.8660000000000001</v>
      </c>
      <c r="K29" s="581">
        <v>1.6479999999999999</v>
      </c>
      <c r="L29" s="581">
        <v>2.0310000000000001</v>
      </c>
      <c r="M29" s="581">
        <v>1.6579999999999999</v>
      </c>
      <c r="N29" s="581">
        <v>2.3319999999999999</v>
      </c>
      <c r="O29" s="581">
        <v>2.383</v>
      </c>
      <c r="P29" s="581">
        <v>2.2999999999999998</v>
      </c>
      <c r="Q29" s="581">
        <v>1.9530000000000001</v>
      </c>
      <c r="R29" s="582">
        <v>2.0430000000000001</v>
      </c>
      <c r="S29" s="583">
        <v>2.5230000000000001</v>
      </c>
      <c r="T29" s="583">
        <v>2.59</v>
      </c>
      <c r="V29" s="359"/>
    </row>
    <row r="30" spans="1:22" ht="18">
      <c r="A30" s="365"/>
      <c r="B30" s="559"/>
      <c r="C30" s="586" t="s">
        <v>57</v>
      </c>
      <c r="D30" s="555"/>
      <c r="E30" s="565">
        <v>12.1</v>
      </c>
      <c r="F30" s="565">
        <v>12.486000000000001</v>
      </c>
      <c r="G30" s="565">
        <v>12.153</v>
      </c>
      <c r="H30" s="565">
        <v>12.233000000000001</v>
      </c>
      <c r="I30" s="581">
        <v>11.597</v>
      </c>
      <c r="J30" s="581">
        <v>12.675000000000001</v>
      </c>
      <c r="K30" s="581">
        <v>12.101000000000001</v>
      </c>
      <c r="L30" s="581">
        <v>11.762</v>
      </c>
      <c r="M30" s="581">
        <v>12.666</v>
      </c>
      <c r="N30" s="581">
        <v>12.138</v>
      </c>
      <c r="O30" s="581">
        <v>12.129</v>
      </c>
      <c r="P30" s="581">
        <v>10.8</v>
      </c>
      <c r="Q30" s="581">
        <v>11.978999999999999</v>
      </c>
      <c r="R30" s="582">
        <v>10.08</v>
      </c>
      <c r="S30" s="583">
        <v>11.28</v>
      </c>
      <c r="T30" s="583">
        <v>10.15</v>
      </c>
      <c r="V30" s="356"/>
    </row>
    <row r="31" spans="1:22" ht="18">
      <c r="A31" s="365"/>
      <c r="B31" s="559"/>
      <c r="C31" s="586" t="s">
        <v>58</v>
      </c>
      <c r="D31" s="555"/>
      <c r="E31" s="565">
        <v>3.0409999999999999</v>
      </c>
      <c r="F31" s="565">
        <v>2.2930000000000001</v>
      </c>
      <c r="G31" s="565">
        <v>2.2650000000000001</v>
      </c>
      <c r="H31" s="565">
        <v>3.0640000000000001</v>
      </c>
      <c r="I31" s="581">
        <v>2.8809999999999998</v>
      </c>
      <c r="J31" s="581">
        <v>3.5209999999999999</v>
      </c>
      <c r="K31" s="581">
        <v>3.8690000000000002</v>
      </c>
      <c r="L31" s="581">
        <v>3.5760000000000001</v>
      </c>
      <c r="M31" s="581">
        <v>3.52</v>
      </c>
      <c r="N31" s="581">
        <v>4.2649999999999997</v>
      </c>
      <c r="O31" s="581">
        <v>3.875</v>
      </c>
      <c r="P31" s="581">
        <v>3.6</v>
      </c>
      <c r="Q31" s="581">
        <v>3.9489999999999998</v>
      </c>
      <c r="R31" s="582">
        <v>4.3479999999999999</v>
      </c>
      <c r="S31" s="583">
        <v>4.0019999999999998</v>
      </c>
      <c r="T31" s="583">
        <v>4.16</v>
      </c>
      <c r="V31" s="356"/>
    </row>
    <row r="32" spans="1:22" ht="18">
      <c r="A32" s="365"/>
      <c r="B32" s="559"/>
      <c r="C32" s="586" t="s">
        <v>59</v>
      </c>
      <c r="D32" s="555"/>
      <c r="E32" s="565">
        <v>3.03</v>
      </c>
      <c r="F32" s="565">
        <v>2.8279999999999998</v>
      </c>
      <c r="G32" s="565">
        <v>2.3889999999999998</v>
      </c>
      <c r="H32" s="565">
        <v>2.3359999999999999</v>
      </c>
      <c r="I32" s="581">
        <v>2.5960000000000001</v>
      </c>
      <c r="J32" s="581">
        <v>2.3170000000000002</v>
      </c>
      <c r="K32" s="581">
        <v>2.2669999999999999</v>
      </c>
      <c r="L32" s="581">
        <v>2.0049999999999999</v>
      </c>
      <c r="M32" s="581">
        <v>2.3239999999999998</v>
      </c>
      <c r="N32" s="581">
        <v>2.7290000000000001</v>
      </c>
      <c r="O32" s="581">
        <v>2.2519999999999998</v>
      </c>
      <c r="P32" s="581">
        <v>2.7</v>
      </c>
      <c r="Q32" s="581">
        <v>2.61</v>
      </c>
      <c r="R32" s="582">
        <v>2.5830000000000002</v>
      </c>
      <c r="S32" s="583">
        <v>3.137</v>
      </c>
      <c r="T32" s="583">
        <v>2.5</v>
      </c>
      <c r="V32" s="353"/>
    </row>
    <row r="33" spans="1:20" ht="5.25" customHeight="1">
      <c r="A33" s="365"/>
      <c r="B33" s="559"/>
      <c r="C33" s="559"/>
      <c r="D33" s="555"/>
      <c r="E33" s="555"/>
      <c r="F33" s="555"/>
      <c r="G33" s="555"/>
      <c r="H33" s="579"/>
      <c r="I33" s="579"/>
      <c r="J33" s="579"/>
      <c r="K33" s="579"/>
      <c r="L33" s="579"/>
      <c r="M33" s="579"/>
      <c r="N33" s="579"/>
      <c r="O33" s="579"/>
      <c r="P33" s="579"/>
      <c r="Q33" s="579"/>
      <c r="R33" s="578"/>
      <c r="S33" s="559"/>
      <c r="T33" s="559"/>
    </row>
    <row r="34" spans="1:20" ht="18.75">
      <c r="A34" s="365"/>
      <c r="B34" s="559"/>
      <c r="C34" s="560" t="s">
        <v>51</v>
      </c>
      <c r="D34" s="555"/>
      <c r="E34" s="587">
        <v>6020</v>
      </c>
      <c r="F34" s="587">
        <v>6253</v>
      </c>
      <c r="G34" s="587">
        <v>6276</v>
      </c>
      <c r="H34" s="558">
        <v>5973</v>
      </c>
      <c r="I34" s="556">
        <v>6033</v>
      </c>
      <c r="J34" s="556">
        <v>6359</v>
      </c>
      <c r="K34" s="556">
        <v>6044</v>
      </c>
      <c r="L34" s="556">
        <v>6068</v>
      </c>
      <c r="M34" s="556">
        <v>5175</v>
      </c>
      <c r="N34" s="556">
        <v>5437</v>
      </c>
      <c r="O34" s="556">
        <v>5371</v>
      </c>
      <c r="P34" s="556">
        <v>5221</v>
      </c>
      <c r="Q34" s="556">
        <v>5508</v>
      </c>
      <c r="R34" s="557">
        <v>4103</v>
      </c>
      <c r="S34" s="558">
        <v>4157</v>
      </c>
      <c r="T34" s="558">
        <v>4130</v>
      </c>
    </row>
    <row r="35" spans="1:20" ht="5.25" customHeight="1">
      <c r="A35" s="365"/>
      <c r="B35" s="559"/>
      <c r="C35" s="559"/>
      <c r="D35" s="559"/>
      <c r="E35" s="559"/>
      <c r="F35" s="559"/>
      <c r="G35" s="559"/>
      <c r="H35" s="579"/>
      <c r="I35" s="579"/>
      <c r="J35" s="579"/>
      <c r="K35" s="579"/>
      <c r="L35" s="579"/>
      <c r="M35" s="579"/>
      <c r="N35" s="579"/>
      <c r="O35" s="579"/>
      <c r="P35" s="579"/>
      <c r="Q35" s="579"/>
      <c r="R35" s="578"/>
      <c r="S35" s="559"/>
      <c r="T35" s="559"/>
    </row>
    <row r="36" spans="1:20" ht="18">
      <c r="A36" s="365"/>
      <c r="B36" s="559"/>
      <c r="C36" s="366" t="s">
        <v>442</v>
      </c>
      <c r="D36" s="559"/>
      <c r="E36" s="588">
        <f>E25+E30+E31+E32</f>
        <v>31.845000000000002</v>
      </c>
      <c r="F36" s="588">
        <f>F25+F30+F31+F32</f>
        <v>31.264999999999997</v>
      </c>
      <c r="G36" s="588">
        <f>G25+G30+G31+G32</f>
        <v>29.91</v>
      </c>
      <c r="H36" s="588">
        <f>H25+H30+H31+H32</f>
        <v>30.783000000000001</v>
      </c>
      <c r="I36" s="588">
        <f t="shared" ref="I36:T36" si="0">I25+I29+I30+I31</f>
        <v>28.899000000000001</v>
      </c>
      <c r="J36" s="588">
        <f t="shared" si="0"/>
        <v>30.713000000000001</v>
      </c>
      <c r="K36" s="588">
        <f t="shared" si="0"/>
        <v>30.353000000000002</v>
      </c>
      <c r="L36" s="588">
        <f t="shared" si="0"/>
        <v>31.199000000000002</v>
      </c>
      <c r="M36" s="588">
        <f t="shared" si="0"/>
        <v>29.700999999999997</v>
      </c>
      <c r="N36" s="588">
        <f t="shared" si="0"/>
        <v>31.238999999999997</v>
      </c>
      <c r="O36" s="588">
        <f t="shared" si="0"/>
        <v>30.708999999999996</v>
      </c>
      <c r="P36" s="588">
        <f t="shared" si="0"/>
        <v>30.1</v>
      </c>
      <c r="Q36" s="588">
        <f t="shared" si="0"/>
        <v>30.787999999999997</v>
      </c>
      <c r="R36" s="588">
        <f t="shared" si="0"/>
        <v>30.073999999999998</v>
      </c>
      <c r="S36" s="588">
        <f t="shared" si="0"/>
        <v>30.679999999999996</v>
      </c>
      <c r="T36" s="588">
        <f t="shared" si="0"/>
        <v>29.84</v>
      </c>
    </row>
    <row r="37" spans="1:20" ht="18">
      <c r="A37" s="365"/>
      <c r="B37" s="559"/>
      <c r="C37" s="554"/>
      <c r="D37" s="559"/>
      <c r="E37" s="588"/>
      <c r="F37" s="588"/>
      <c r="G37" s="588"/>
      <c r="H37" s="588"/>
      <c r="I37" s="588"/>
      <c r="J37" s="588"/>
      <c r="K37" s="588"/>
      <c r="L37" s="588"/>
      <c r="M37" s="588"/>
      <c r="N37" s="588"/>
      <c r="O37" s="588"/>
      <c r="P37" s="588"/>
      <c r="Q37" s="588"/>
      <c r="R37" s="588"/>
      <c r="S37" s="554"/>
      <c r="T37" s="554"/>
    </row>
    <row r="38" spans="1:20" ht="5.25" customHeight="1">
      <c r="A38" s="365"/>
      <c r="B38" s="559"/>
      <c r="C38" s="559"/>
      <c r="D38" s="559"/>
      <c r="E38" s="559"/>
      <c r="F38" s="559"/>
      <c r="G38" s="559"/>
      <c r="H38" s="579"/>
      <c r="I38" s="579"/>
      <c r="J38" s="579"/>
      <c r="K38" s="579"/>
      <c r="L38" s="579"/>
      <c r="M38" s="579"/>
      <c r="N38" s="579"/>
      <c r="O38" s="579"/>
      <c r="P38" s="579"/>
      <c r="Q38" s="579"/>
      <c r="R38" s="578"/>
      <c r="S38" s="559"/>
      <c r="T38" s="559"/>
    </row>
    <row r="39" spans="1:20" ht="18">
      <c r="A39" s="365"/>
      <c r="B39" s="554" t="s">
        <v>60</v>
      </c>
      <c r="C39" s="554"/>
      <c r="D39" s="559"/>
      <c r="E39" s="559"/>
      <c r="F39" s="559"/>
      <c r="G39" s="559"/>
      <c r="H39" s="579"/>
      <c r="I39" s="579"/>
      <c r="J39" s="579"/>
      <c r="K39" s="579"/>
      <c r="L39" s="579"/>
      <c r="M39" s="579"/>
      <c r="N39" s="579"/>
      <c r="O39" s="579"/>
      <c r="P39" s="579"/>
      <c r="Q39" s="579"/>
      <c r="R39" s="578"/>
      <c r="S39" s="559"/>
      <c r="T39" s="559"/>
    </row>
    <row r="40" spans="1:20" ht="18">
      <c r="A40" s="365"/>
      <c r="B40" s="559"/>
      <c r="C40" s="559" t="s">
        <v>52</v>
      </c>
      <c r="D40" s="559"/>
      <c r="E40" s="565">
        <v>53.9</v>
      </c>
      <c r="F40" s="565">
        <v>53.8</v>
      </c>
      <c r="G40" s="565">
        <v>51.9</v>
      </c>
      <c r="H40" s="581">
        <v>55.54</v>
      </c>
      <c r="I40" s="581">
        <v>52.4</v>
      </c>
      <c r="J40" s="581">
        <v>51.15</v>
      </c>
      <c r="K40" s="581">
        <v>52.52</v>
      </c>
      <c r="L40" s="581">
        <v>51.13</v>
      </c>
      <c r="M40" s="581">
        <v>52.81</v>
      </c>
      <c r="N40" s="581">
        <v>48.82</v>
      </c>
      <c r="O40" s="581">
        <v>49.97</v>
      </c>
      <c r="P40" s="581">
        <v>49.7</v>
      </c>
      <c r="Q40" s="581">
        <v>50.6</v>
      </c>
      <c r="R40" s="582">
        <v>51.4</v>
      </c>
      <c r="S40" s="559">
        <v>51.7</v>
      </c>
      <c r="T40" s="559">
        <v>51.2</v>
      </c>
    </row>
    <row r="41" spans="1:20" ht="18">
      <c r="A41" s="365"/>
      <c r="B41" s="559"/>
      <c r="C41" s="559" t="s">
        <v>53</v>
      </c>
      <c r="D41" s="559"/>
      <c r="E41" s="565">
        <v>18.3</v>
      </c>
      <c r="F41" s="565">
        <v>19.7</v>
      </c>
      <c r="G41" s="565">
        <v>20.8</v>
      </c>
      <c r="H41" s="581">
        <v>18.95</v>
      </c>
      <c r="I41" s="581">
        <v>21.7</v>
      </c>
      <c r="J41" s="581">
        <v>21.62</v>
      </c>
      <c r="K41" s="581">
        <v>20.96</v>
      </c>
      <c r="L41" s="581">
        <v>21.72</v>
      </c>
      <c r="M41" s="581">
        <v>21.89</v>
      </c>
      <c r="N41" s="581">
        <v>23.61</v>
      </c>
      <c r="O41" s="581">
        <v>24.44</v>
      </c>
      <c r="P41" s="581">
        <v>23</v>
      </c>
      <c r="Q41" s="581">
        <v>23.4</v>
      </c>
      <c r="R41" s="582">
        <v>24.1</v>
      </c>
      <c r="S41" s="559">
        <v>24.4</v>
      </c>
      <c r="T41" s="559">
        <v>24.5</v>
      </c>
    </row>
    <row r="42" spans="1:20" ht="18">
      <c r="A42" s="365"/>
      <c r="B42" s="559"/>
      <c r="C42" s="586" t="s">
        <v>56</v>
      </c>
      <c r="D42" s="559"/>
      <c r="E42" s="565">
        <v>0.7</v>
      </c>
      <c r="F42" s="565">
        <v>0.6</v>
      </c>
      <c r="G42" s="565">
        <v>0.6</v>
      </c>
      <c r="H42" s="581">
        <v>0.67</v>
      </c>
      <c r="I42" s="581">
        <v>1.1499999999999999</v>
      </c>
      <c r="J42" s="581">
        <v>0.98</v>
      </c>
      <c r="K42" s="581">
        <v>0.59</v>
      </c>
      <c r="L42" s="581">
        <v>0.87</v>
      </c>
      <c r="M42" s="581">
        <v>0.76</v>
      </c>
      <c r="N42" s="581">
        <v>1.47</v>
      </c>
      <c r="O42" s="581">
        <v>1.02</v>
      </c>
      <c r="P42" s="581">
        <v>1.4</v>
      </c>
      <c r="Q42" s="581">
        <v>1.4</v>
      </c>
      <c r="R42" s="582">
        <v>0.8</v>
      </c>
      <c r="S42" s="559">
        <v>1.2</v>
      </c>
      <c r="T42" s="559">
        <v>1.7</v>
      </c>
    </row>
    <row r="43" spans="1:20" ht="18">
      <c r="A43" s="365"/>
      <c r="B43" s="559"/>
      <c r="C43" s="586" t="s">
        <v>61</v>
      </c>
      <c r="D43" s="586"/>
      <c r="E43" s="584">
        <v>24.799999999999997</v>
      </c>
      <c r="F43" s="584">
        <v>23.5</v>
      </c>
      <c r="G43" s="584">
        <v>24.5</v>
      </c>
      <c r="H43" s="581">
        <v>22.36</v>
      </c>
      <c r="I43" s="581">
        <v>22.41</v>
      </c>
      <c r="J43" s="581">
        <v>23.56</v>
      </c>
      <c r="K43" s="581">
        <v>23.57</v>
      </c>
      <c r="L43" s="581">
        <v>23.73</v>
      </c>
      <c r="M43" s="581">
        <v>21.94</v>
      </c>
      <c r="N43" s="581">
        <v>23.86</v>
      </c>
      <c r="O43" s="581">
        <v>21.99</v>
      </c>
      <c r="P43" s="581">
        <v>23.9</v>
      </c>
      <c r="Q43" s="581">
        <v>21.7</v>
      </c>
      <c r="R43" s="578">
        <f>R44+R45</f>
        <v>21.1</v>
      </c>
      <c r="S43" s="559">
        <v>19.899999999999999</v>
      </c>
      <c r="T43" s="559">
        <v>20.3</v>
      </c>
    </row>
    <row r="44" spans="1:20" ht="18">
      <c r="A44" s="365"/>
      <c r="B44" s="559"/>
      <c r="C44" s="586"/>
      <c r="D44" s="586" t="s">
        <v>62</v>
      </c>
      <c r="E44" s="565">
        <v>17.399999999999999</v>
      </c>
      <c r="F44" s="565">
        <v>16.899999999999999</v>
      </c>
      <c r="G44" s="565">
        <v>17.7</v>
      </c>
      <c r="H44" s="581">
        <v>15.05</v>
      </c>
      <c r="I44" s="581">
        <v>16.899999999999999</v>
      </c>
      <c r="J44" s="581">
        <v>16.850000000000001</v>
      </c>
      <c r="K44" s="581">
        <v>16.5</v>
      </c>
      <c r="L44" s="581">
        <v>17.04</v>
      </c>
      <c r="M44" s="581">
        <v>14.84</v>
      </c>
      <c r="N44" s="581">
        <v>16.53</v>
      </c>
      <c r="O44" s="581">
        <v>16</v>
      </c>
      <c r="P44" s="581">
        <v>16.100000000000001</v>
      </c>
      <c r="Q44" s="581">
        <v>15.1</v>
      </c>
      <c r="R44" s="582">
        <v>14.9</v>
      </c>
      <c r="S44" s="559">
        <v>14.5</v>
      </c>
      <c r="T44" s="559">
        <v>14.5</v>
      </c>
    </row>
    <row r="45" spans="1:20" ht="18">
      <c r="A45" s="365"/>
      <c r="B45" s="559"/>
      <c r="C45" s="586"/>
      <c r="D45" s="586" t="s">
        <v>63</v>
      </c>
      <c r="E45" s="565">
        <v>7.4</v>
      </c>
      <c r="F45" s="565">
        <v>6.6</v>
      </c>
      <c r="G45" s="565">
        <v>6.8</v>
      </c>
      <c r="H45" s="581">
        <v>7.31</v>
      </c>
      <c r="I45" s="581">
        <v>5.51</v>
      </c>
      <c r="J45" s="581">
        <v>6.71</v>
      </c>
      <c r="K45" s="581">
        <v>7.06</v>
      </c>
      <c r="L45" s="581">
        <v>6.69</v>
      </c>
      <c r="M45" s="581">
        <v>7.1</v>
      </c>
      <c r="N45" s="581">
        <v>7.33</v>
      </c>
      <c r="O45" s="581">
        <v>5.94</v>
      </c>
      <c r="P45" s="581">
        <v>7.8</v>
      </c>
      <c r="Q45" s="581">
        <v>6.6</v>
      </c>
      <c r="R45" s="582">
        <v>6.2</v>
      </c>
      <c r="S45" s="559">
        <v>5.4</v>
      </c>
      <c r="T45" s="559">
        <v>5.8</v>
      </c>
    </row>
    <row r="46" spans="1:20" ht="18">
      <c r="A46" s="365"/>
      <c r="B46" s="559"/>
      <c r="C46" s="586" t="s">
        <v>58</v>
      </c>
      <c r="D46" s="586"/>
      <c r="E46" s="565">
        <v>0.7</v>
      </c>
      <c r="F46" s="565">
        <v>0.6</v>
      </c>
      <c r="G46" s="565">
        <v>0.5</v>
      </c>
      <c r="H46" s="581">
        <v>0.35</v>
      </c>
      <c r="I46" s="581">
        <v>0.53</v>
      </c>
      <c r="J46" s="581">
        <v>0.86</v>
      </c>
      <c r="K46" s="581">
        <v>0.73</v>
      </c>
      <c r="L46" s="581">
        <v>1.23</v>
      </c>
      <c r="M46" s="581">
        <v>0.9</v>
      </c>
      <c r="N46" s="581">
        <v>0.73</v>
      </c>
      <c r="O46" s="581">
        <v>0.74</v>
      </c>
      <c r="P46" s="581">
        <v>0.3</v>
      </c>
      <c r="Q46" s="581">
        <v>0.7</v>
      </c>
      <c r="R46" s="582">
        <v>0.4</v>
      </c>
      <c r="S46" s="559">
        <v>0.6</v>
      </c>
      <c r="T46" s="559">
        <v>0.7</v>
      </c>
    </row>
    <row r="47" spans="1:20" ht="18">
      <c r="A47" s="365"/>
      <c r="B47" s="559"/>
      <c r="C47" s="586" t="s">
        <v>59</v>
      </c>
      <c r="D47" s="586"/>
      <c r="E47" s="565">
        <v>1.7</v>
      </c>
      <c r="F47" s="565">
        <v>1.7</v>
      </c>
      <c r="G47" s="565">
        <v>1.7</v>
      </c>
      <c r="H47" s="581">
        <v>2.13</v>
      </c>
      <c r="I47" s="581">
        <v>1.81</v>
      </c>
      <c r="J47" s="581">
        <v>1.83</v>
      </c>
      <c r="K47" s="581">
        <v>1.62</v>
      </c>
      <c r="L47" s="581">
        <v>1.33</v>
      </c>
      <c r="M47" s="581">
        <v>1.7</v>
      </c>
      <c r="N47" s="581">
        <v>1.52</v>
      </c>
      <c r="O47" s="581">
        <v>1.84</v>
      </c>
      <c r="P47" s="581">
        <v>1.7</v>
      </c>
      <c r="Q47" s="581">
        <v>2.2000000000000002</v>
      </c>
      <c r="R47" s="582">
        <v>2.2000000000000002</v>
      </c>
      <c r="S47" s="559">
        <v>2.2000000000000002</v>
      </c>
      <c r="T47" s="559">
        <v>1.7</v>
      </c>
    </row>
    <row r="48" spans="1:20" ht="5.25" customHeight="1">
      <c r="A48" s="365"/>
      <c r="B48" s="559"/>
      <c r="C48" s="559"/>
      <c r="D48" s="555"/>
      <c r="E48" s="555"/>
      <c r="F48" s="555"/>
      <c r="G48" s="555"/>
      <c r="H48" s="579"/>
      <c r="I48" s="579"/>
      <c r="J48" s="579"/>
      <c r="K48" s="579"/>
      <c r="L48" s="579"/>
      <c r="M48" s="579"/>
      <c r="N48" s="579"/>
      <c r="O48" s="579"/>
      <c r="P48" s="579"/>
      <c r="Q48" s="579"/>
      <c r="R48" s="578"/>
      <c r="S48" s="559"/>
      <c r="T48" s="559"/>
    </row>
    <row r="49" spans="1:20" ht="18.75">
      <c r="A49" s="365"/>
      <c r="B49" s="559"/>
      <c r="C49" s="560" t="s">
        <v>51</v>
      </c>
      <c r="D49" s="555"/>
      <c r="E49" s="587">
        <v>2636</v>
      </c>
      <c r="F49" s="587">
        <v>3475</v>
      </c>
      <c r="G49" s="587">
        <v>3463</v>
      </c>
      <c r="H49" s="556">
        <v>3295</v>
      </c>
      <c r="I49" s="556">
        <v>3250</v>
      </c>
      <c r="J49" s="556">
        <v>3347</v>
      </c>
      <c r="K49" s="556">
        <v>3272</v>
      </c>
      <c r="L49" s="556">
        <v>3240</v>
      </c>
      <c r="M49" s="556">
        <v>2517</v>
      </c>
      <c r="N49" s="556">
        <v>2750</v>
      </c>
      <c r="O49" s="556">
        <v>2881</v>
      </c>
      <c r="P49" s="556">
        <v>2676</v>
      </c>
      <c r="Q49" s="556">
        <v>2715</v>
      </c>
      <c r="R49" s="557">
        <v>1923</v>
      </c>
      <c r="S49" s="558">
        <v>1975</v>
      </c>
      <c r="T49" s="558">
        <v>1980</v>
      </c>
    </row>
    <row r="50" spans="1:20" ht="5.25" customHeight="1">
      <c r="A50" s="365"/>
      <c r="B50" s="559"/>
      <c r="C50" s="559"/>
      <c r="D50" s="559"/>
      <c r="E50" s="559"/>
      <c r="F50" s="559"/>
      <c r="G50" s="559"/>
      <c r="H50" s="579"/>
      <c r="I50" s="579"/>
      <c r="J50" s="579"/>
      <c r="K50" s="579"/>
      <c r="L50" s="579"/>
      <c r="M50" s="579"/>
      <c r="N50" s="579"/>
      <c r="O50" s="579"/>
      <c r="P50" s="579"/>
      <c r="Q50" s="579"/>
      <c r="R50" s="578"/>
      <c r="S50" s="559"/>
      <c r="T50" s="559"/>
    </row>
    <row r="51" spans="1:20" ht="21">
      <c r="A51" s="365"/>
      <c r="B51" s="589" t="s">
        <v>654</v>
      </c>
      <c r="C51" s="589"/>
      <c r="D51" s="554"/>
      <c r="E51" s="554"/>
      <c r="F51" s="554"/>
      <c r="G51" s="554"/>
      <c r="H51" s="590"/>
      <c r="I51" s="555"/>
      <c r="J51" s="555"/>
      <c r="K51" s="555"/>
      <c r="L51" s="555"/>
      <c r="M51" s="555"/>
      <c r="N51" s="555"/>
      <c r="O51" s="555"/>
      <c r="P51" s="555"/>
      <c r="Q51" s="555"/>
      <c r="R51" s="578"/>
      <c r="S51" s="559"/>
      <c r="T51" s="559"/>
    </row>
    <row r="52" spans="1:20" ht="18">
      <c r="A52" s="365"/>
      <c r="B52" s="559"/>
      <c r="C52" s="586" t="s">
        <v>64</v>
      </c>
      <c r="D52" s="555"/>
      <c r="E52" s="565">
        <v>37.159999999999997</v>
      </c>
      <c r="F52" s="565">
        <v>35.82</v>
      </c>
      <c r="G52" s="565">
        <v>35.26</v>
      </c>
      <c r="H52" s="565">
        <v>34.799999999999997</v>
      </c>
      <c r="I52" s="565">
        <v>32.69</v>
      </c>
      <c r="J52" s="565">
        <v>33.75</v>
      </c>
      <c r="K52" s="565">
        <v>31.71</v>
      </c>
      <c r="L52" s="565">
        <v>31.97</v>
      </c>
      <c r="M52" s="565">
        <v>30.32</v>
      </c>
      <c r="N52" s="565">
        <v>30.24</v>
      </c>
      <c r="O52" s="565">
        <v>30.66</v>
      </c>
      <c r="P52" s="565">
        <v>30.28</v>
      </c>
      <c r="Q52" s="565">
        <v>30.08</v>
      </c>
      <c r="R52" s="565">
        <v>31</v>
      </c>
      <c r="S52" s="591">
        <v>30.17</v>
      </c>
      <c r="T52" s="591">
        <v>30.82</v>
      </c>
    </row>
    <row r="53" spans="1:20" ht="18">
      <c r="A53" s="365"/>
      <c r="B53" s="559"/>
      <c r="C53" s="586" t="s">
        <v>65</v>
      </c>
      <c r="D53" s="555"/>
      <c r="E53" s="565">
        <v>45.1</v>
      </c>
      <c r="F53" s="565">
        <v>45.54</v>
      </c>
      <c r="G53" s="565">
        <v>45.62</v>
      </c>
      <c r="H53" s="565">
        <v>44.45</v>
      </c>
      <c r="I53" s="565">
        <v>44.51</v>
      </c>
      <c r="J53" s="565">
        <v>42.98</v>
      </c>
      <c r="K53" s="565">
        <v>44.46</v>
      </c>
      <c r="L53" s="565">
        <v>43.65</v>
      </c>
      <c r="M53" s="565">
        <v>44.34</v>
      </c>
      <c r="N53" s="565">
        <v>43.94</v>
      </c>
      <c r="O53" s="565">
        <v>43.71</v>
      </c>
      <c r="P53" s="565">
        <v>44.02</v>
      </c>
      <c r="Q53" s="565">
        <v>44.53</v>
      </c>
      <c r="R53" s="565">
        <v>43.03</v>
      </c>
      <c r="S53" s="591">
        <v>44</v>
      </c>
      <c r="T53" s="591">
        <v>43.32</v>
      </c>
    </row>
    <row r="54" spans="1:20" ht="18">
      <c r="A54" s="365"/>
      <c r="B54" s="559"/>
      <c r="C54" s="586" t="s">
        <v>66</v>
      </c>
      <c r="D54" s="555"/>
      <c r="E54" s="565">
        <v>15.38</v>
      </c>
      <c r="F54" s="565">
        <v>16.36</v>
      </c>
      <c r="G54" s="565">
        <v>16.559999999999999</v>
      </c>
      <c r="H54" s="565">
        <v>18.22</v>
      </c>
      <c r="I54" s="565">
        <v>19.79</v>
      </c>
      <c r="J54" s="565">
        <v>19.87</v>
      </c>
      <c r="K54" s="565">
        <v>20.5</v>
      </c>
      <c r="L54" s="565">
        <v>20.54</v>
      </c>
      <c r="M54" s="565">
        <v>21.39</v>
      </c>
      <c r="N54" s="565">
        <v>21.85</v>
      </c>
      <c r="O54" s="565">
        <v>21.47</v>
      </c>
      <c r="P54" s="565">
        <v>21.57</v>
      </c>
      <c r="Q54" s="565">
        <v>21</v>
      </c>
      <c r="R54" s="565">
        <v>21.32</v>
      </c>
      <c r="S54" s="591">
        <v>21.26</v>
      </c>
      <c r="T54" s="591">
        <v>21.14</v>
      </c>
    </row>
    <row r="55" spans="1:20" ht="18">
      <c r="A55" s="365"/>
      <c r="B55" s="559"/>
      <c r="C55" s="586" t="s">
        <v>67</v>
      </c>
      <c r="D55" s="555"/>
      <c r="E55" s="565">
        <v>2.37</v>
      </c>
      <c r="F55" s="565">
        <v>2.2799999999999998</v>
      </c>
      <c r="G55" s="565">
        <v>2.56</v>
      </c>
      <c r="H55" s="565">
        <v>2.54</v>
      </c>
      <c r="I55" s="565">
        <v>3.01</v>
      </c>
      <c r="J55" s="565">
        <v>3.4</v>
      </c>
      <c r="K55" s="565">
        <v>3.33</v>
      </c>
      <c r="L55" s="565">
        <v>3.84</v>
      </c>
      <c r="M55" s="565">
        <v>3.96</v>
      </c>
      <c r="N55" s="565">
        <v>3.96</v>
      </c>
      <c r="O55" s="565">
        <v>4.16</v>
      </c>
      <c r="P55" s="565">
        <v>4.13</v>
      </c>
      <c r="Q55" s="565">
        <v>4.3899999999999997</v>
      </c>
      <c r="R55" s="565">
        <v>4.6500000000000004</v>
      </c>
      <c r="S55" s="591">
        <v>4.57</v>
      </c>
      <c r="T55" s="591">
        <v>4.72</v>
      </c>
    </row>
    <row r="56" spans="1:20" ht="4.5" customHeight="1">
      <c r="A56" s="365"/>
      <c r="B56" s="559"/>
      <c r="C56" s="586"/>
      <c r="D56" s="555"/>
      <c r="E56" s="576"/>
      <c r="F56" s="576"/>
      <c r="G56" s="576"/>
      <c r="H56" s="581"/>
      <c r="I56" s="581"/>
      <c r="J56" s="581"/>
      <c r="K56" s="581"/>
      <c r="L56" s="581"/>
      <c r="M56" s="581"/>
      <c r="N56" s="581"/>
      <c r="O56" s="581"/>
      <c r="P56" s="581"/>
      <c r="Q56" s="581"/>
      <c r="R56" s="582"/>
      <c r="S56" s="592"/>
      <c r="T56" s="592"/>
    </row>
    <row r="57" spans="1:20" ht="18">
      <c r="A57" s="365"/>
      <c r="B57" s="559"/>
      <c r="C57" s="586" t="s">
        <v>68</v>
      </c>
      <c r="D57" s="555"/>
      <c r="E57" s="593">
        <v>62.84</v>
      </c>
      <c r="F57" s="593">
        <v>64.180000000000007</v>
      </c>
      <c r="G57" s="593">
        <v>64.739999999999995</v>
      </c>
      <c r="H57" s="593">
        <v>65.2</v>
      </c>
      <c r="I57" s="593">
        <v>67.31</v>
      </c>
      <c r="J57" s="593">
        <v>66.25</v>
      </c>
      <c r="K57" s="593">
        <v>68.290000000000006</v>
      </c>
      <c r="L57" s="593">
        <v>68.03</v>
      </c>
      <c r="M57" s="593">
        <v>69.680000000000007</v>
      </c>
      <c r="N57" s="593">
        <v>69.760000000000005</v>
      </c>
      <c r="O57" s="593">
        <v>69.34</v>
      </c>
      <c r="P57" s="593">
        <v>69.72</v>
      </c>
      <c r="Q57" s="593">
        <v>69.92</v>
      </c>
      <c r="R57" s="593">
        <v>69</v>
      </c>
      <c r="S57" s="591">
        <v>69.83</v>
      </c>
      <c r="T57" s="591">
        <v>69.180000000000007</v>
      </c>
    </row>
    <row r="58" spans="1:20" ht="20.25" customHeight="1">
      <c r="A58" s="365"/>
      <c r="B58" s="559"/>
      <c r="C58" s="586" t="s">
        <v>69</v>
      </c>
      <c r="D58" s="555"/>
      <c r="E58" s="593">
        <v>17.739999999999998</v>
      </c>
      <c r="F58" s="593">
        <v>18.64</v>
      </c>
      <c r="G58" s="593">
        <v>19.12</v>
      </c>
      <c r="H58" s="593">
        <v>20.76</v>
      </c>
      <c r="I58" s="593">
        <v>22.8</v>
      </c>
      <c r="J58" s="593">
        <v>23.27</v>
      </c>
      <c r="K58" s="593">
        <v>23.83</v>
      </c>
      <c r="L58" s="593">
        <v>24.38</v>
      </c>
      <c r="M58" s="593">
        <v>25.34</v>
      </c>
      <c r="N58" s="593">
        <v>25.81</v>
      </c>
      <c r="O58" s="593">
        <v>25.63</v>
      </c>
      <c r="P58" s="593">
        <v>25.7</v>
      </c>
      <c r="Q58" s="593">
        <v>25.39</v>
      </c>
      <c r="R58" s="593">
        <v>25.97</v>
      </c>
      <c r="S58" s="591">
        <v>25.83</v>
      </c>
      <c r="T58" s="591">
        <v>25.86</v>
      </c>
    </row>
    <row r="59" spans="1:20" ht="4.5" customHeight="1">
      <c r="A59" s="365"/>
      <c r="B59" s="559"/>
      <c r="C59" s="586"/>
      <c r="D59" s="555"/>
      <c r="E59" s="581"/>
      <c r="F59" s="581"/>
      <c r="G59" s="581"/>
      <c r="H59" s="581"/>
      <c r="I59" s="581"/>
      <c r="J59" s="581"/>
      <c r="K59" s="581"/>
      <c r="L59" s="581"/>
      <c r="M59" s="581"/>
      <c r="N59" s="581"/>
      <c r="O59" s="581"/>
      <c r="P59" s="581"/>
      <c r="Q59" s="581"/>
      <c r="R59" s="582"/>
      <c r="S59" s="594"/>
      <c r="T59" s="594"/>
    </row>
    <row r="60" spans="1:20" ht="16.5" customHeight="1">
      <c r="A60" s="365"/>
      <c r="B60" s="559"/>
      <c r="C60" s="559" t="s">
        <v>70</v>
      </c>
      <c r="D60" s="555"/>
      <c r="E60" s="593">
        <v>31.77</v>
      </c>
      <c r="F60" s="593">
        <v>34.229999999999997</v>
      </c>
      <c r="G60" s="593" t="s">
        <v>443</v>
      </c>
      <c r="H60" s="593">
        <v>34.950000000000003</v>
      </c>
      <c r="I60" s="593">
        <v>34.42</v>
      </c>
      <c r="J60" s="593">
        <v>35</v>
      </c>
      <c r="K60" s="593">
        <v>35.020000000000003</v>
      </c>
      <c r="L60" s="593">
        <v>35.31</v>
      </c>
      <c r="M60" s="593">
        <v>36.89</v>
      </c>
      <c r="N60" s="593">
        <v>36.799999999999997</v>
      </c>
      <c r="O60" s="593">
        <v>35.450000000000003</v>
      </c>
      <c r="P60" s="593">
        <v>34.26</v>
      </c>
      <c r="Q60" s="593">
        <v>35.14</v>
      </c>
      <c r="R60" s="593">
        <v>35.020000000000003</v>
      </c>
      <c r="S60" s="593">
        <v>34.33</v>
      </c>
      <c r="T60" s="593">
        <v>34.44</v>
      </c>
    </row>
    <row r="61" spans="1:20" ht="5.25" customHeight="1">
      <c r="A61" s="365"/>
      <c r="B61" s="559"/>
      <c r="C61" s="559"/>
      <c r="D61" s="555"/>
      <c r="E61" s="559"/>
      <c r="F61" s="559"/>
      <c r="G61" s="559"/>
      <c r="H61" s="579"/>
      <c r="I61" s="579"/>
      <c r="J61" s="579"/>
      <c r="K61" s="579"/>
      <c r="L61" s="579"/>
      <c r="M61" s="579"/>
      <c r="N61" s="579"/>
      <c r="O61" s="579"/>
      <c r="P61" s="579"/>
      <c r="Q61" s="579"/>
      <c r="R61" s="578"/>
      <c r="S61" s="559"/>
      <c r="T61" s="559"/>
    </row>
    <row r="62" spans="1:20" ht="18.75">
      <c r="A62" s="365"/>
      <c r="B62" s="559"/>
      <c r="C62" s="560" t="s">
        <v>71</v>
      </c>
      <c r="D62" s="555"/>
      <c r="E62" s="587">
        <v>14679</v>
      </c>
      <c r="F62" s="587">
        <v>15547</v>
      </c>
      <c r="G62" s="587">
        <v>15566</v>
      </c>
      <c r="H62" s="587">
        <v>15073</v>
      </c>
      <c r="I62" s="587">
        <v>14880</v>
      </c>
      <c r="J62" s="587">
        <v>15942</v>
      </c>
      <c r="K62" s="587">
        <v>15392</v>
      </c>
      <c r="L62" s="587">
        <v>15616</v>
      </c>
      <c r="M62" s="587">
        <v>13414</v>
      </c>
      <c r="N62" s="587">
        <v>13821</v>
      </c>
      <c r="O62" s="587">
        <v>14190</v>
      </c>
      <c r="P62" s="587">
        <v>14214</v>
      </c>
      <c r="Q62" s="587">
        <v>14358</v>
      </c>
      <c r="R62" s="587">
        <v>10644</v>
      </c>
      <c r="S62" s="587">
        <v>10652</v>
      </c>
      <c r="T62" s="587">
        <v>10630</v>
      </c>
    </row>
    <row r="63" spans="1:20" ht="5.25" customHeight="1">
      <c r="A63" s="365"/>
      <c r="B63" s="559"/>
      <c r="C63" s="559"/>
      <c r="D63" s="555"/>
      <c r="E63" s="555"/>
      <c r="F63" s="555"/>
      <c r="G63" s="555"/>
      <c r="H63" s="579"/>
      <c r="I63" s="579"/>
      <c r="J63" s="579"/>
      <c r="K63" s="579"/>
      <c r="L63" s="579"/>
      <c r="M63" s="579"/>
      <c r="N63" s="579"/>
      <c r="O63" s="579"/>
      <c r="P63" s="579"/>
      <c r="Q63" s="579"/>
      <c r="R63" s="578"/>
      <c r="S63" s="559"/>
      <c r="T63" s="559"/>
    </row>
    <row r="64" spans="1:20" ht="18">
      <c r="A64" s="365"/>
      <c r="B64" s="554" t="s">
        <v>72</v>
      </c>
      <c r="C64" s="554"/>
      <c r="D64" s="559"/>
      <c r="E64" s="559"/>
      <c r="F64" s="559"/>
      <c r="G64" s="559"/>
      <c r="H64" s="579"/>
      <c r="I64" s="579"/>
      <c r="J64" s="579"/>
      <c r="K64" s="579"/>
      <c r="L64" s="579"/>
      <c r="M64" s="579"/>
      <c r="N64" s="579"/>
      <c r="O64" s="579"/>
      <c r="P64" s="579"/>
      <c r="Q64" s="579"/>
      <c r="R64" s="578"/>
      <c r="S64" s="559"/>
      <c r="T64" s="559"/>
    </row>
    <row r="65" spans="1:20" ht="18">
      <c r="A65" s="365"/>
      <c r="B65" s="554" t="s">
        <v>73</v>
      </c>
      <c r="C65" s="36"/>
      <c r="D65" s="559"/>
      <c r="E65" s="559"/>
      <c r="F65" s="559"/>
      <c r="G65" s="559"/>
      <c r="H65" s="579"/>
      <c r="I65" s="579"/>
      <c r="J65" s="579"/>
      <c r="K65" s="579"/>
      <c r="L65" s="579"/>
      <c r="M65" s="579"/>
      <c r="N65" s="579"/>
      <c r="O65" s="579"/>
      <c r="P65" s="579"/>
      <c r="Q65" s="579"/>
      <c r="R65" s="578"/>
      <c r="S65" s="559"/>
      <c r="T65" s="559"/>
    </row>
    <row r="66" spans="1:20" ht="18">
      <c r="A66" s="365"/>
      <c r="B66" s="559"/>
      <c r="C66" s="586"/>
      <c r="D66" s="586" t="s">
        <v>74</v>
      </c>
      <c r="E66" s="562">
        <v>76.900000000000006</v>
      </c>
      <c r="F66" s="562">
        <v>76.2</v>
      </c>
      <c r="G66" s="595">
        <v>75.599999999999994</v>
      </c>
      <c r="H66" s="596">
        <v>76.7</v>
      </c>
      <c r="I66" s="579">
        <v>76.5</v>
      </c>
      <c r="J66" s="579">
        <v>75.8</v>
      </c>
      <c r="K66" s="579">
        <v>75.7</v>
      </c>
      <c r="L66" s="579">
        <v>75.5</v>
      </c>
      <c r="M66" s="579">
        <v>75.8</v>
      </c>
      <c r="N66" s="579">
        <v>76</v>
      </c>
      <c r="O66" s="579">
        <v>76.2</v>
      </c>
      <c r="P66" s="579">
        <v>75.599999999999994</v>
      </c>
      <c r="Q66" s="579">
        <v>75.599999999999994</v>
      </c>
      <c r="R66" s="582">
        <v>75.599999999999994</v>
      </c>
      <c r="S66" s="583">
        <v>76</v>
      </c>
      <c r="T66" s="583">
        <v>75.8</v>
      </c>
    </row>
    <row r="67" spans="1:20" ht="18">
      <c r="A67" s="365"/>
      <c r="B67" s="559"/>
      <c r="C67" s="586"/>
      <c r="D67" s="586" t="s">
        <v>75</v>
      </c>
      <c r="E67" s="597">
        <v>51.5</v>
      </c>
      <c r="F67" s="597">
        <v>53</v>
      </c>
      <c r="G67" s="595">
        <v>55</v>
      </c>
      <c r="H67" s="596">
        <v>53.8</v>
      </c>
      <c r="I67" s="579">
        <v>56</v>
      </c>
      <c r="J67" s="579">
        <v>56.9</v>
      </c>
      <c r="K67" s="579">
        <v>56.4</v>
      </c>
      <c r="L67" s="579">
        <v>58</v>
      </c>
      <c r="M67" s="579">
        <v>59.2</v>
      </c>
      <c r="N67" s="579">
        <v>59.9</v>
      </c>
      <c r="O67" s="579">
        <v>60.6</v>
      </c>
      <c r="P67" s="579">
        <v>60.2</v>
      </c>
      <c r="Q67" s="579">
        <v>59.8</v>
      </c>
      <c r="R67" s="582">
        <v>61.6</v>
      </c>
      <c r="S67" s="583">
        <v>61.4</v>
      </c>
      <c r="T67" s="583">
        <v>61.8</v>
      </c>
    </row>
    <row r="68" spans="1:20" ht="18">
      <c r="A68" s="365"/>
      <c r="B68" s="559"/>
      <c r="C68" s="586"/>
      <c r="D68" s="586" t="s">
        <v>76</v>
      </c>
      <c r="E68" s="597">
        <v>63.5</v>
      </c>
      <c r="F68" s="597">
        <v>64</v>
      </c>
      <c r="G68" s="595">
        <v>64.7</v>
      </c>
      <c r="H68" s="596">
        <v>64.599999999999994</v>
      </c>
      <c r="I68" s="579">
        <v>65.8</v>
      </c>
      <c r="J68" s="579">
        <v>65.8</v>
      </c>
      <c r="K68" s="579">
        <v>65.599999999999994</v>
      </c>
      <c r="L68" s="579">
        <v>66.400000000000006</v>
      </c>
      <c r="M68" s="579">
        <v>67</v>
      </c>
      <c r="N68" s="579">
        <v>67.599999999999994</v>
      </c>
      <c r="O68" s="579">
        <v>68</v>
      </c>
      <c r="P68" s="579">
        <v>67.599999999999994</v>
      </c>
      <c r="Q68" s="579">
        <v>67.3</v>
      </c>
      <c r="R68" s="582">
        <v>68.3</v>
      </c>
      <c r="S68" s="583">
        <v>68.400000000000006</v>
      </c>
      <c r="T68" s="583">
        <v>68.5</v>
      </c>
    </row>
    <row r="69" spans="1:20" ht="4.5" customHeight="1">
      <c r="A69" s="365"/>
      <c r="B69" s="559"/>
      <c r="C69" s="559"/>
      <c r="D69" s="555"/>
      <c r="E69" s="555"/>
      <c r="F69" s="555"/>
      <c r="G69" s="555"/>
      <c r="H69" s="596"/>
      <c r="I69" s="579"/>
      <c r="J69" s="579"/>
      <c r="K69" s="579"/>
      <c r="L69" s="579"/>
      <c r="M69" s="579"/>
      <c r="N69" s="579"/>
      <c r="O69" s="579"/>
      <c r="P69" s="579"/>
      <c r="Q69" s="579"/>
      <c r="R69" s="578"/>
      <c r="S69" s="559"/>
      <c r="T69" s="559"/>
    </row>
    <row r="70" spans="1:20" ht="18">
      <c r="A70" s="365"/>
      <c r="B70" s="554" t="s">
        <v>77</v>
      </c>
      <c r="C70" s="36"/>
      <c r="D70" s="559"/>
      <c r="E70" s="559"/>
      <c r="F70" s="559"/>
      <c r="G70" s="559"/>
      <c r="H70" s="596"/>
      <c r="I70" s="579"/>
      <c r="J70" s="579"/>
      <c r="K70" s="579"/>
      <c r="L70" s="579"/>
      <c r="M70" s="579"/>
      <c r="N70" s="579"/>
      <c r="O70" s="579"/>
      <c r="P70" s="579"/>
      <c r="Q70" s="579"/>
      <c r="R70" s="578"/>
      <c r="S70" s="559"/>
      <c r="T70" s="559"/>
    </row>
    <row r="71" spans="1:20" ht="18">
      <c r="A71" s="365"/>
      <c r="B71" s="559"/>
      <c r="C71" s="555"/>
      <c r="D71" s="586" t="s">
        <v>78</v>
      </c>
      <c r="E71" s="565">
        <v>44.2</v>
      </c>
      <c r="F71" s="565">
        <v>44.7</v>
      </c>
      <c r="G71" s="565">
        <v>45.8</v>
      </c>
      <c r="H71" s="565">
        <v>45.5</v>
      </c>
      <c r="I71" s="579">
        <v>43.3</v>
      </c>
      <c r="J71" s="579">
        <v>41.4</v>
      </c>
      <c r="K71" s="579">
        <v>41.8</v>
      </c>
      <c r="L71" s="579">
        <v>40.9</v>
      </c>
      <c r="M71" s="579">
        <v>45.2</v>
      </c>
      <c r="N71" s="579">
        <v>44.9</v>
      </c>
      <c r="O71" s="579">
        <v>43.4</v>
      </c>
      <c r="P71" s="579">
        <v>41.4</v>
      </c>
      <c r="Q71" s="579">
        <v>40.700000000000003</v>
      </c>
      <c r="R71" s="582">
        <v>42</v>
      </c>
      <c r="S71" s="583">
        <v>41.9</v>
      </c>
      <c r="T71" s="583">
        <v>40.9</v>
      </c>
    </row>
    <row r="72" spans="1:20" ht="18">
      <c r="A72" s="365"/>
      <c r="B72" s="559"/>
      <c r="C72" s="555"/>
      <c r="D72" s="586" t="s">
        <v>79</v>
      </c>
      <c r="E72" s="565">
        <v>7.6</v>
      </c>
      <c r="F72" s="565">
        <v>7.9</v>
      </c>
      <c r="G72" s="565">
        <v>8</v>
      </c>
      <c r="H72" s="565">
        <v>8</v>
      </c>
      <c r="I72" s="579">
        <v>10.199999999999999</v>
      </c>
      <c r="J72" s="579">
        <v>11.2</v>
      </c>
      <c r="K72" s="579">
        <v>11.2</v>
      </c>
      <c r="L72" s="579">
        <v>11.6</v>
      </c>
      <c r="M72" s="579">
        <v>10</v>
      </c>
      <c r="N72" s="579">
        <v>10.4</v>
      </c>
      <c r="O72" s="579">
        <v>11.9</v>
      </c>
      <c r="P72" s="579">
        <v>12.8</v>
      </c>
      <c r="Q72" s="579">
        <v>13.3</v>
      </c>
      <c r="R72" s="582">
        <v>13.1</v>
      </c>
      <c r="S72" s="583">
        <v>13.3</v>
      </c>
      <c r="T72" s="583">
        <v>13.9</v>
      </c>
    </row>
    <row r="73" spans="1:20" ht="18">
      <c r="A73" s="365"/>
      <c r="B73" s="559"/>
      <c r="C73" s="555"/>
      <c r="D73" s="586" t="s">
        <v>80</v>
      </c>
      <c r="E73" s="565">
        <v>4.5</v>
      </c>
      <c r="F73" s="565">
        <v>4.2</v>
      </c>
      <c r="G73" s="565">
        <v>3.9</v>
      </c>
      <c r="H73" s="565">
        <v>4.2</v>
      </c>
      <c r="I73" s="579">
        <v>5.5</v>
      </c>
      <c r="J73" s="579">
        <v>5.7</v>
      </c>
      <c r="K73" s="579">
        <v>5.8</v>
      </c>
      <c r="L73" s="579">
        <v>6.7</v>
      </c>
      <c r="M73" s="579">
        <v>5.0999999999999996</v>
      </c>
      <c r="N73" s="579">
        <v>5.6</v>
      </c>
      <c r="O73" s="579">
        <v>5.6</v>
      </c>
      <c r="P73" s="579">
        <v>6</v>
      </c>
      <c r="Q73" s="579">
        <v>6.2</v>
      </c>
      <c r="R73" s="582">
        <v>6</v>
      </c>
      <c r="S73" s="583">
        <v>5.6</v>
      </c>
      <c r="T73" s="583">
        <v>5.9</v>
      </c>
    </row>
    <row r="74" spans="1:20" ht="18">
      <c r="A74" s="365"/>
      <c r="B74" s="559"/>
      <c r="C74" s="555"/>
      <c r="D74" s="586" t="s">
        <v>81</v>
      </c>
      <c r="E74" s="565">
        <v>1</v>
      </c>
      <c r="F74" s="565">
        <v>0.9</v>
      </c>
      <c r="G74" s="565">
        <v>1</v>
      </c>
      <c r="H74" s="565">
        <v>0.9</v>
      </c>
      <c r="I74" s="579">
        <v>0.7</v>
      </c>
      <c r="J74" s="579">
        <v>0.8</v>
      </c>
      <c r="K74" s="579">
        <v>0.8</v>
      </c>
      <c r="L74" s="579">
        <v>1</v>
      </c>
      <c r="M74" s="579">
        <v>0.9</v>
      </c>
      <c r="N74" s="579">
        <v>1</v>
      </c>
      <c r="O74" s="579">
        <v>0.9</v>
      </c>
      <c r="P74" s="579">
        <v>0.9</v>
      </c>
      <c r="Q74" s="579">
        <v>0.9</v>
      </c>
      <c r="R74" s="582">
        <v>0.8</v>
      </c>
      <c r="S74" s="598">
        <v>1</v>
      </c>
      <c r="T74" s="598">
        <v>0.9</v>
      </c>
    </row>
    <row r="75" spans="1:20" ht="18">
      <c r="A75" s="365"/>
      <c r="B75" s="559"/>
      <c r="C75" s="555"/>
      <c r="D75" s="586" t="s">
        <v>82</v>
      </c>
      <c r="E75" s="565">
        <v>0.5</v>
      </c>
      <c r="F75" s="565">
        <v>0.5</v>
      </c>
      <c r="G75" s="565">
        <v>0.6</v>
      </c>
      <c r="H75" s="565">
        <v>0.4</v>
      </c>
      <c r="I75" s="579">
        <v>0.4</v>
      </c>
      <c r="J75" s="579">
        <v>0.6</v>
      </c>
      <c r="K75" s="579">
        <v>0.5</v>
      </c>
      <c r="L75" s="579">
        <v>0.5</v>
      </c>
      <c r="M75" s="579">
        <v>0.6</v>
      </c>
      <c r="N75" s="579">
        <v>0.4</v>
      </c>
      <c r="O75" s="579">
        <v>0.4</v>
      </c>
      <c r="P75" s="579">
        <v>0.4</v>
      </c>
      <c r="Q75" s="579">
        <v>0.4</v>
      </c>
      <c r="R75" s="582">
        <v>0.3</v>
      </c>
      <c r="S75" s="598">
        <v>0.5</v>
      </c>
      <c r="T75" s="598">
        <v>0.7</v>
      </c>
    </row>
    <row r="76" spans="1:20" ht="18">
      <c r="A76" s="365"/>
      <c r="B76" s="559"/>
      <c r="C76" s="555"/>
      <c r="D76" s="559" t="s">
        <v>83</v>
      </c>
      <c r="E76" s="565">
        <v>1.7</v>
      </c>
      <c r="F76" s="565">
        <v>1.8</v>
      </c>
      <c r="G76" s="565">
        <v>1.9</v>
      </c>
      <c r="H76" s="565">
        <v>2.1</v>
      </c>
      <c r="I76" s="579">
        <v>1.7</v>
      </c>
      <c r="J76" s="579">
        <v>1.6</v>
      </c>
      <c r="K76" s="579">
        <v>1.4</v>
      </c>
      <c r="L76" s="579">
        <v>1.4</v>
      </c>
      <c r="M76" s="579">
        <v>1.7</v>
      </c>
      <c r="N76" s="579">
        <v>1.3</v>
      </c>
      <c r="O76" s="579">
        <v>1.6</v>
      </c>
      <c r="P76" s="579">
        <v>1.8</v>
      </c>
      <c r="Q76" s="579">
        <v>1.7</v>
      </c>
      <c r="R76" s="582">
        <v>1.7</v>
      </c>
      <c r="S76" s="598">
        <v>1.6</v>
      </c>
      <c r="T76" s="598">
        <v>1.8</v>
      </c>
    </row>
    <row r="77" spans="1:20" ht="18">
      <c r="A77" s="365"/>
      <c r="B77" s="559"/>
      <c r="C77" s="555"/>
      <c r="D77" s="559" t="s">
        <v>84</v>
      </c>
      <c r="E77" s="565">
        <v>4</v>
      </c>
      <c r="F77" s="565">
        <v>4</v>
      </c>
      <c r="G77" s="565">
        <v>3.5</v>
      </c>
      <c r="H77" s="565">
        <v>3.5</v>
      </c>
      <c r="I77" s="579">
        <v>4.0999999999999996</v>
      </c>
      <c r="J77" s="579">
        <v>4.5</v>
      </c>
      <c r="K77" s="579">
        <v>4.0999999999999996</v>
      </c>
      <c r="L77" s="579">
        <v>4.4000000000000004</v>
      </c>
      <c r="M77" s="579">
        <v>3.5</v>
      </c>
      <c r="N77" s="579">
        <v>4</v>
      </c>
      <c r="O77" s="579">
        <v>4.2</v>
      </c>
      <c r="P77" s="579">
        <v>4.3</v>
      </c>
      <c r="Q77" s="579">
        <v>4.0999999999999996</v>
      </c>
      <c r="R77" s="582">
        <v>4.5</v>
      </c>
      <c r="S77" s="598">
        <v>4.5</v>
      </c>
      <c r="T77" s="598">
        <v>4.3</v>
      </c>
    </row>
    <row r="78" spans="1:20" ht="18">
      <c r="A78" s="365"/>
      <c r="B78" s="559"/>
      <c r="C78" s="555"/>
      <c r="D78" s="559" t="s">
        <v>85</v>
      </c>
      <c r="E78" s="565">
        <v>36.5</v>
      </c>
      <c r="F78" s="565">
        <v>36</v>
      </c>
      <c r="G78" s="565">
        <v>35.299999999999997</v>
      </c>
      <c r="H78" s="565">
        <v>35.4</v>
      </c>
      <c r="I78" s="579">
        <v>34.200000000000003</v>
      </c>
      <c r="J78" s="579">
        <v>34.200000000000003</v>
      </c>
      <c r="K78" s="579">
        <v>34.4</v>
      </c>
      <c r="L78" s="579">
        <v>33.6</v>
      </c>
      <c r="M78" s="579">
        <v>33</v>
      </c>
      <c r="N78" s="579">
        <v>32.4</v>
      </c>
      <c r="O78" s="579">
        <v>32</v>
      </c>
      <c r="P78" s="579">
        <v>32.4</v>
      </c>
      <c r="Q78" s="579">
        <v>32.700000000000003</v>
      </c>
      <c r="R78" s="582">
        <v>31.7</v>
      </c>
      <c r="S78" s="598">
        <v>31.6</v>
      </c>
      <c r="T78" s="598">
        <v>31.5</v>
      </c>
    </row>
    <row r="79" spans="1:20" ht="5.25" customHeight="1">
      <c r="A79" s="365"/>
      <c r="B79" s="559"/>
      <c r="C79" s="559"/>
      <c r="D79" s="555"/>
      <c r="E79" s="555"/>
      <c r="F79" s="555"/>
      <c r="G79" s="555"/>
      <c r="H79" s="596"/>
      <c r="I79" s="579"/>
      <c r="J79" s="579"/>
      <c r="K79" s="579"/>
      <c r="L79" s="579"/>
      <c r="M79" s="579"/>
      <c r="N79" s="579"/>
      <c r="O79" s="579"/>
      <c r="P79" s="579"/>
      <c r="Q79" s="579"/>
      <c r="R79" s="578"/>
      <c r="S79" s="599"/>
      <c r="T79" s="599"/>
    </row>
    <row r="80" spans="1:20" ht="18.75">
      <c r="A80" s="365"/>
      <c r="B80" s="560" t="s">
        <v>51</v>
      </c>
      <c r="C80" s="555"/>
      <c r="D80" s="555"/>
      <c r="E80" s="587">
        <v>13660</v>
      </c>
      <c r="F80" s="587">
        <v>14440</v>
      </c>
      <c r="G80" s="587">
        <v>14527</v>
      </c>
      <c r="H80" s="557">
        <v>13936</v>
      </c>
      <c r="I80" s="556">
        <v>13850</v>
      </c>
      <c r="J80" s="556">
        <v>14660</v>
      </c>
      <c r="K80" s="556">
        <v>13968</v>
      </c>
      <c r="L80" s="556">
        <v>14075</v>
      </c>
      <c r="M80" s="556">
        <v>12152</v>
      </c>
      <c r="N80" s="556">
        <v>12263</v>
      </c>
      <c r="O80" s="556">
        <v>12447</v>
      </c>
      <c r="P80" s="556">
        <v>12361</v>
      </c>
      <c r="Q80" s="556">
        <v>12801</v>
      </c>
      <c r="R80" s="557">
        <v>9828</v>
      </c>
      <c r="S80" s="558">
        <v>9838</v>
      </c>
      <c r="T80" s="558">
        <v>9720</v>
      </c>
    </row>
    <row r="81" spans="1:20" ht="4.5" customHeight="1">
      <c r="A81" s="365"/>
      <c r="B81" s="559"/>
      <c r="C81" s="559"/>
      <c r="D81" s="555"/>
      <c r="E81" s="555"/>
      <c r="F81" s="555"/>
      <c r="G81" s="555"/>
      <c r="H81" s="579"/>
      <c r="I81" s="579"/>
      <c r="J81" s="579"/>
      <c r="K81" s="579"/>
      <c r="L81" s="579"/>
      <c r="M81" s="579"/>
      <c r="N81" s="579"/>
      <c r="O81" s="579"/>
      <c r="P81" s="579"/>
      <c r="Q81" s="579"/>
      <c r="R81" s="578"/>
      <c r="S81" s="555"/>
      <c r="T81" s="555"/>
    </row>
    <row r="82" spans="1:20" ht="18">
      <c r="A82" s="365"/>
      <c r="B82" s="554" t="s">
        <v>444</v>
      </c>
      <c r="C82" s="555"/>
      <c r="D82" s="559"/>
      <c r="E82" s="559"/>
      <c r="F82" s="559"/>
      <c r="G82" s="559"/>
      <c r="H82" s="579"/>
      <c r="I82" s="596"/>
      <c r="J82" s="596"/>
      <c r="K82" s="596"/>
      <c r="L82" s="596"/>
      <c r="M82" s="596"/>
      <c r="N82" s="596"/>
      <c r="O82" s="596"/>
      <c r="P82" s="596"/>
      <c r="Q82" s="596"/>
      <c r="R82" s="578"/>
      <c r="S82" s="568"/>
      <c r="T82" s="568"/>
    </row>
    <row r="83" spans="1:20" ht="18">
      <c r="A83" s="365"/>
      <c r="B83" s="554"/>
      <c r="C83" s="554" t="s">
        <v>445</v>
      </c>
      <c r="D83" s="555"/>
      <c r="E83" s="600" t="s">
        <v>7</v>
      </c>
      <c r="F83" s="600" t="s">
        <v>7</v>
      </c>
      <c r="G83" s="600" t="s">
        <v>7</v>
      </c>
      <c r="H83" s="600" t="s">
        <v>7</v>
      </c>
      <c r="I83" s="601">
        <v>10.83</v>
      </c>
      <c r="J83" s="601">
        <v>11.88</v>
      </c>
      <c r="K83" s="601">
        <v>11.64</v>
      </c>
      <c r="L83" s="601">
        <v>12.72</v>
      </c>
      <c r="M83" s="601">
        <v>14.35</v>
      </c>
      <c r="N83" s="601">
        <v>13.1</v>
      </c>
      <c r="O83" s="601">
        <v>11.02</v>
      </c>
      <c r="P83" s="601">
        <v>10.46</v>
      </c>
      <c r="Q83" s="601">
        <v>11.22</v>
      </c>
      <c r="R83" s="601">
        <v>9.86</v>
      </c>
      <c r="S83" s="602">
        <v>9.69</v>
      </c>
      <c r="T83" s="602">
        <v>11.7</v>
      </c>
    </row>
    <row r="84" spans="1:20" ht="4.5" customHeight="1">
      <c r="A84" s="365"/>
      <c r="B84" s="554"/>
      <c r="C84" s="559"/>
      <c r="D84" s="559"/>
      <c r="E84" s="559"/>
      <c r="F84" s="559"/>
      <c r="G84" s="559"/>
      <c r="H84" s="579"/>
      <c r="I84" s="596"/>
      <c r="J84" s="596"/>
      <c r="K84" s="596"/>
      <c r="L84" s="596"/>
      <c r="M84" s="596"/>
      <c r="N84" s="596"/>
      <c r="O84" s="596"/>
      <c r="P84" s="596"/>
      <c r="Q84" s="596"/>
      <c r="R84" s="578"/>
      <c r="S84" s="568"/>
      <c r="T84" s="568"/>
    </row>
    <row r="85" spans="1:20" ht="18.75">
      <c r="A85" s="365"/>
      <c r="B85" s="560" t="s">
        <v>51</v>
      </c>
      <c r="C85" s="555"/>
      <c r="D85" s="555"/>
      <c r="E85" s="600" t="s">
        <v>7</v>
      </c>
      <c r="F85" s="600" t="s">
        <v>7</v>
      </c>
      <c r="G85" s="600" t="s">
        <v>7</v>
      </c>
      <c r="H85" s="600" t="s">
        <v>7</v>
      </c>
      <c r="I85" s="603">
        <v>10817</v>
      </c>
      <c r="J85" s="603">
        <v>14463</v>
      </c>
      <c r="K85" s="603">
        <v>13780</v>
      </c>
      <c r="L85" s="603">
        <v>14011</v>
      </c>
      <c r="M85" s="603">
        <v>9264</v>
      </c>
      <c r="N85" s="603">
        <v>9324</v>
      </c>
      <c r="O85" s="603">
        <v>8679</v>
      </c>
      <c r="P85" s="603">
        <v>7580</v>
      </c>
      <c r="Q85" s="603">
        <v>8314</v>
      </c>
      <c r="R85" s="603">
        <v>9827</v>
      </c>
      <c r="S85" s="604">
        <v>10197</v>
      </c>
      <c r="T85" s="604">
        <v>9820</v>
      </c>
    </row>
    <row r="86" spans="1:20" ht="5.25" customHeight="1">
      <c r="A86" s="365"/>
      <c r="B86" s="559"/>
      <c r="C86" s="559"/>
      <c r="D86" s="559"/>
      <c r="E86" s="559"/>
      <c r="F86" s="559"/>
      <c r="G86" s="559"/>
      <c r="H86" s="579"/>
      <c r="I86" s="596"/>
      <c r="J86" s="596"/>
      <c r="K86" s="596"/>
      <c r="L86" s="596"/>
      <c r="M86" s="596"/>
      <c r="N86" s="596"/>
      <c r="O86" s="596"/>
      <c r="P86" s="596"/>
      <c r="Q86" s="596"/>
      <c r="R86" s="578"/>
      <c r="S86" s="568"/>
      <c r="T86" s="568"/>
    </row>
    <row r="87" spans="1:20" ht="18">
      <c r="A87" s="365"/>
      <c r="B87" s="554" t="s">
        <v>86</v>
      </c>
      <c r="C87" s="554"/>
      <c r="D87" s="559"/>
      <c r="E87" s="559"/>
      <c r="F87" s="559"/>
      <c r="G87" s="559"/>
      <c r="H87" s="579"/>
      <c r="I87" s="596"/>
      <c r="J87" s="596"/>
      <c r="K87" s="596"/>
      <c r="L87" s="596"/>
      <c r="M87" s="596"/>
      <c r="N87" s="596"/>
      <c r="O87" s="596"/>
      <c r="P87" s="596"/>
      <c r="Q87" s="596"/>
      <c r="R87" s="578"/>
      <c r="S87" s="568"/>
      <c r="T87" s="568"/>
    </row>
    <row r="88" spans="1:20" ht="18">
      <c r="A88" s="365"/>
      <c r="B88" s="554" t="s">
        <v>87</v>
      </c>
      <c r="C88" s="36"/>
      <c r="D88" s="559"/>
      <c r="E88" s="559"/>
      <c r="F88" s="559"/>
      <c r="G88" s="559"/>
      <c r="H88" s="579"/>
      <c r="I88" s="579"/>
      <c r="J88" s="579"/>
      <c r="K88" s="579"/>
      <c r="L88" s="579"/>
      <c r="M88" s="579"/>
      <c r="N88" s="579"/>
      <c r="O88" s="579"/>
      <c r="P88" s="579"/>
      <c r="Q88" s="579"/>
      <c r="R88" s="578"/>
      <c r="S88" s="555"/>
      <c r="T88" s="555"/>
    </row>
    <row r="89" spans="1:20" ht="18">
      <c r="A89" s="365"/>
      <c r="B89" s="559"/>
      <c r="C89" s="555"/>
      <c r="D89" s="559" t="s">
        <v>88</v>
      </c>
      <c r="E89" s="600" t="s">
        <v>7</v>
      </c>
      <c r="F89" s="600" t="s">
        <v>7</v>
      </c>
      <c r="G89" s="600" t="s">
        <v>7</v>
      </c>
      <c r="H89" s="579">
        <v>11</v>
      </c>
      <c r="I89" s="579">
        <v>10.5</v>
      </c>
      <c r="J89" s="579">
        <v>11.1</v>
      </c>
      <c r="K89" s="579">
        <v>11.9</v>
      </c>
      <c r="L89" s="579">
        <v>12</v>
      </c>
      <c r="M89" s="579">
        <v>12.3</v>
      </c>
      <c r="N89" s="579">
        <v>12.6</v>
      </c>
      <c r="O89" s="579">
        <v>11.3</v>
      </c>
      <c r="P89" s="579">
        <v>11</v>
      </c>
      <c r="Q89" s="579">
        <v>11.1</v>
      </c>
      <c r="R89" s="582">
        <v>9.3000000000000007</v>
      </c>
      <c r="S89" s="583">
        <v>11.3</v>
      </c>
      <c r="T89" s="583">
        <v>9.6999999999999993</v>
      </c>
    </row>
    <row r="90" spans="1:20" ht="18">
      <c r="A90" s="365"/>
      <c r="B90" s="559"/>
      <c r="C90" s="555"/>
      <c r="D90" s="559" t="s">
        <v>89</v>
      </c>
      <c r="E90" s="600" t="s">
        <v>7</v>
      </c>
      <c r="F90" s="600" t="s">
        <v>7</v>
      </c>
      <c r="G90" s="600" t="s">
        <v>7</v>
      </c>
      <c r="H90" s="579">
        <v>11.6</v>
      </c>
      <c r="I90" s="579">
        <v>11.5</v>
      </c>
      <c r="J90" s="579">
        <v>11.2</v>
      </c>
      <c r="K90" s="579">
        <v>11.6</v>
      </c>
      <c r="L90" s="579">
        <v>11.7</v>
      </c>
      <c r="M90" s="579">
        <v>11.7</v>
      </c>
      <c r="N90" s="579">
        <v>12.2</v>
      </c>
      <c r="O90" s="579">
        <v>11.8</v>
      </c>
      <c r="P90" s="579">
        <v>11.7</v>
      </c>
      <c r="Q90" s="579">
        <v>12.5</v>
      </c>
      <c r="R90" s="582">
        <v>11</v>
      </c>
      <c r="S90" s="605">
        <v>11.4</v>
      </c>
      <c r="T90" s="605">
        <v>11.3</v>
      </c>
    </row>
    <row r="91" spans="1:20" ht="18">
      <c r="A91" s="365"/>
      <c r="B91" s="559"/>
      <c r="C91" s="555"/>
      <c r="D91" s="559" t="s">
        <v>90</v>
      </c>
      <c r="E91" s="600" t="s">
        <v>7</v>
      </c>
      <c r="F91" s="600" t="s">
        <v>7</v>
      </c>
      <c r="G91" s="600" t="s">
        <v>7</v>
      </c>
      <c r="H91" s="579">
        <v>7.9</v>
      </c>
      <c r="I91" s="579">
        <v>7.6</v>
      </c>
      <c r="J91" s="579">
        <v>7.5</v>
      </c>
      <c r="K91" s="579">
        <v>7.7</v>
      </c>
      <c r="L91" s="579">
        <v>7.9</v>
      </c>
      <c r="M91" s="579">
        <v>7.7</v>
      </c>
      <c r="N91" s="579">
        <v>7.8</v>
      </c>
      <c r="O91" s="579">
        <v>8.4</v>
      </c>
      <c r="P91" s="579">
        <v>7.7</v>
      </c>
      <c r="Q91" s="579">
        <v>7.8</v>
      </c>
      <c r="R91" s="582">
        <v>7.8</v>
      </c>
      <c r="S91" s="605">
        <v>7.8</v>
      </c>
      <c r="T91" s="605">
        <v>7.6</v>
      </c>
    </row>
    <row r="92" spans="1:20" ht="18">
      <c r="A92" s="365"/>
      <c r="B92" s="559"/>
      <c r="C92" s="555"/>
      <c r="D92" s="559" t="s">
        <v>91</v>
      </c>
      <c r="E92" s="600" t="s">
        <v>7</v>
      </c>
      <c r="F92" s="600" t="s">
        <v>7</v>
      </c>
      <c r="G92" s="600" t="s">
        <v>7</v>
      </c>
      <c r="H92" s="579">
        <v>10.9</v>
      </c>
      <c r="I92" s="579">
        <v>10.6</v>
      </c>
      <c r="J92" s="579">
        <v>10.6</v>
      </c>
      <c r="K92" s="579">
        <v>12.1</v>
      </c>
      <c r="L92" s="579">
        <v>12.2</v>
      </c>
      <c r="M92" s="579">
        <v>13.9</v>
      </c>
      <c r="N92" s="579">
        <v>13.9</v>
      </c>
      <c r="O92" s="579">
        <v>14.1</v>
      </c>
      <c r="P92" s="579">
        <v>13.5</v>
      </c>
      <c r="Q92" s="579">
        <v>14.2</v>
      </c>
      <c r="R92" s="582">
        <v>13.7</v>
      </c>
      <c r="S92" s="605">
        <v>14.1</v>
      </c>
      <c r="T92" s="605">
        <v>13.6</v>
      </c>
    </row>
    <row r="93" spans="1:20" ht="18">
      <c r="A93" s="365"/>
      <c r="B93" s="559"/>
      <c r="C93" s="555"/>
      <c r="D93" s="559" t="s">
        <v>92</v>
      </c>
      <c r="E93" s="600" t="s">
        <v>7</v>
      </c>
      <c r="F93" s="600" t="s">
        <v>7</v>
      </c>
      <c r="G93" s="600" t="s">
        <v>7</v>
      </c>
      <c r="H93" s="579">
        <v>58.6</v>
      </c>
      <c r="I93" s="579">
        <v>59.7</v>
      </c>
      <c r="J93" s="579">
        <v>59.5</v>
      </c>
      <c r="K93" s="579">
        <v>56.7</v>
      </c>
      <c r="L93" s="579">
        <v>56.2</v>
      </c>
      <c r="M93" s="579">
        <v>54.4</v>
      </c>
      <c r="N93" s="579">
        <v>53.6</v>
      </c>
      <c r="O93" s="579">
        <v>54.5</v>
      </c>
      <c r="P93" s="579">
        <v>56.1</v>
      </c>
      <c r="Q93" s="579">
        <v>54.3</v>
      </c>
      <c r="R93" s="582">
        <v>58.2</v>
      </c>
      <c r="S93" s="605">
        <v>55.4</v>
      </c>
      <c r="T93" s="605">
        <v>57.7</v>
      </c>
    </row>
    <row r="94" spans="1:20" ht="4.5" customHeight="1">
      <c r="A94" s="365"/>
      <c r="B94" s="559"/>
      <c r="C94" s="559"/>
      <c r="D94" s="559"/>
      <c r="E94" s="559"/>
      <c r="F94" s="559"/>
      <c r="G94" s="559"/>
      <c r="H94" s="579"/>
      <c r="I94" s="579"/>
      <c r="J94" s="579"/>
      <c r="K94" s="579"/>
      <c r="L94" s="579"/>
      <c r="M94" s="579"/>
      <c r="N94" s="579"/>
      <c r="O94" s="579"/>
      <c r="P94" s="579"/>
      <c r="Q94" s="579"/>
      <c r="R94" s="582"/>
      <c r="S94" s="583"/>
      <c r="T94" s="583"/>
    </row>
    <row r="95" spans="1:20" ht="18">
      <c r="A95" s="365"/>
      <c r="B95" s="554" t="s">
        <v>93</v>
      </c>
      <c r="C95" s="36"/>
      <c r="D95" s="559"/>
      <c r="E95" s="559"/>
      <c r="F95" s="559"/>
      <c r="G95" s="559"/>
      <c r="H95" s="579"/>
      <c r="I95" s="579"/>
      <c r="J95" s="579"/>
      <c r="K95" s="579"/>
      <c r="L95" s="579"/>
      <c r="M95" s="579"/>
      <c r="N95" s="579"/>
      <c r="O95" s="579"/>
      <c r="P95" s="579"/>
      <c r="Q95" s="579"/>
      <c r="R95" s="578"/>
      <c r="S95" s="583"/>
      <c r="T95" s="583"/>
    </row>
    <row r="96" spans="1:20" ht="18">
      <c r="A96" s="365"/>
      <c r="B96" s="559"/>
      <c r="C96" s="555"/>
      <c r="D96" s="559" t="s">
        <v>88</v>
      </c>
      <c r="E96" s="600" t="s">
        <v>7</v>
      </c>
      <c r="F96" s="600" t="s">
        <v>7</v>
      </c>
      <c r="G96" s="600" t="s">
        <v>7</v>
      </c>
      <c r="H96" s="579">
        <v>1.6</v>
      </c>
      <c r="I96" s="579">
        <v>1.7</v>
      </c>
      <c r="J96" s="579">
        <v>1.8</v>
      </c>
      <c r="K96" s="579">
        <v>2</v>
      </c>
      <c r="L96" s="579">
        <v>2</v>
      </c>
      <c r="M96" s="579">
        <v>2</v>
      </c>
      <c r="N96" s="579">
        <v>2.2999999999999998</v>
      </c>
      <c r="O96" s="579">
        <v>2.1</v>
      </c>
      <c r="P96" s="579">
        <v>1.9</v>
      </c>
      <c r="Q96" s="579">
        <v>2</v>
      </c>
      <c r="R96" s="582">
        <v>2.5</v>
      </c>
      <c r="S96" s="583">
        <v>2.2000000000000002</v>
      </c>
      <c r="T96" s="583">
        <v>2.2000000000000002</v>
      </c>
    </row>
    <row r="97" spans="1:23" ht="18" customHeight="1">
      <c r="A97" s="365"/>
      <c r="B97" s="559"/>
      <c r="C97" s="555"/>
      <c r="D97" s="559" t="s">
        <v>89</v>
      </c>
      <c r="E97" s="600" t="s">
        <v>7</v>
      </c>
      <c r="F97" s="600" t="s">
        <v>7</v>
      </c>
      <c r="G97" s="600" t="s">
        <v>7</v>
      </c>
      <c r="H97" s="579">
        <v>1</v>
      </c>
      <c r="I97" s="579">
        <v>1.3</v>
      </c>
      <c r="J97" s="579">
        <v>1.6</v>
      </c>
      <c r="K97" s="579">
        <v>1.5</v>
      </c>
      <c r="L97" s="579">
        <v>1.6</v>
      </c>
      <c r="M97" s="579">
        <v>1.8</v>
      </c>
      <c r="N97" s="579">
        <v>2</v>
      </c>
      <c r="O97" s="579">
        <v>2.1</v>
      </c>
      <c r="P97" s="579">
        <v>1.9</v>
      </c>
      <c r="Q97" s="579">
        <v>2.2000000000000002</v>
      </c>
      <c r="R97" s="582">
        <v>2.4</v>
      </c>
      <c r="S97" s="605">
        <v>2.5</v>
      </c>
      <c r="T97" s="605">
        <v>2.1</v>
      </c>
    </row>
    <row r="98" spans="1:23" ht="18">
      <c r="A98" s="365"/>
      <c r="B98" s="559"/>
      <c r="C98" s="555"/>
      <c r="D98" s="559" t="s">
        <v>90</v>
      </c>
      <c r="E98" s="600" t="s">
        <v>7</v>
      </c>
      <c r="F98" s="600" t="s">
        <v>7</v>
      </c>
      <c r="G98" s="600" t="s">
        <v>7</v>
      </c>
      <c r="H98" s="579">
        <v>2</v>
      </c>
      <c r="I98" s="579">
        <v>2.5</v>
      </c>
      <c r="J98" s="579">
        <v>2.7</v>
      </c>
      <c r="K98" s="579">
        <v>2.6</v>
      </c>
      <c r="L98" s="579">
        <v>2.8</v>
      </c>
      <c r="M98" s="579">
        <v>3.2</v>
      </c>
      <c r="N98" s="579">
        <v>3.2</v>
      </c>
      <c r="O98" s="579">
        <v>3.7</v>
      </c>
      <c r="P98" s="579">
        <v>3.5</v>
      </c>
      <c r="Q98" s="579">
        <v>3.7</v>
      </c>
      <c r="R98" s="582">
        <v>4.2</v>
      </c>
      <c r="S98" s="605">
        <v>4</v>
      </c>
      <c r="T98" s="605">
        <v>5</v>
      </c>
    </row>
    <row r="99" spans="1:23" ht="18">
      <c r="A99" s="365"/>
      <c r="B99" s="559"/>
      <c r="C99" s="555"/>
      <c r="D99" s="559" t="s">
        <v>91</v>
      </c>
      <c r="E99" s="600" t="s">
        <v>7</v>
      </c>
      <c r="F99" s="600" t="s">
        <v>7</v>
      </c>
      <c r="G99" s="600" t="s">
        <v>7</v>
      </c>
      <c r="H99" s="579">
        <v>10.4</v>
      </c>
      <c r="I99" s="579">
        <v>11.4</v>
      </c>
      <c r="J99" s="579">
        <v>12.3</v>
      </c>
      <c r="K99" s="579">
        <v>14.3</v>
      </c>
      <c r="L99" s="579">
        <v>13.7</v>
      </c>
      <c r="M99" s="579">
        <v>16.3</v>
      </c>
      <c r="N99" s="579">
        <v>16.399999999999999</v>
      </c>
      <c r="O99" s="579">
        <v>15.9</v>
      </c>
      <c r="P99" s="579">
        <v>17.3</v>
      </c>
      <c r="Q99" s="579">
        <v>17.899999999999999</v>
      </c>
      <c r="R99" s="582">
        <v>19.100000000000001</v>
      </c>
      <c r="S99" s="605">
        <v>19.5</v>
      </c>
      <c r="T99" s="605">
        <v>21.2</v>
      </c>
    </row>
    <row r="100" spans="1:23" ht="18">
      <c r="A100" s="365"/>
      <c r="B100" s="559"/>
      <c r="C100" s="555"/>
      <c r="D100" s="559" t="s">
        <v>92</v>
      </c>
      <c r="E100" s="600" t="s">
        <v>7</v>
      </c>
      <c r="F100" s="600" t="s">
        <v>7</v>
      </c>
      <c r="G100" s="600" t="s">
        <v>7</v>
      </c>
      <c r="H100" s="579">
        <v>84.9</v>
      </c>
      <c r="I100" s="579">
        <v>83.1</v>
      </c>
      <c r="J100" s="579">
        <v>81.599999999999994</v>
      </c>
      <c r="K100" s="579">
        <v>79.5</v>
      </c>
      <c r="L100" s="579">
        <v>79.8</v>
      </c>
      <c r="M100" s="579">
        <v>76.599999999999994</v>
      </c>
      <c r="N100" s="579">
        <v>76.099999999999994</v>
      </c>
      <c r="O100" s="579">
        <v>76.2</v>
      </c>
      <c r="P100" s="579">
        <v>75.5</v>
      </c>
      <c r="Q100" s="579">
        <v>74.2</v>
      </c>
      <c r="R100" s="582">
        <v>71.8</v>
      </c>
      <c r="S100" s="605">
        <v>71.8</v>
      </c>
      <c r="T100" s="605">
        <v>69.5</v>
      </c>
    </row>
    <row r="101" spans="1:23" ht="5.25" customHeight="1">
      <c r="A101" s="365"/>
      <c r="B101" s="559"/>
      <c r="C101" s="559"/>
      <c r="D101" s="555"/>
      <c r="E101" s="555"/>
      <c r="F101" s="555"/>
      <c r="G101" s="555"/>
      <c r="H101" s="579"/>
      <c r="I101" s="579"/>
      <c r="J101" s="579"/>
      <c r="K101" s="579"/>
      <c r="L101" s="579"/>
      <c r="M101" s="579"/>
      <c r="N101" s="579"/>
      <c r="O101" s="579"/>
      <c r="P101" s="579"/>
      <c r="Q101" s="579"/>
      <c r="R101" s="578"/>
      <c r="S101" s="559"/>
      <c r="T101" s="559"/>
    </row>
    <row r="102" spans="1:23" ht="18.75">
      <c r="A102" s="365"/>
      <c r="B102" s="560" t="s">
        <v>94</v>
      </c>
      <c r="C102" s="555"/>
      <c r="D102" s="555"/>
      <c r="E102" s="600" t="s">
        <v>7</v>
      </c>
      <c r="F102" s="600" t="s">
        <v>7</v>
      </c>
      <c r="G102" s="600" t="s">
        <v>7</v>
      </c>
      <c r="H102" s="556">
        <v>14037</v>
      </c>
      <c r="I102" s="556">
        <v>13960</v>
      </c>
      <c r="J102" s="556">
        <v>14774</v>
      </c>
      <c r="K102" s="556">
        <v>14063</v>
      </c>
      <c r="L102" s="556">
        <v>14183</v>
      </c>
      <c r="M102" s="556">
        <v>12118</v>
      </c>
      <c r="N102" s="556">
        <v>12298</v>
      </c>
      <c r="O102" s="556">
        <v>12517</v>
      </c>
      <c r="P102" s="556">
        <v>12422</v>
      </c>
      <c r="Q102" s="556">
        <v>12888</v>
      </c>
      <c r="R102" s="557">
        <v>9893</v>
      </c>
      <c r="S102" s="558">
        <v>9918</v>
      </c>
      <c r="T102" s="558">
        <v>9800</v>
      </c>
    </row>
    <row r="103" spans="1:23" ht="4.5" customHeight="1" thickBot="1">
      <c r="A103" s="361"/>
      <c r="B103" s="361"/>
      <c r="C103" s="361"/>
      <c r="D103" s="362"/>
      <c r="E103" s="362"/>
      <c r="F103" s="362"/>
      <c r="G103" s="362"/>
      <c r="H103" s="363"/>
      <c r="I103" s="363"/>
      <c r="J103" s="363"/>
      <c r="K103" s="363"/>
      <c r="L103" s="363"/>
      <c r="M103" s="363"/>
      <c r="N103" s="363"/>
      <c r="O103" s="363"/>
      <c r="P103" s="363"/>
      <c r="Q103" s="363"/>
      <c r="R103" s="363"/>
      <c r="S103" s="368"/>
      <c r="T103" s="368"/>
    </row>
    <row r="104" spans="1:23">
      <c r="A104" s="34" t="s">
        <v>446</v>
      </c>
      <c r="C104" s="355"/>
      <c r="D104" s="355"/>
      <c r="E104" s="355"/>
      <c r="F104" s="355"/>
      <c r="G104" s="355"/>
      <c r="H104" s="355"/>
      <c r="I104" s="355"/>
      <c r="J104" s="355"/>
      <c r="K104" s="355"/>
      <c r="L104" s="355"/>
      <c r="M104" s="355"/>
      <c r="N104" s="355"/>
      <c r="O104" s="355"/>
      <c r="P104" s="355"/>
      <c r="Q104" s="355"/>
      <c r="R104" s="38"/>
      <c r="S104" s="360"/>
    </row>
    <row r="105" spans="1:23">
      <c r="A105" s="355" t="s">
        <v>95</v>
      </c>
      <c r="B105" s="355"/>
      <c r="C105" s="355"/>
      <c r="D105" s="355"/>
      <c r="E105" s="355"/>
      <c r="F105" s="355"/>
      <c r="G105" s="355"/>
      <c r="H105" s="355"/>
      <c r="I105" s="355"/>
      <c r="J105" s="355"/>
      <c r="K105" s="355"/>
      <c r="L105" s="355"/>
      <c r="M105" s="355"/>
      <c r="N105" s="355"/>
      <c r="O105" s="355"/>
      <c r="P105" s="355"/>
      <c r="Q105" s="355"/>
      <c r="S105" s="360"/>
    </row>
    <row r="106" spans="1:23">
      <c r="A106" s="38" t="s">
        <v>447</v>
      </c>
      <c r="B106" s="355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S106" s="364"/>
      <c r="T106" s="38"/>
      <c r="U106" s="354"/>
      <c r="V106" s="38"/>
      <c r="W106" s="354"/>
    </row>
    <row r="107" spans="1:23">
      <c r="A107" s="34" t="s">
        <v>448</v>
      </c>
    </row>
  </sheetData>
  <pageMargins left="0.6" right="0.22" top="0.59055118110236227" bottom="0.59055118110236227" header="0.51181102362204722" footer="0.51181102362204722"/>
  <pageSetup paperSize="9" scale="4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79"/>
  <sheetViews>
    <sheetView topLeftCell="A22" zoomScale="75" zoomScaleNormal="75" workbookViewId="0">
      <selection activeCell="N28" sqref="N28"/>
    </sheetView>
  </sheetViews>
  <sheetFormatPr defaultColWidth="11.42578125" defaultRowHeight="15"/>
  <cols>
    <col min="1" max="1" width="4.5703125" style="2" customWidth="1"/>
    <col min="2" max="2" width="30.140625" style="2" customWidth="1"/>
    <col min="3" max="3" width="10.7109375" style="2" hidden="1" customWidth="1"/>
    <col min="4" max="8" width="10.7109375" style="2" customWidth="1"/>
    <col min="9" max="9" width="11" style="2" customWidth="1"/>
    <col min="10" max="11" width="10.7109375" style="2" customWidth="1"/>
    <col min="12" max="12" width="11.140625" style="2" customWidth="1"/>
    <col min="13" max="13" width="10" style="2" customWidth="1"/>
    <col min="14" max="16384" width="11.42578125" style="2"/>
  </cols>
  <sheetData>
    <row r="1" spans="1:25" ht="20.25">
      <c r="A1" s="39" t="s">
        <v>250</v>
      </c>
      <c r="N1" s="549" t="s">
        <v>461</v>
      </c>
    </row>
    <row r="2" spans="1:25" ht="6" customHeight="1">
      <c r="A2" s="5"/>
      <c r="B2" s="5"/>
    </row>
    <row r="3" spans="1:25" ht="18">
      <c r="A3" s="40"/>
      <c r="B3" s="40"/>
      <c r="C3" s="40">
        <v>2002</v>
      </c>
      <c r="D3" s="40">
        <v>2003</v>
      </c>
      <c r="E3" s="40">
        <v>2004</v>
      </c>
      <c r="F3" s="40">
        <v>2005</v>
      </c>
      <c r="G3" s="40">
        <v>2006</v>
      </c>
      <c r="H3" s="40">
        <v>2007</v>
      </c>
      <c r="I3" s="40">
        <v>2008</v>
      </c>
      <c r="J3" s="40">
        <v>2009</v>
      </c>
      <c r="K3" s="40">
        <v>2010</v>
      </c>
      <c r="L3" s="40">
        <v>2011</v>
      </c>
      <c r="M3" s="40">
        <v>2012</v>
      </c>
      <c r="N3" s="40">
        <v>2013</v>
      </c>
      <c r="O3" s="40">
        <v>2014</v>
      </c>
    </row>
    <row r="4" spans="1:25" ht="6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25" ht="18.75">
      <c r="A5" s="42" t="s">
        <v>96</v>
      </c>
      <c r="B5" s="43"/>
      <c r="C5" s="41"/>
      <c r="D5" s="41"/>
      <c r="E5" s="44"/>
      <c r="F5" s="41"/>
      <c r="G5" s="44"/>
      <c r="H5" s="44"/>
      <c r="I5" s="44"/>
      <c r="J5" s="44"/>
      <c r="K5" s="44"/>
      <c r="L5" s="44"/>
      <c r="M5" s="44"/>
      <c r="O5" s="44" t="s">
        <v>5</v>
      </c>
    </row>
    <row r="6" spans="1:25" ht="6" customHeight="1">
      <c r="A6" s="45"/>
      <c r="B6" s="45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25" ht="18">
      <c r="A7" s="46" t="s">
        <v>97</v>
      </c>
      <c r="B7" s="47"/>
      <c r="C7" s="48"/>
      <c r="D7" s="48"/>
      <c r="E7" s="41"/>
      <c r="F7" s="41"/>
      <c r="G7" s="41"/>
      <c r="H7" s="41"/>
      <c r="I7" s="41"/>
      <c r="J7" s="41"/>
      <c r="K7" s="41"/>
      <c r="L7" s="41"/>
      <c r="M7" s="41"/>
    </row>
    <row r="8" spans="1:25" ht="18">
      <c r="A8" s="45"/>
      <c r="B8" s="49" t="s">
        <v>98</v>
      </c>
      <c r="C8" s="50">
        <f>'cross border - additional table'!H10</f>
        <v>4.8540000000000001</v>
      </c>
      <c r="D8" s="50">
        <f>'cross border - additional table'!I10</f>
        <v>5.0069999999999997</v>
      </c>
      <c r="E8" s="50">
        <f>'cross border - additional table'!J10</f>
        <v>4.8802870000000009</v>
      </c>
      <c r="F8" s="50">
        <f>'cross border - additional table'!K10</f>
        <v>5.2</v>
      </c>
      <c r="G8" s="50">
        <f>'cross border - additional table'!L10</f>
        <v>5.5758989999999997</v>
      </c>
      <c r="H8" s="50">
        <f>'cross border - additional table'!M10</f>
        <v>5.8076989999999995</v>
      </c>
      <c r="I8" s="50">
        <f>'cross border - additional table'!N10</f>
        <v>6.1290293474599906</v>
      </c>
      <c r="J8" s="50">
        <f>'cross border - additional table'!O10</f>
        <v>6.6411821897600287</v>
      </c>
      <c r="K8" s="50">
        <f>'cross border - additional table'!P10</f>
        <v>7.333311773900002</v>
      </c>
      <c r="L8" s="50">
        <f>'cross border - additional table'!Q10</f>
        <v>7.5907840000000011</v>
      </c>
      <c r="M8" s="50">
        <f>'cross border - additional table'!R10</f>
        <v>7.742928</v>
      </c>
      <c r="N8" s="50">
        <f>'cross border - additional table'!S10</f>
        <v>7.9766599999999999</v>
      </c>
      <c r="O8" s="50" t="s">
        <v>7</v>
      </c>
      <c r="P8" s="304"/>
      <c r="Q8" s="304"/>
      <c r="R8" s="304"/>
      <c r="S8" s="304"/>
      <c r="T8" s="304"/>
      <c r="U8" s="304"/>
      <c r="V8" s="304"/>
      <c r="W8" s="304"/>
      <c r="X8" s="304"/>
      <c r="Y8" s="305"/>
    </row>
    <row r="9" spans="1:25" ht="21">
      <c r="A9" s="337"/>
      <c r="B9" s="338" t="s">
        <v>251</v>
      </c>
      <c r="C9" s="339">
        <f>'cross border - additional table'!H13/1000</f>
        <v>11.513</v>
      </c>
      <c r="D9" s="339">
        <f>'cross border - additional table'!I13/1000</f>
        <v>12.384663</v>
      </c>
      <c r="E9" s="339">
        <f>'cross border - additional table'!J13/1000</f>
        <v>12.876353</v>
      </c>
      <c r="F9" s="339">
        <f>'cross border - additional table'!K13/1000</f>
        <v>13.161129000000001</v>
      </c>
      <c r="G9" s="339">
        <f>'cross border - additional table'!L13/1000</f>
        <v>12.961694999999999</v>
      </c>
      <c r="H9" s="339">
        <f>'cross border - additional table'!M13/1000</f>
        <v>12.873272999999999</v>
      </c>
      <c r="I9" s="339">
        <f>'cross border - additional table'!N13/1000</f>
        <v>12.067626000000001</v>
      </c>
      <c r="J9" s="339">
        <f>'cross border - additional table'!O13/1000</f>
        <v>10.889736000000001</v>
      </c>
      <c r="K9" s="339">
        <f>'cross border - additional table'!P13/1000</f>
        <v>9.8298240000000003</v>
      </c>
      <c r="L9" s="339">
        <f>'cross border - additional table'!Q13/1000</f>
        <v>10.120880999999999</v>
      </c>
      <c r="M9" s="339">
        <f>'cross border - additional table'!R13/1000</f>
        <v>10.051195</v>
      </c>
      <c r="N9" s="339">
        <f>'cross border - additional table'!S13/1000</f>
        <v>10.304103</v>
      </c>
      <c r="O9" s="339">
        <f>'cross border - additional table'!T13/1000</f>
        <v>10.565861</v>
      </c>
    </row>
    <row r="10" spans="1:25" ht="21">
      <c r="A10" s="337"/>
      <c r="B10" s="338" t="s">
        <v>252</v>
      </c>
      <c r="C10" s="340">
        <f>IF(ISERR('cross border - additional table'!H25/1000),"..",IF(('cross border - additional table'!H25/1000)=0,"-",('cross border - additional table'!H25/1000)))</f>
        <v>2.2839999999999998</v>
      </c>
      <c r="D10" s="340">
        <f>IF(ISERR('cross border - additional table'!I25/1000),"..",IF(('cross border - additional table'!I25/1000)=0,"-",('cross border - additional table'!I25/1000)))</f>
        <v>2.4300000000000002</v>
      </c>
      <c r="E10" s="340">
        <f>IF(ISERR('cross border - additional table'!J25/1000),"..",IF(('cross border - additional table'!J25/1000)=0,"-",('cross border - additional table'!J25/1000)))</f>
        <v>2.3370000000000002</v>
      </c>
      <c r="F10" s="340">
        <f>IF(ISERR('cross border - additional table'!K25/1000),"..",IF(('cross border - additional table'!K25/1000)=0,"-",('cross border - additional table'!K25/1000)))</f>
        <v>2.0510000000000002</v>
      </c>
      <c r="G10" s="340">
        <f>IF(ISERR('cross border - additional table'!L25/1000),"..",IF(('cross border - additional table'!L25/1000)=0,"-",('cross border - additional table'!L25/1000)))</f>
        <v>2.0150000000000001</v>
      </c>
      <c r="H10" s="340">
        <f>IF(ISERR('cross border - additional table'!M25/1000),"..",IF(('cross border - additional table'!M25/1000)=0,"-",('cross border - additional table'!M25/1000)))</f>
        <v>2.0939999999999999</v>
      </c>
      <c r="I10" s="340">
        <f>IF(ISERR('cross border - additional table'!N25/1000),"..",IF(('cross border - additional table'!N25/1000)=0,"-",('cross border - additional table'!N25/1000)))</f>
        <v>1.9379999999999999</v>
      </c>
      <c r="J10" s="340">
        <f>IF(ISERR('cross border - additional table'!O25/1000),"..",IF(('cross border - additional table'!O25/1000)=0,"-",('cross border - additional table'!O25/1000)))</f>
        <v>1.9159999999999999</v>
      </c>
      <c r="K10" s="340">
        <f>IF(ISERR('cross border - additional table'!P25/1000),"..",IF(('cross border - additional table'!P25/1000)=0,"-",('cross border - additional table'!P25/1000)))</f>
        <v>1.92</v>
      </c>
      <c r="L10" s="340">
        <f>IF(ISERR('cross border - additional table'!Q25/1000),"..",IF(('cross border - additional table'!Q25/1000)=0,"-",('cross border - additional table'!Q25/1000)))</f>
        <v>1.857745</v>
      </c>
      <c r="M10" s="340">
        <f>IF(ISERR('cross border - additional table'!R25/1000),"..",IF(('cross border - additional table'!R25/1000)=0,"-",('cross border - additional table'!R25/1000)))</f>
        <v>1.809415</v>
      </c>
      <c r="N10" s="340">
        <f>IF(ISERR('cross border - additional table'!S25/1000),"..",IF(('cross border - additional table'!S25/1000)=0,"-",('cross border - additional table'!S25/1000)))</f>
        <v>1.831</v>
      </c>
      <c r="O10" s="340">
        <f>IF(ISERR('cross border - additional table'!T25/1000),"..",IF(('cross border - additional table'!T25/1000)=0,"-",('cross border - additional table'!T25/1000)))</f>
        <v>1.79416</v>
      </c>
    </row>
    <row r="11" spans="1:25" ht="18">
      <c r="A11" s="337"/>
      <c r="B11" s="338" t="s">
        <v>99</v>
      </c>
      <c r="C11" s="340">
        <f t="shared" ref="C11:M11" si="0">IF(ISERR(C8+C9+C10),"..",IF((C8+C9+C10)=0,"-",(C8+C9+C10)))</f>
        <v>18.651</v>
      </c>
      <c r="D11" s="340">
        <f t="shared" si="0"/>
        <v>19.821663000000001</v>
      </c>
      <c r="E11" s="340">
        <f t="shared" si="0"/>
        <v>20.093640000000001</v>
      </c>
      <c r="F11" s="340">
        <f t="shared" si="0"/>
        <v>20.412129</v>
      </c>
      <c r="G11" s="340">
        <f t="shared" si="0"/>
        <v>20.552593999999999</v>
      </c>
      <c r="H11" s="340">
        <f t="shared" si="0"/>
        <v>20.774971999999998</v>
      </c>
      <c r="I11" s="340">
        <f t="shared" si="0"/>
        <v>20.13465534745999</v>
      </c>
      <c r="J11" s="340">
        <f t="shared" si="0"/>
        <v>19.44691818976003</v>
      </c>
      <c r="K11" s="340">
        <f t="shared" si="0"/>
        <v>19.083135773900004</v>
      </c>
      <c r="L11" s="340">
        <f t="shared" si="0"/>
        <v>19.569410000000001</v>
      </c>
      <c r="M11" s="340">
        <f t="shared" si="0"/>
        <v>19.603538</v>
      </c>
      <c r="N11" s="340">
        <f>IF(ISERR(N8+N9+N10),"..",IF((N8+N9+N10)=0,"-",(N8+N9+N10)))</f>
        <v>20.111763</v>
      </c>
      <c r="O11" s="340" t="str">
        <f>IF(ISERR(O8+O9+O10),"..",IF((O8+O9+O10)=0,"-",(O8+O9+O10)))</f>
        <v>..</v>
      </c>
    </row>
    <row r="12" spans="1:25" ht="6" customHeight="1">
      <c r="A12" s="337"/>
      <c r="B12" s="337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</row>
    <row r="13" spans="1:25" ht="18">
      <c r="A13" s="342" t="s">
        <v>100</v>
      </c>
      <c r="B13" s="337"/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</row>
    <row r="14" spans="1:25" ht="21">
      <c r="A14" s="337"/>
      <c r="B14" s="338" t="s">
        <v>253</v>
      </c>
      <c r="C14" s="339">
        <f>'cross border - additional table'!H20/1000</f>
        <v>6.625</v>
      </c>
      <c r="D14" s="339">
        <f>'cross border - additional table'!I20/1000</f>
        <v>7.1346249999999989</v>
      </c>
      <c r="E14" s="339">
        <f>'cross border - additional table'!J20/1000</f>
        <v>8.1240079999999999</v>
      </c>
      <c r="F14" s="339">
        <f>'cross border - additional table'!K20/1000</f>
        <v>8.9742949999999997</v>
      </c>
      <c r="G14" s="339">
        <f>'cross border - additional table'!L20/1000</f>
        <v>9.6707839999999994</v>
      </c>
      <c r="H14" s="339">
        <f>'cross border - additional table'!M20/1000</f>
        <v>10.354806999999999</v>
      </c>
      <c r="I14" s="339">
        <f>'cross border - additional table'!N20/1000</f>
        <v>10.352437</v>
      </c>
      <c r="J14" s="339">
        <f>'cross border - additional table'!O20/1000</f>
        <v>9.7399050000000003</v>
      </c>
      <c r="K14" s="339">
        <f>'cross border - additional table'!P20/1000</f>
        <v>9.2690229999999989</v>
      </c>
      <c r="L14" s="339">
        <f>'cross border - additional table'!Q20/1000</f>
        <v>10.062138999999998</v>
      </c>
      <c r="M14" s="339">
        <f>'cross border - additional table'!R20/1000</f>
        <v>10.213658000000001</v>
      </c>
      <c r="N14" s="339">
        <f>'cross border - additional table'!S20/1000</f>
        <v>10.859001000000001</v>
      </c>
      <c r="O14" s="339">
        <f>'cross border - additional table'!T20/1000</f>
        <v>11.246581999999998</v>
      </c>
    </row>
    <row r="15" spans="1:25" ht="21">
      <c r="A15" s="337"/>
      <c r="B15" s="338" t="s">
        <v>254</v>
      </c>
      <c r="C15" s="340">
        <f>IF(ISERR('cross border - additional table'!H27/1000),"..",IF(('cross border - additional table'!H27/1000)=0,"-",('cross border - additional table'!H27/1000)))</f>
        <v>0.111875</v>
      </c>
      <c r="D15" s="340">
        <f>IF(ISERR('cross border - additional table'!I27/1000),"..",IF(('cross border - additional table'!I27/1000)=0,"-",('cross border - additional table'!I27/1000)))</f>
        <v>0.20758699999999999</v>
      </c>
      <c r="E15" s="340">
        <f>IF(ISERR('cross border - additional table'!J27/1000),"..",IF(('cross border - additional table'!J27/1000)=0,"-",('cross border - additional table'!J27/1000)))</f>
        <v>0.20699999999999999</v>
      </c>
      <c r="F15" s="340">
        <f>IF(ISERR('cross border - additional table'!K27/1000),"..",IF(('cross border - additional table'!K27/1000)=0,"-",('cross border - additional table'!K27/1000)))</f>
        <v>0.194323</v>
      </c>
      <c r="G15" s="340">
        <f>IF(ISERR('cross border - additional table'!L27/1000),"..",IF(('cross border - additional table'!L27/1000)=0,"-",('cross border - additional table'!L27/1000)))</f>
        <v>0.121</v>
      </c>
      <c r="H15" s="340">
        <f>IF(ISERR('cross border - additional table'!M27/1000),"..",IF(('cross border - additional table'!M27/1000)=0,"-",('cross border - additional table'!M27/1000)))</f>
        <v>0.111</v>
      </c>
      <c r="I15" s="340">
        <f>IF(ISERR('cross border - additional table'!N27/1000),"..",IF(('cross border - additional table'!N27/1000)=0,"-",('cross border - additional table'!N27/1000)))</f>
        <v>7.4999999999999997E-2</v>
      </c>
      <c r="J15" s="340">
        <f>IF(ISERR('cross border - additional table'!O27/1000),"..",IF(('cross border - additional table'!O27/1000)=0,"-",('cross border - additional table'!O27/1000)))</f>
        <v>3.1E-2</v>
      </c>
      <c r="K15" s="340">
        <f>IF(ISERR('cross border - additional table'!P27/1000),"..",IF(('cross border - additional table'!P27/1000)=0,"-",('cross border - additional table'!P27/1000)))</f>
        <v>5.4016000000000002E-2</v>
      </c>
      <c r="L15" s="696">
        <f>IF(ISERR('cross border - additional table'!Q27/1000),"..",IF(('cross border - additional table'!Q27/1000)=0,"0",('cross border - additional table'!Q27/1000)))</f>
        <v>5.6299999999999992E-4</v>
      </c>
      <c r="M15" s="696">
        <f>IF(ISERR('cross border - additional table'!R27/1000),"..",IF(('cross border - additional table'!R27/1000)=0,"0",('cross border - additional table'!R27/1000)))</f>
        <v>7.0599999999999992E-4</v>
      </c>
      <c r="N15" s="696">
        <f>IF(ISERR('cross border - additional table'!S27/1000),"..",IF(('cross border - additional table'!S27/1000)=0,"0",('cross border - additional table'!S27/1000)))</f>
        <v>6.8600000000000009E-4</v>
      </c>
      <c r="O15" s="696">
        <f>IF(ISERR('cross border - additional table'!T27/1000),"..",IF(('cross border - additional table'!T27/1000)=0,"0",('cross border - additional table'!T27/1000)))</f>
        <v>6.730000000000001E-4</v>
      </c>
    </row>
    <row r="16" spans="1:25" ht="18">
      <c r="A16" s="337"/>
      <c r="B16" s="338" t="s">
        <v>99</v>
      </c>
      <c r="C16" s="340">
        <f t="shared" ref="C16:M16" si="1">IF(ISERR(C14+C15),"..",IF((C14+C15)=0,"-",(C14+C15)))</f>
        <v>6.7368750000000004</v>
      </c>
      <c r="D16" s="340">
        <f t="shared" si="1"/>
        <v>7.3422119999999991</v>
      </c>
      <c r="E16" s="340">
        <f t="shared" si="1"/>
        <v>8.3310080000000006</v>
      </c>
      <c r="F16" s="340">
        <f t="shared" si="1"/>
        <v>9.1686180000000004</v>
      </c>
      <c r="G16" s="340">
        <f t="shared" si="1"/>
        <v>9.7917839999999998</v>
      </c>
      <c r="H16" s="340">
        <f t="shared" si="1"/>
        <v>10.465807</v>
      </c>
      <c r="I16" s="340">
        <f t="shared" si="1"/>
        <v>10.427436999999999</v>
      </c>
      <c r="J16" s="340">
        <f t="shared" si="1"/>
        <v>9.7709050000000008</v>
      </c>
      <c r="K16" s="340">
        <f t="shared" si="1"/>
        <v>9.3230389999999996</v>
      </c>
      <c r="L16" s="340">
        <f t="shared" si="1"/>
        <v>10.062701999999998</v>
      </c>
      <c r="M16" s="340">
        <f t="shared" si="1"/>
        <v>10.214364</v>
      </c>
      <c r="N16" s="340">
        <f>IF(ISERR(N14+N15),"..",IF((N14+N15)=0,"-",(N14+N15)))</f>
        <v>10.859687000000001</v>
      </c>
      <c r="O16" s="340">
        <f>IF(ISERR(O14+O15),"..",IF((O14+O15)=0,"-",(O14+O15)))</f>
        <v>11.247254999999999</v>
      </c>
    </row>
    <row r="17" spans="1:15" ht="6" customHeight="1">
      <c r="A17" s="337"/>
      <c r="B17" s="337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</row>
    <row r="18" spans="1:15" ht="18">
      <c r="A18" s="342" t="s">
        <v>101</v>
      </c>
      <c r="B18" s="337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</row>
    <row r="19" spans="1:15" ht="18">
      <c r="A19" s="337"/>
      <c r="B19" s="338" t="s">
        <v>102</v>
      </c>
      <c r="C19" s="339">
        <f t="shared" ref="C19:L19" si="2">C8</f>
        <v>4.8540000000000001</v>
      </c>
      <c r="D19" s="339">
        <f t="shared" si="2"/>
        <v>5.0069999999999997</v>
      </c>
      <c r="E19" s="339">
        <f t="shared" si="2"/>
        <v>4.8802870000000009</v>
      </c>
      <c r="F19" s="339">
        <f t="shared" si="2"/>
        <v>5.2</v>
      </c>
      <c r="G19" s="339">
        <f t="shared" si="2"/>
        <v>5.5758989999999997</v>
      </c>
      <c r="H19" s="339">
        <f t="shared" si="2"/>
        <v>5.8076989999999995</v>
      </c>
      <c r="I19" s="339">
        <f t="shared" si="2"/>
        <v>6.1290293474599906</v>
      </c>
      <c r="J19" s="339">
        <f t="shared" si="2"/>
        <v>6.6411821897600287</v>
      </c>
      <c r="K19" s="339">
        <f t="shared" si="2"/>
        <v>7.333311773900002</v>
      </c>
      <c r="L19" s="339">
        <f t="shared" si="2"/>
        <v>7.5907840000000011</v>
      </c>
      <c r="M19" s="339">
        <f>M8</f>
        <v>7.742928</v>
      </c>
      <c r="N19" s="339">
        <f>N8</f>
        <v>7.9766599999999999</v>
      </c>
      <c r="O19" s="339" t="str">
        <f>O8</f>
        <v>..</v>
      </c>
    </row>
    <row r="20" spans="1:15" ht="18">
      <c r="A20" s="337"/>
      <c r="B20" s="338" t="s">
        <v>103</v>
      </c>
      <c r="C20" s="339">
        <f t="shared" ref="C20:G21" si="3">C9+C14</f>
        <v>18.137999999999998</v>
      </c>
      <c r="D20" s="339">
        <f t="shared" si="3"/>
        <v>19.519288</v>
      </c>
      <c r="E20" s="339">
        <f t="shared" si="3"/>
        <v>21.000360999999998</v>
      </c>
      <c r="F20" s="339">
        <f t="shared" si="3"/>
        <v>22.135424</v>
      </c>
      <c r="G20" s="339">
        <f t="shared" si="3"/>
        <v>22.632478999999996</v>
      </c>
      <c r="H20" s="340">
        <f t="shared" ref="H20:M21" si="4">IF(ISERR(H9+H14),"..",IF((H9+H14)=0,"-",(H9+H14)))</f>
        <v>23.228079999999999</v>
      </c>
      <c r="I20" s="340">
        <f t="shared" si="4"/>
        <v>22.420062999999999</v>
      </c>
      <c r="J20" s="340">
        <f t="shared" si="4"/>
        <v>20.629640999999999</v>
      </c>
      <c r="K20" s="340">
        <f t="shared" si="4"/>
        <v>19.098846999999999</v>
      </c>
      <c r="L20" s="340">
        <f t="shared" si="4"/>
        <v>20.183019999999999</v>
      </c>
      <c r="M20" s="340">
        <f t="shared" si="4"/>
        <v>20.264853000000002</v>
      </c>
      <c r="N20" s="340">
        <f>IF(ISERR(N9+N14),"..",IF((N9+N14)=0,"-",(N9+N14)))</f>
        <v>21.163104000000001</v>
      </c>
      <c r="O20" s="340">
        <f>IF(ISERR(O9+O14),"..",IF((O9+O14)=0,"-",(O9+O14)))</f>
        <v>21.812442999999998</v>
      </c>
    </row>
    <row r="21" spans="1:15" ht="18">
      <c r="A21" s="337"/>
      <c r="B21" s="338" t="s">
        <v>104</v>
      </c>
      <c r="C21" s="339">
        <f t="shared" si="3"/>
        <v>2.3958749999999998</v>
      </c>
      <c r="D21" s="339">
        <f t="shared" si="3"/>
        <v>2.6375870000000003</v>
      </c>
      <c r="E21" s="339">
        <f t="shared" si="3"/>
        <v>2.544</v>
      </c>
      <c r="F21" s="339">
        <f t="shared" si="3"/>
        <v>2.245323</v>
      </c>
      <c r="G21" s="339">
        <f t="shared" si="3"/>
        <v>2.1360000000000001</v>
      </c>
      <c r="H21" s="340">
        <f t="shared" si="4"/>
        <v>2.2050000000000001</v>
      </c>
      <c r="I21" s="340">
        <f t="shared" si="4"/>
        <v>2.0129999999999999</v>
      </c>
      <c r="J21" s="340">
        <f t="shared" si="4"/>
        <v>1.9469999999999998</v>
      </c>
      <c r="K21" s="340">
        <f t="shared" si="4"/>
        <v>1.974016</v>
      </c>
      <c r="L21" s="340">
        <f t="shared" si="4"/>
        <v>1.8583080000000001</v>
      </c>
      <c r="M21" s="340">
        <f t="shared" si="4"/>
        <v>1.8101210000000001</v>
      </c>
      <c r="N21" s="340">
        <f>IF(ISERR(N10+N15),"..",IF((N10+N15)=0,"-",(N10+N15)))</f>
        <v>1.8316859999999999</v>
      </c>
      <c r="O21" s="340">
        <f>IF(ISERR(O10+O15),"..",IF((O10+O15)=0,"-",(O10+O15)))</f>
        <v>1.7948329999999999</v>
      </c>
    </row>
    <row r="22" spans="1:15" ht="18">
      <c r="A22" s="337"/>
      <c r="B22" s="338" t="s">
        <v>99</v>
      </c>
      <c r="C22" s="340">
        <f t="shared" ref="C22:M22" si="5">IF(ISERR(C19+C20+C21),"..",IF((C19+C20+C21)=0,"-",(C19+C20+C21)))</f>
        <v>25.387874999999998</v>
      </c>
      <c r="D22" s="340">
        <f t="shared" si="5"/>
        <v>27.163875000000001</v>
      </c>
      <c r="E22" s="340">
        <f t="shared" si="5"/>
        <v>28.424648000000001</v>
      </c>
      <c r="F22" s="340">
        <f t="shared" si="5"/>
        <v>29.580746999999999</v>
      </c>
      <c r="G22" s="340">
        <f t="shared" si="5"/>
        <v>30.344377999999995</v>
      </c>
      <c r="H22" s="340">
        <f t="shared" si="5"/>
        <v>31.240778999999996</v>
      </c>
      <c r="I22" s="340">
        <f t="shared" si="5"/>
        <v>30.562092347459988</v>
      </c>
      <c r="J22" s="340">
        <f t="shared" si="5"/>
        <v>29.217823189760029</v>
      </c>
      <c r="K22" s="340">
        <f t="shared" si="5"/>
        <v>28.406174773899998</v>
      </c>
      <c r="L22" s="340">
        <f>IF(ISERR(L19+L20+L21),"..",IF((L19+L20+L21)=0,"-",(L19+L20+L21)))</f>
        <v>29.632111999999999</v>
      </c>
      <c r="M22" s="340">
        <f t="shared" si="5"/>
        <v>29.817902</v>
      </c>
      <c r="N22" s="340">
        <f>IF(ISERR(N19+N20+N21),"..",IF((N19+N20+N21)=0,"-",(N19+N20+N21)))</f>
        <v>30.971450000000001</v>
      </c>
      <c r="O22" s="340" t="str">
        <f>IF(ISERR(O19+O20+O21),"..",IF((O19+O20+O21)=0,"-",(O19+O20+O21)))</f>
        <v>..</v>
      </c>
    </row>
    <row r="23" spans="1:15" ht="18">
      <c r="A23" s="337"/>
      <c r="B23" s="337"/>
      <c r="C23" s="341"/>
      <c r="D23" s="341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</row>
    <row r="24" spans="1:15" ht="18.75">
      <c r="A24" s="42" t="s">
        <v>35</v>
      </c>
      <c r="B24" s="45"/>
      <c r="C24" s="51"/>
      <c r="D24" s="52"/>
      <c r="E24" s="52"/>
      <c r="F24" s="51"/>
      <c r="G24" s="52"/>
      <c r="H24" s="52"/>
      <c r="I24" s="52"/>
      <c r="J24" s="52"/>
      <c r="K24" s="44"/>
      <c r="L24" s="44"/>
      <c r="M24" s="44"/>
    </row>
    <row r="25" spans="1:15" ht="6" customHeight="1">
      <c r="A25" s="45"/>
      <c r="B25" s="45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5" ht="18">
      <c r="A26" s="46" t="s">
        <v>106</v>
      </c>
      <c r="B26" s="45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1:15" ht="21">
      <c r="A27" s="45"/>
      <c r="B27" s="45" t="s">
        <v>255</v>
      </c>
      <c r="C27" s="53">
        <f>'cross border - additional table'!H35</f>
        <v>15.2</v>
      </c>
      <c r="D27" s="54">
        <f>'cross border - additional table'!I35</f>
        <v>14.8</v>
      </c>
      <c r="E27" s="53">
        <f>'cross border - additional table'!J35</f>
        <v>14.3</v>
      </c>
      <c r="F27" s="53">
        <f>'cross border - additional table'!K35</f>
        <v>12.5</v>
      </c>
      <c r="G27" s="53">
        <f>'cross border - additional table'!L35</f>
        <v>14.2</v>
      </c>
      <c r="H27" s="53">
        <f>'cross border - additional table'!M35</f>
        <v>16.399999999999999</v>
      </c>
      <c r="I27" s="53">
        <f>'cross border - additional table'!N35</f>
        <v>12.3</v>
      </c>
      <c r="J27" s="53">
        <f>'cross border - additional table'!O35</f>
        <v>12.6</v>
      </c>
      <c r="K27" s="53">
        <f>'cross border - additional table'!P35</f>
        <v>14.8</v>
      </c>
      <c r="L27" s="53">
        <f>'cross border - additional table'!Q35</f>
        <v>13.6</v>
      </c>
      <c r="M27" s="53">
        <f>'cross border - additional table'!R35</f>
        <v>13.7</v>
      </c>
      <c r="N27" s="53">
        <f>'cross border - additional table'!S35</f>
        <v>13.2</v>
      </c>
      <c r="O27" s="53">
        <f>'cross border - additional table'!T35</f>
        <v>13.9</v>
      </c>
    </row>
    <row r="28" spans="1:15" ht="18">
      <c r="A28" s="45"/>
      <c r="B28" s="45" t="s">
        <v>102</v>
      </c>
      <c r="C28" s="53">
        <f>'cross border - additional table'!H50</f>
        <v>4.362222</v>
      </c>
      <c r="D28" s="53">
        <f>'cross border - additional table'!I50</f>
        <v>4.133661</v>
      </c>
      <c r="E28" s="53">
        <f>'cross border - additional table'!J50</f>
        <v>6.38</v>
      </c>
      <c r="F28" s="53">
        <f>'cross border - additional table'!K50</f>
        <v>8.9700000000000006</v>
      </c>
      <c r="G28" s="53">
        <f>'cross border - additional table'!L50</f>
        <v>7.13</v>
      </c>
      <c r="H28" s="53">
        <f>'cross border - additional table'!M50</f>
        <v>4.55</v>
      </c>
      <c r="I28" s="53">
        <f>'cross border - additional table'!N50</f>
        <v>3.84</v>
      </c>
      <c r="J28" s="53">
        <f>'cross border - additional table'!O50</f>
        <v>3.25</v>
      </c>
      <c r="K28" s="53">
        <f>'cross border - additional table'!P50</f>
        <v>3.11</v>
      </c>
      <c r="L28" s="53">
        <f>'cross border - additional table'!Q50</f>
        <v>4.47</v>
      </c>
      <c r="M28" s="53">
        <f>'cross border - additional table'!R50</f>
        <v>2.9</v>
      </c>
      <c r="N28" s="53" t="str">
        <f>'cross border - additional table'!S50</f>
        <v>..</v>
      </c>
      <c r="O28" s="53" t="str">
        <f>'cross border - additional table'!T50</f>
        <v>..</v>
      </c>
    </row>
    <row r="29" spans="1:15" ht="18">
      <c r="A29" s="45"/>
      <c r="B29" s="45" t="s">
        <v>107</v>
      </c>
      <c r="C29" s="53">
        <f>'cross border - additional table'!H72</f>
        <v>17.549999999999997</v>
      </c>
      <c r="D29" s="53">
        <f>'cross border - additional table'!I72</f>
        <v>17.55</v>
      </c>
      <c r="E29" s="53">
        <f>'cross border - additional table'!J72</f>
        <v>18.690000000000001</v>
      </c>
      <c r="F29" s="53">
        <f>'cross border - additional table'!K72</f>
        <v>22.49</v>
      </c>
      <c r="G29" s="53">
        <f>'cross border - additional table'!L72</f>
        <v>17.93</v>
      </c>
      <c r="H29" s="53">
        <f>'cross border - additional table'!M72</f>
        <v>19.66</v>
      </c>
      <c r="I29" s="53">
        <f>'cross border - additional table'!N72</f>
        <v>21</v>
      </c>
      <c r="J29" s="53">
        <f>'cross border - additional table'!O72</f>
        <v>17.559999999999999</v>
      </c>
      <c r="K29" s="53">
        <f>'cross border - additional table'!P72</f>
        <v>16.59</v>
      </c>
      <c r="L29" s="53">
        <f>'cross border - additional table'!Q72</f>
        <v>16.64</v>
      </c>
      <c r="M29" s="53">
        <f>'cross border - additional table'!R72</f>
        <v>8.7614000000000001</v>
      </c>
      <c r="N29" s="53">
        <f>'cross border - additional table'!S72</f>
        <v>10.700000000000003</v>
      </c>
      <c r="O29" s="53">
        <f>'cross border - additional table'!T72</f>
        <v>10.700000000000001</v>
      </c>
    </row>
    <row r="30" spans="1:15" ht="18">
      <c r="A30" s="45"/>
      <c r="B30" s="49" t="s">
        <v>99</v>
      </c>
      <c r="C30" s="55">
        <f t="shared" ref="C30:M30" si="6">IF(ISERR(C27+C28+C29),"..",IF((C27+C28+C29)=0,"-",(C27+C28+C29)))</f>
        <v>37.112221999999996</v>
      </c>
      <c r="D30" s="55">
        <f t="shared" si="6"/>
        <v>36.483660999999998</v>
      </c>
      <c r="E30" s="55">
        <f t="shared" si="6"/>
        <v>39.370000000000005</v>
      </c>
      <c r="F30" s="55">
        <f t="shared" si="6"/>
        <v>43.959999999999994</v>
      </c>
      <c r="G30" s="55">
        <f t="shared" si="6"/>
        <v>39.26</v>
      </c>
      <c r="H30" s="55">
        <f t="shared" si="6"/>
        <v>40.61</v>
      </c>
      <c r="I30" s="55">
        <f t="shared" si="6"/>
        <v>37.14</v>
      </c>
      <c r="J30" s="55">
        <f t="shared" si="6"/>
        <v>33.409999999999997</v>
      </c>
      <c r="K30" s="55">
        <f t="shared" si="6"/>
        <v>34.5</v>
      </c>
      <c r="L30" s="55">
        <f>IF(ISERR(L27+L28+L29),"..",IF((L27+L28+L29)=0,"-",(L27+L28+L29)))</f>
        <v>34.71</v>
      </c>
      <c r="M30" s="55">
        <f t="shared" si="6"/>
        <v>25.361399999999996</v>
      </c>
      <c r="N30" s="55" t="str">
        <f>IF(ISERR(N27+N28+N29),"..",IF((N27+N28+N29)=0,"-",(N27+N28+N29)))</f>
        <v>..</v>
      </c>
      <c r="O30" s="55" t="str">
        <f>IF(ISERR(O27+O28+O29),"..",IF((O27+O28+O29)=0,"-",(O27+O28+O29)))</f>
        <v>..</v>
      </c>
    </row>
    <row r="31" spans="1:15" ht="6" customHeight="1">
      <c r="A31" s="45"/>
      <c r="B31" s="45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</row>
    <row r="32" spans="1:15" ht="18">
      <c r="A32" s="47" t="s">
        <v>108</v>
      </c>
      <c r="B32" s="45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</row>
    <row r="33" spans="1:15" ht="21">
      <c r="A33" s="45"/>
      <c r="B33" s="45" t="s">
        <v>255</v>
      </c>
      <c r="C33" s="53">
        <f>'cross border - additional table'!H40</f>
        <v>18.3</v>
      </c>
      <c r="D33" s="54">
        <f>'cross border - additional table'!I40</f>
        <v>20.9</v>
      </c>
      <c r="E33" s="53">
        <f>'cross border - additional table'!J40</f>
        <v>17.600000000000001</v>
      </c>
      <c r="F33" s="53">
        <f>'cross border - additional table'!K40</f>
        <v>17.399999999999999</v>
      </c>
      <c r="G33" s="53">
        <f>'cross border - additional table'!L40</f>
        <v>18.899999999999999</v>
      </c>
      <c r="H33" s="53">
        <f>'cross border - additional table'!M40</f>
        <v>21.9</v>
      </c>
      <c r="I33" s="53">
        <f>'cross border - additional table'!N40</f>
        <v>17.7</v>
      </c>
      <c r="J33" s="53">
        <f>'cross border - additional table'!O40</f>
        <v>16</v>
      </c>
      <c r="K33" s="53">
        <f>'cross border - additional table'!P40</f>
        <v>17.899999999999999</v>
      </c>
      <c r="L33" s="53">
        <f>'cross border - additional table'!Q40</f>
        <v>17.5</v>
      </c>
      <c r="M33" s="53">
        <f>'cross border - additional table'!R40</f>
        <v>19.8</v>
      </c>
      <c r="N33" s="53">
        <f>'cross border - additional table'!S40</f>
        <v>16.399999999999999</v>
      </c>
      <c r="O33" s="53">
        <f>'cross border - additional table'!T40</f>
        <v>18.399999999999999</v>
      </c>
    </row>
    <row r="34" spans="1:15" ht="18">
      <c r="A34" s="45"/>
      <c r="B34" s="45" t="s">
        <v>102</v>
      </c>
      <c r="C34" s="53">
        <f>'cross border - additional table'!H55</f>
        <v>1.08</v>
      </c>
      <c r="D34" s="53">
        <f>'cross border - additional table'!I55</f>
        <v>1.0401050000000001</v>
      </c>
      <c r="E34" s="53">
        <f>'cross border - additional table'!J55</f>
        <v>0.91</v>
      </c>
      <c r="F34" s="53">
        <f>'cross border - additional table'!K55</f>
        <v>2.08</v>
      </c>
      <c r="G34" s="53">
        <f>'cross border - additional table'!L55</f>
        <v>2.06</v>
      </c>
      <c r="H34" s="53">
        <f>'cross border - additional table'!M55</f>
        <v>2.0099999999999998</v>
      </c>
      <c r="I34" s="53">
        <f>'cross border - additional table'!N55</f>
        <v>2.0099999999999998</v>
      </c>
      <c r="J34" s="53">
        <f>'cross border - additional table'!O55</f>
        <v>1.27</v>
      </c>
      <c r="K34" s="53">
        <f>'cross border - additional table'!P55</f>
        <v>1.62</v>
      </c>
      <c r="L34" s="53">
        <f>'cross border - additional table'!Q55</f>
        <v>3.33</v>
      </c>
      <c r="M34" s="53">
        <f>'cross border - additional table'!R55</f>
        <v>1.65</v>
      </c>
      <c r="N34" s="53" t="str">
        <f>'cross border - additional table'!S55</f>
        <v>..</v>
      </c>
      <c r="O34" s="53" t="str">
        <f>'cross border - additional table'!T55</f>
        <v>..</v>
      </c>
    </row>
    <row r="35" spans="1:15" ht="18">
      <c r="A35" s="45"/>
      <c r="B35" s="45" t="s">
        <v>107</v>
      </c>
      <c r="C35" s="53">
        <f>'cross border - additional table'!H82</f>
        <v>5.05</v>
      </c>
      <c r="D35" s="53">
        <f>'cross border - additional table'!I82</f>
        <v>4.6199999999999992</v>
      </c>
      <c r="E35" s="53">
        <f>'cross border - additional table'!J82</f>
        <v>5.35</v>
      </c>
      <c r="F35" s="53">
        <f>'cross border - additional table'!K82</f>
        <v>5.86</v>
      </c>
      <c r="G35" s="53">
        <f>'cross border - additional table'!L82</f>
        <v>5.629999999999999</v>
      </c>
      <c r="H35" s="53">
        <f>'cross border - additional table'!M82</f>
        <v>5.5000000000000018</v>
      </c>
      <c r="I35" s="53">
        <f>'cross border - additional table'!N82</f>
        <v>5.0599999999999996</v>
      </c>
      <c r="J35" s="53">
        <f>'cross border - additional table'!O82</f>
        <v>4.870000000000001</v>
      </c>
      <c r="K35" s="53">
        <f>'cross border - additional table'!P82</f>
        <v>5.4999999999999991</v>
      </c>
      <c r="L35" s="53">
        <f>'cross border - additional table'!Q82</f>
        <v>4.9400000000000004</v>
      </c>
      <c r="M35" s="53">
        <f>'cross border - additional table'!R82</f>
        <v>2.0649000000000002</v>
      </c>
      <c r="N35" s="53">
        <f>'cross border - additional table'!S82</f>
        <v>4.8000000000000007</v>
      </c>
      <c r="O35" s="53">
        <f>'cross border - additional table'!T82</f>
        <v>5.3000000000000007</v>
      </c>
    </row>
    <row r="36" spans="1:15" ht="18">
      <c r="A36" s="45"/>
      <c r="B36" s="49" t="s">
        <v>99</v>
      </c>
      <c r="C36" s="56">
        <f t="shared" ref="C36:M36" si="7">IF(ISERR(C33+C34+C35),"..",IF((C33+C34+C35)=0,"-",(C33+C34+C35)))</f>
        <v>24.430000000000003</v>
      </c>
      <c r="D36" s="56">
        <f t="shared" si="7"/>
        <v>26.560105</v>
      </c>
      <c r="E36" s="56">
        <f t="shared" si="7"/>
        <v>23.86</v>
      </c>
      <c r="F36" s="56">
        <f t="shared" si="7"/>
        <v>25.339999999999996</v>
      </c>
      <c r="G36" s="56">
        <f t="shared" si="7"/>
        <v>26.589999999999996</v>
      </c>
      <c r="H36" s="55">
        <f t="shared" si="7"/>
        <v>29.409999999999997</v>
      </c>
      <c r="I36" s="55">
        <f t="shared" si="7"/>
        <v>24.77</v>
      </c>
      <c r="J36" s="55">
        <f t="shared" si="7"/>
        <v>22.14</v>
      </c>
      <c r="K36" s="55">
        <f t="shared" si="7"/>
        <v>25.02</v>
      </c>
      <c r="L36" s="55">
        <f>IF(ISERR(L33+L34+L35),"..",IF((L33+L34+L35)=0,"-",(L33+L34+L35)))</f>
        <v>25.77</v>
      </c>
      <c r="M36" s="55">
        <f t="shared" si="7"/>
        <v>23.514900000000001</v>
      </c>
      <c r="N36" s="55" t="str">
        <f>IF(ISERR(N33+N34+N35),"..",IF((N33+N34+N35)=0,"-",(N33+N34+N35)))</f>
        <v>..</v>
      </c>
      <c r="O36" s="55" t="str">
        <f>IF(ISERR(O33+O34+O35),"..",IF((O33+O34+O35)=0,"-",(O33+O34+O35)))</f>
        <v>..</v>
      </c>
    </row>
    <row r="37" spans="1:15" ht="6" customHeight="1">
      <c r="A37" s="45"/>
      <c r="B37" s="45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1:15" ht="18">
      <c r="A38" s="47" t="s">
        <v>109</v>
      </c>
      <c r="B38" s="45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</row>
    <row r="39" spans="1:15" ht="21">
      <c r="A39" s="45"/>
      <c r="B39" s="45" t="s">
        <v>255</v>
      </c>
      <c r="C39" s="53">
        <f t="shared" ref="C39:G41" si="8">C27+C33</f>
        <v>33.5</v>
      </c>
      <c r="D39" s="54">
        <f t="shared" si="8"/>
        <v>35.700000000000003</v>
      </c>
      <c r="E39" s="53">
        <f t="shared" si="8"/>
        <v>31.900000000000002</v>
      </c>
      <c r="F39" s="53">
        <f t="shared" si="8"/>
        <v>29.9</v>
      </c>
      <c r="G39" s="53">
        <f t="shared" si="8"/>
        <v>33.099999999999994</v>
      </c>
      <c r="H39" s="53">
        <f t="shared" ref="H39:M41" si="9">IF(ISERR(H27+H33),"..",IF((H27+H33)=0,"-",(H27+H33)))</f>
        <v>38.299999999999997</v>
      </c>
      <c r="I39" s="53">
        <f t="shared" si="9"/>
        <v>30</v>
      </c>
      <c r="J39" s="53">
        <f t="shared" si="9"/>
        <v>28.6</v>
      </c>
      <c r="K39" s="53">
        <f t="shared" si="9"/>
        <v>32.700000000000003</v>
      </c>
      <c r="L39" s="53">
        <f t="shared" si="9"/>
        <v>31.1</v>
      </c>
      <c r="M39" s="53">
        <f t="shared" si="9"/>
        <v>33.5</v>
      </c>
      <c r="N39" s="53">
        <f t="shared" ref="N39:O42" si="10">IF(ISERR(N27+N33),"..",IF((N27+N33)=0,"-",(N27+N33)))</f>
        <v>29.599999999999998</v>
      </c>
      <c r="O39" s="53">
        <f t="shared" si="10"/>
        <v>32.299999999999997</v>
      </c>
    </row>
    <row r="40" spans="1:15" ht="18">
      <c r="A40" s="45"/>
      <c r="B40" s="45" t="s">
        <v>102</v>
      </c>
      <c r="C40" s="53">
        <f t="shared" si="8"/>
        <v>5.4422220000000001</v>
      </c>
      <c r="D40" s="53">
        <f t="shared" si="8"/>
        <v>5.1737660000000005</v>
      </c>
      <c r="E40" s="53">
        <f t="shared" si="8"/>
        <v>7.29</v>
      </c>
      <c r="F40" s="53">
        <f t="shared" si="8"/>
        <v>11.05</v>
      </c>
      <c r="G40" s="53">
        <f t="shared" si="8"/>
        <v>9.19</v>
      </c>
      <c r="H40" s="53">
        <f t="shared" si="9"/>
        <v>6.56</v>
      </c>
      <c r="I40" s="53">
        <f t="shared" si="9"/>
        <v>5.85</v>
      </c>
      <c r="J40" s="55">
        <f t="shared" si="9"/>
        <v>4.5199999999999996</v>
      </c>
      <c r="K40" s="55">
        <f t="shared" si="9"/>
        <v>4.7300000000000004</v>
      </c>
      <c r="L40" s="55">
        <f t="shared" si="9"/>
        <v>7.8</v>
      </c>
      <c r="M40" s="55">
        <f t="shared" si="9"/>
        <v>4.55</v>
      </c>
      <c r="N40" s="57" t="str">
        <f t="shared" si="10"/>
        <v>..</v>
      </c>
      <c r="O40" s="57" t="str">
        <f t="shared" si="10"/>
        <v>..</v>
      </c>
    </row>
    <row r="41" spans="1:15" ht="18">
      <c r="A41" s="45"/>
      <c r="B41" s="45" t="s">
        <v>107</v>
      </c>
      <c r="C41" s="53">
        <f t="shared" si="8"/>
        <v>22.599999999999998</v>
      </c>
      <c r="D41" s="53">
        <f t="shared" si="8"/>
        <v>22.17</v>
      </c>
      <c r="E41" s="53">
        <f t="shared" si="8"/>
        <v>24.04</v>
      </c>
      <c r="F41" s="53">
        <f t="shared" si="8"/>
        <v>28.349999999999998</v>
      </c>
      <c r="G41" s="53">
        <f t="shared" si="8"/>
        <v>23.56</v>
      </c>
      <c r="H41" s="53">
        <f t="shared" si="9"/>
        <v>25.160000000000004</v>
      </c>
      <c r="I41" s="53">
        <f t="shared" si="9"/>
        <v>26.06</v>
      </c>
      <c r="J41" s="53">
        <f t="shared" si="9"/>
        <v>22.43</v>
      </c>
      <c r="K41" s="53">
        <f t="shared" si="9"/>
        <v>22.09</v>
      </c>
      <c r="L41" s="53">
        <f t="shared" si="9"/>
        <v>21.580000000000002</v>
      </c>
      <c r="M41" s="53">
        <f t="shared" si="9"/>
        <v>10.8263</v>
      </c>
      <c r="N41" s="53">
        <f t="shared" si="10"/>
        <v>15.500000000000004</v>
      </c>
      <c r="O41" s="53">
        <f t="shared" si="10"/>
        <v>16</v>
      </c>
    </row>
    <row r="42" spans="1:15" ht="18">
      <c r="A42" s="45"/>
      <c r="B42" s="49" t="s">
        <v>99</v>
      </c>
      <c r="C42" s="56">
        <f t="shared" ref="C42:K42" si="11">IF(ISERR(C30+C36),"..",IF((C30+C36)=0,"-",(C30+C36)))</f>
        <v>61.542221999999995</v>
      </c>
      <c r="D42" s="56">
        <f t="shared" si="11"/>
        <v>63.043765999999998</v>
      </c>
      <c r="E42" s="56">
        <f t="shared" si="11"/>
        <v>63.230000000000004</v>
      </c>
      <c r="F42" s="56">
        <f t="shared" si="11"/>
        <v>69.299999999999983</v>
      </c>
      <c r="G42" s="56">
        <f t="shared" si="11"/>
        <v>65.849999999999994</v>
      </c>
      <c r="H42" s="55">
        <f t="shared" si="11"/>
        <v>70.02</v>
      </c>
      <c r="I42" s="55">
        <f t="shared" si="11"/>
        <v>61.91</v>
      </c>
      <c r="J42" s="55">
        <f t="shared" si="11"/>
        <v>55.55</v>
      </c>
      <c r="K42" s="55">
        <f t="shared" si="11"/>
        <v>59.519999999999996</v>
      </c>
      <c r="L42" s="55">
        <f>IF(ISERR(L30+L36),"..",IF((L30+L36)=0,"-",(L30+L36)))</f>
        <v>60.480000000000004</v>
      </c>
      <c r="M42" s="55">
        <f>IF(ISERR(M30+M36),"..",IF((M30+M36)=0,"-",(M30+M36)))</f>
        <v>48.876300000000001</v>
      </c>
      <c r="N42" s="55" t="str">
        <f t="shared" si="10"/>
        <v>..</v>
      </c>
      <c r="O42" s="55" t="str">
        <f t="shared" si="10"/>
        <v>..</v>
      </c>
    </row>
    <row r="43" spans="1:15" ht="6" customHeight="1">
      <c r="A43" s="45"/>
      <c r="B43" s="45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</row>
    <row r="44" spans="1:15" ht="18">
      <c r="A44" s="47" t="s">
        <v>111</v>
      </c>
      <c r="B44" s="45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</row>
    <row r="45" spans="1:15" ht="21">
      <c r="A45" s="45"/>
      <c r="B45" s="45" t="s">
        <v>255</v>
      </c>
      <c r="C45" s="53">
        <f>'cross border - additional table'!H36</f>
        <v>0.6</v>
      </c>
      <c r="D45" s="54">
        <f>'cross border - additional table'!I36</f>
        <v>0.6</v>
      </c>
      <c r="E45" s="53">
        <f>'cross border - additional table'!J36</f>
        <v>0.5</v>
      </c>
      <c r="F45" s="53">
        <f>'cross border - additional table'!K36</f>
        <v>0.4</v>
      </c>
      <c r="G45" s="53">
        <f>'cross border - additional table'!L36</f>
        <v>0.4</v>
      </c>
      <c r="H45" s="53">
        <f>'cross border - additional table'!M36</f>
        <v>0.6</v>
      </c>
      <c r="I45" s="53">
        <f>'cross border - additional table'!N36</f>
        <v>0.5</v>
      </c>
      <c r="J45" s="53">
        <f>'cross border - additional table'!O36</f>
        <v>0.5</v>
      </c>
      <c r="K45" s="53">
        <f>'cross border - additional table'!P36</f>
        <v>0.4</v>
      </c>
      <c r="L45" s="53">
        <f>'cross border - additional table'!Q36</f>
        <v>0.3</v>
      </c>
      <c r="M45" s="53">
        <f>'cross border - additional table'!R36</f>
        <v>0.3</v>
      </c>
      <c r="N45" s="53">
        <f>'cross border - additional table'!S36</f>
        <v>0.3</v>
      </c>
      <c r="O45" s="53">
        <f>'cross border - additional table'!T36</f>
        <v>0.2</v>
      </c>
    </row>
    <row r="46" spans="1:15" ht="21">
      <c r="A46" s="45"/>
      <c r="B46" s="45" t="s">
        <v>256</v>
      </c>
      <c r="C46" s="53">
        <f>'cross border - additional table'!H51</f>
        <v>0.49</v>
      </c>
      <c r="D46" s="53">
        <f>'cross border - additional table'!I51</f>
        <v>0.43487100000000001</v>
      </c>
      <c r="E46" s="53">
        <f>'cross border - additional table'!J51</f>
        <v>0.51</v>
      </c>
      <c r="F46" s="53">
        <f>'cross border - additional table'!K51</f>
        <v>0.54</v>
      </c>
      <c r="G46" s="53">
        <f>'cross border - additional table'!L51</f>
        <v>0.53</v>
      </c>
      <c r="H46" s="53">
        <f>'cross border - additional table'!M51</f>
        <v>0.5</v>
      </c>
      <c r="I46" s="53">
        <f>'cross border - additional table'!N51</f>
        <v>0.39</v>
      </c>
      <c r="J46" s="53">
        <f>'cross border - additional table'!O51</f>
        <v>0.36</v>
      </c>
      <c r="K46" s="53">
        <f>'cross border - additional table'!P51</f>
        <v>0.36</v>
      </c>
      <c r="L46" s="53">
        <f>'cross border - additional table'!Q51</f>
        <v>0.37</v>
      </c>
      <c r="M46" s="53">
        <f>'cross border - additional table'!R51</f>
        <v>0.43</v>
      </c>
      <c r="N46" s="53" t="str">
        <f>'cross border - additional table'!S51</f>
        <v>..</v>
      </c>
      <c r="O46" s="53" t="str">
        <f>'cross border - additional table'!T51</f>
        <v>..</v>
      </c>
    </row>
    <row r="47" spans="1:15" ht="21">
      <c r="A47" s="45"/>
      <c r="B47" s="58" t="s">
        <v>257</v>
      </c>
      <c r="C47" s="53">
        <f>'cross border - additional table'!H85/1000</f>
        <v>67.783000000000001</v>
      </c>
      <c r="D47" s="53">
        <f>'cross border - additional table'!I85/1000</f>
        <v>58.902999999999999</v>
      </c>
      <c r="E47" s="53">
        <f>'cross border - additional table'!J85/1000</f>
        <v>54.454000000000001</v>
      </c>
      <c r="F47" s="53">
        <f>'cross border - additional table'!K85/1000</f>
        <v>45.002000000000002</v>
      </c>
      <c r="G47" s="53">
        <f>'cross border - additional table'!L85/1000</f>
        <v>43.994</v>
      </c>
      <c r="H47" s="53">
        <f>IF(ISERR('cross border - additional table'!M85/1000),"..",IF(('cross border - additional table'!M85/1000)=0,"-",('cross border - additional table'!M85/1000)))</f>
        <v>45.581000000000003</v>
      </c>
      <c r="I47" s="53">
        <f>IF(ISERR('cross border - additional table'!N85/1000),"..",IF(('cross border - additional table'!N85/1000)=0,"-",('cross border - additional table'!N85/1000)))</f>
        <v>42.415999999999997</v>
      </c>
      <c r="J47" s="53">
        <f>IF(ISERR('cross border - additional table'!O85/1000),"..",IF(('cross border - additional table'!O85/1000)=0,"-",('cross border - additional table'!O85/1000)))</f>
        <v>38.320999999999998</v>
      </c>
      <c r="K47" s="53">
        <f>IF(ISERR('cross border - additional table'!P85/1000),"..",IF(('cross border - additional table'!P85/1000)=0,"-",('cross border - additional table'!P85/1000)))</f>
        <v>39.890999999999998</v>
      </c>
      <c r="L47" s="53">
        <f>IF(ISERR('cross border - additional table'!Q85/1000),"..",IF(('cross border - additional table'!Q85/1000)=0,"-",('cross border - additional table'!Q85/1000)))</f>
        <v>33.357999999999997</v>
      </c>
      <c r="M47" s="53">
        <f>IF(ISERR('cross border - additional table'!R85/1000),"..",IF(('cross border - additional table'!R85/1000)=0,"-",('cross border - additional table'!R85/1000)))</f>
        <v>32.06</v>
      </c>
      <c r="N47" s="53">
        <f>IF(ISERR('cross border - additional table'!S85/1000),"..",IF(('cross border - additional table'!S85/1000)=0,"-",('cross border - additional table'!S85/1000)))</f>
        <v>31.582999999999998</v>
      </c>
      <c r="O47" s="53">
        <f>IF(ISERR('cross border - additional table'!T85/1000),"..",IF(('cross border - additional table'!T85/1000)=0,"-",('cross border - additional table'!T85/1000)))</f>
        <v>30.841999999999999</v>
      </c>
    </row>
    <row r="48" spans="1:15" ht="18">
      <c r="A48" s="45"/>
      <c r="B48" s="59" t="s">
        <v>99</v>
      </c>
      <c r="C48" s="56">
        <f t="shared" ref="C48:M48" si="12">IF(ISERR(C45+C46+C47),"..",IF((C45+C46+C47)=0,"-",(C45+C46+C47)))</f>
        <v>68.873000000000005</v>
      </c>
      <c r="D48" s="56">
        <f t="shared" si="12"/>
        <v>59.937871000000001</v>
      </c>
      <c r="E48" s="56">
        <f t="shared" si="12"/>
        <v>55.463999999999999</v>
      </c>
      <c r="F48" s="56">
        <f t="shared" si="12"/>
        <v>45.942</v>
      </c>
      <c r="G48" s="56">
        <f t="shared" si="12"/>
        <v>44.923999999999999</v>
      </c>
      <c r="H48" s="55">
        <f t="shared" si="12"/>
        <v>46.681000000000004</v>
      </c>
      <c r="I48" s="55">
        <f t="shared" si="12"/>
        <v>43.305999999999997</v>
      </c>
      <c r="J48" s="55">
        <f t="shared" si="12"/>
        <v>39.180999999999997</v>
      </c>
      <c r="K48" s="55">
        <f t="shared" si="12"/>
        <v>40.650999999999996</v>
      </c>
      <c r="L48" s="55">
        <f t="shared" si="12"/>
        <v>34.027999999999999</v>
      </c>
      <c r="M48" s="55">
        <f t="shared" si="12"/>
        <v>32.79</v>
      </c>
      <c r="N48" s="55" t="str">
        <f>IF(ISERR(N45+N46+N47),"..",IF((N45+N46+N47)=0,"-",(N45+N46+N47)))</f>
        <v>..</v>
      </c>
      <c r="O48" s="55" t="str">
        <f>IF(ISERR(O45+O46+O47),"..",IF((O45+O46+O47)=0,"-",(O45+O46+O47)))</f>
        <v>..</v>
      </c>
    </row>
    <row r="49" spans="1:15" ht="6" customHeight="1">
      <c r="A49" s="45"/>
      <c r="B49" s="45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</row>
    <row r="50" spans="1:15" ht="18">
      <c r="A50" s="47" t="s">
        <v>112</v>
      </c>
      <c r="B50" s="45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</row>
    <row r="51" spans="1:15" ht="21">
      <c r="A51" s="45"/>
      <c r="B51" s="45" t="s">
        <v>255</v>
      </c>
      <c r="C51" s="53">
        <f>'cross border - additional table'!H41</f>
        <v>0.2</v>
      </c>
      <c r="D51" s="54">
        <f>'cross border - additional table'!I41</f>
        <v>0.2</v>
      </c>
      <c r="E51" s="53">
        <f>'cross border - additional table'!J41</f>
        <v>0.3</v>
      </c>
      <c r="F51" s="53">
        <f>'cross border - additional table'!K41</f>
        <v>0.3</v>
      </c>
      <c r="G51" s="53">
        <f>'cross border - additional table'!L41</f>
        <v>0.2</v>
      </c>
      <c r="H51" s="53">
        <f>'cross border - additional table'!M41</f>
        <v>0.3</v>
      </c>
      <c r="I51" s="53">
        <f>'cross border - additional table'!N41</f>
        <v>0.3</v>
      </c>
      <c r="J51" s="53">
        <f>'cross border - additional table'!O41</f>
        <v>0.2</v>
      </c>
      <c r="K51" s="53">
        <f>'cross border - additional table'!P41</f>
        <v>0.2</v>
      </c>
      <c r="L51" s="53">
        <f>'cross border - additional table'!Q41</f>
        <v>0.1</v>
      </c>
      <c r="M51" s="53">
        <f>'cross border - additional table'!R41</f>
        <v>0.1</v>
      </c>
      <c r="N51" s="53">
        <f>'cross border - additional table'!S41</f>
        <v>0.1</v>
      </c>
      <c r="O51" s="53">
        <f>'cross border - additional table'!T41</f>
        <v>0.1</v>
      </c>
    </row>
    <row r="52" spans="1:15" ht="21">
      <c r="A52" s="45"/>
      <c r="B52" s="45" t="s">
        <v>258</v>
      </c>
      <c r="C52" s="53">
        <f>'cross border - additional table'!H56</f>
        <v>0.64</v>
      </c>
      <c r="D52" s="53">
        <f>'cross border - additional table'!I56</f>
        <v>0.52403</v>
      </c>
      <c r="E52" s="53">
        <f>'cross border - additional table'!J56</f>
        <v>0.54</v>
      </c>
      <c r="F52" s="53">
        <f>'cross border - additional table'!K56</f>
        <v>0.48</v>
      </c>
      <c r="G52" s="53">
        <f>'cross border - additional table'!L56</f>
        <v>0.45</v>
      </c>
      <c r="H52" s="53">
        <f>'cross border - additional table'!M56</f>
        <v>0.41</v>
      </c>
      <c r="I52" s="53">
        <f>'cross border - additional table'!N56</f>
        <v>0.495</v>
      </c>
      <c r="J52" s="53">
        <f>'cross border - additional table'!O56</f>
        <v>0.42</v>
      </c>
      <c r="K52" s="53">
        <f>'cross border - additional table'!P56</f>
        <v>0.42</v>
      </c>
      <c r="L52" s="53">
        <f>'cross border - additional table'!Q56</f>
        <v>0.41</v>
      </c>
      <c r="M52" s="53">
        <f>'cross border - additional table'!R56</f>
        <v>0.4</v>
      </c>
      <c r="N52" s="53" t="str">
        <f>'cross border - additional table'!S56</f>
        <v>..</v>
      </c>
      <c r="O52" s="53" t="str">
        <f>'cross border - additional table'!T56</f>
        <v>..</v>
      </c>
    </row>
    <row r="53" spans="1:15" ht="21">
      <c r="A53" s="45"/>
      <c r="B53" s="58" t="s">
        <v>257</v>
      </c>
      <c r="C53" s="53">
        <f>'cross border - additional table'!H87/1000</f>
        <v>11.427</v>
      </c>
      <c r="D53" s="53">
        <f>'cross border - additional table'!I87/1000</f>
        <v>9.5009999999999994</v>
      </c>
      <c r="E53" s="53">
        <f>'cross border - additional table'!J87/1000</f>
        <v>14.994999999999999</v>
      </c>
      <c r="F53" s="53">
        <f>'cross border - additional table'!K87/1000</f>
        <v>17.024000000000001</v>
      </c>
      <c r="G53" s="53">
        <f>'cross border - additional table'!L87/1000</f>
        <v>17.908999999999999</v>
      </c>
      <c r="H53" s="53">
        <f>IF(ISERR('cross border - additional table'!M87/1000),"..",IF(('cross border - additional table'!M87/1000)=0,"-",('cross border - additional table'!M87/1000)))</f>
        <v>14.612</v>
      </c>
      <c r="I53" s="53">
        <f>IF(ISERR('cross border - additional table'!N87/1000),"..",IF(('cross border - additional table'!N87/1000)=0,"-",('cross border - additional table'!N87/1000)))</f>
        <v>16.106000000000002</v>
      </c>
      <c r="J53" s="53">
        <f>IF(ISERR('cross border - additional table'!O87/1000),"..",IF(('cross border - additional table'!O87/1000)=0,"-",('cross border - additional table'!O87/1000)))</f>
        <v>13.532</v>
      </c>
      <c r="K53" s="53">
        <f>IF(ISERR('cross border - additional table'!P87/1000),"..",IF(('cross border - additional table'!P87/1000)=0,"-",('cross border - additional table'!P87/1000)))</f>
        <v>13.169</v>
      </c>
      <c r="L53" s="53">
        <f>IF(ISERR('cross border - additional table'!Q87/1000),"..",IF(('cross border - additional table'!Q87/1000)=0,"-",('cross border - additional table'!Q87/1000)))</f>
        <v>14.215999999999999</v>
      </c>
      <c r="M53" s="53">
        <f>IF(ISERR('cross border - additional table'!R87/1000),"..",IF(('cross border - additional table'!R87/1000)=0,"-",('cross border - additional table'!R87/1000)))</f>
        <v>16.254000000000001</v>
      </c>
      <c r="N53" s="53">
        <f>IF(ISERR('cross border - additional table'!S87/1000),"..",IF(('cross border - additional table'!S87/1000)=0,"-",('cross border - additional table'!S87/1000)))</f>
        <v>16.501000000000001</v>
      </c>
      <c r="O53" s="53">
        <f>IF(ISERR('cross border - additional table'!T87/1000),"..",IF(('cross border - additional table'!T87/1000)=0,"-",('cross border - additional table'!T87/1000)))</f>
        <v>16.553999999999998</v>
      </c>
    </row>
    <row r="54" spans="1:15" ht="18">
      <c r="A54" s="45"/>
      <c r="B54" s="59" t="s">
        <v>99</v>
      </c>
      <c r="C54" s="56">
        <f t="shared" ref="C54:M54" si="13">IF(ISERR(C51+C52+C53),"..",IF((C51+C52+C53)=0,"-",(C51+C52+C53)))</f>
        <v>12.266999999999999</v>
      </c>
      <c r="D54" s="56">
        <f t="shared" si="13"/>
        <v>10.22503</v>
      </c>
      <c r="E54" s="56">
        <f t="shared" si="13"/>
        <v>15.834999999999999</v>
      </c>
      <c r="F54" s="56">
        <f t="shared" si="13"/>
        <v>17.804000000000002</v>
      </c>
      <c r="G54" s="56">
        <f t="shared" si="13"/>
        <v>18.558999999999997</v>
      </c>
      <c r="H54" s="55">
        <f t="shared" si="13"/>
        <v>15.321999999999999</v>
      </c>
      <c r="I54" s="55">
        <f t="shared" si="13"/>
        <v>16.901000000000003</v>
      </c>
      <c r="J54" s="55">
        <f t="shared" si="13"/>
        <v>14.151999999999999</v>
      </c>
      <c r="K54" s="55">
        <f t="shared" si="13"/>
        <v>13.789</v>
      </c>
      <c r="L54" s="55">
        <f t="shared" si="13"/>
        <v>14.725999999999999</v>
      </c>
      <c r="M54" s="55">
        <f t="shared" si="13"/>
        <v>16.754000000000001</v>
      </c>
      <c r="N54" s="55" t="str">
        <f>IF(ISERR(N51+N52+N53),"..",IF((N51+N52+N53)=0,"-",(N51+N52+N53)))</f>
        <v>..</v>
      </c>
      <c r="O54" s="55" t="str">
        <f>IF(ISERR(O51+O52+O53),"..",IF((O51+O52+O53)=0,"-",(O51+O52+O53)))</f>
        <v>..</v>
      </c>
    </row>
    <row r="55" spans="1:15" ht="6" customHeight="1">
      <c r="A55" s="45"/>
      <c r="B55" s="45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</row>
    <row r="56" spans="1:15" ht="18">
      <c r="A56" s="47" t="s">
        <v>113</v>
      </c>
      <c r="B56" s="45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</row>
    <row r="57" spans="1:15" ht="21">
      <c r="A57" s="45"/>
      <c r="B57" s="45" t="s">
        <v>255</v>
      </c>
      <c r="C57" s="53">
        <f t="shared" ref="C57:G59" si="14">C45+C51</f>
        <v>0.8</v>
      </c>
      <c r="D57" s="54">
        <f t="shared" si="14"/>
        <v>0.8</v>
      </c>
      <c r="E57" s="53">
        <f t="shared" si="14"/>
        <v>0.8</v>
      </c>
      <c r="F57" s="53">
        <f t="shared" si="14"/>
        <v>0.7</v>
      </c>
      <c r="G57" s="53">
        <f t="shared" si="14"/>
        <v>0.60000000000000009</v>
      </c>
      <c r="H57" s="55">
        <f t="shared" ref="H57:M59" si="15">IF(ISERR(H45+H51),"..",IF((H45+H51)=0,"-",(H45+H51)))</f>
        <v>0.89999999999999991</v>
      </c>
      <c r="I57" s="55">
        <f t="shared" si="15"/>
        <v>0.8</v>
      </c>
      <c r="J57" s="55">
        <f t="shared" si="15"/>
        <v>0.7</v>
      </c>
      <c r="K57" s="55">
        <f t="shared" si="15"/>
        <v>0.60000000000000009</v>
      </c>
      <c r="L57" s="55">
        <f t="shared" si="15"/>
        <v>0.4</v>
      </c>
      <c r="M57" s="55">
        <f t="shared" si="15"/>
        <v>0.4</v>
      </c>
      <c r="N57" s="55">
        <f t="shared" ref="N57:O60" si="16">IF(ISERR(N45+N51),"..",IF((N45+N51)=0,"-",(N45+N51)))</f>
        <v>0.4</v>
      </c>
      <c r="O57" s="55">
        <f t="shared" si="16"/>
        <v>0.30000000000000004</v>
      </c>
    </row>
    <row r="58" spans="1:15" ht="18">
      <c r="A58" s="45"/>
      <c r="B58" s="45" t="s">
        <v>102</v>
      </c>
      <c r="C58" s="53">
        <f t="shared" si="14"/>
        <v>1.1299999999999999</v>
      </c>
      <c r="D58" s="53">
        <f t="shared" si="14"/>
        <v>0.958901</v>
      </c>
      <c r="E58" s="53">
        <f t="shared" si="14"/>
        <v>1.05</v>
      </c>
      <c r="F58" s="53">
        <f t="shared" si="14"/>
        <v>1.02</v>
      </c>
      <c r="G58" s="53">
        <f t="shared" si="14"/>
        <v>0.98</v>
      </c>
      <c r="H58" s="53">
        <f t="shared" si="15"/>
        <v>0.90999999999999992</v>
      </c>
      <c r="I58" s="53">
        <f t="shared" si="15"/>
        <v>0.88500000000000001</v>
      </c>
      <c r="J58" s="53">
        <f t="shared" si="15"/>
        <v>0.78</v>
      </c>
      <c r="K58" s="53">
        <f t="shared" si="15"/>
        <v>0.78</v>
      </c>
      <c r="L58" s="55">
        <f t="shared" si="15"/>
        <v>0.78</v>
      </c>
      <c r="M58" s="55">
        <f t="shared" si="15"/>
        <v>0.83000000000000007</v>
      </c>
      <c r="N58" s="57" t="str">
        <f t="shared" si="16"/>
        <v>..</v>
      </c>
      <c r="O58" s="57" t="str">
        <f t="shared" si="16"/>
        <v>..</v>
      </c>
    </row>
    <row r="59" spans="1:15" ht="18">
      <c r="A59" s="45"/>
      <c r="B59" s="58" t="s">
        <v>107</v>
      </c>
      <c r="C59" s="53">
        <f t="shared" si="14"/>
        <v>79.210000000000008</v>
      </c>
      <c r="D59" s="53">
        <f t="shared" si="14"/>
        <v>68.403999999999996</v>
      </c>
      <c r="E59" s="53">
        <f t="shared" si="14"/>
        <v>69.448999999999998</v>
      </c>
      <c r="F59" s="53">
        <f t="shared" si="14"/>
        <v>62.026000000000003</v>
      </c>
      <c r="G59" s="53">
        <f t="shared" si="14"/>
        <v>61.902999999999999</v>
      </c>
      <c r="H59" s="53">
        <f t="shared" si="15"/>
        <v>60.193000000000005</v>
      </c>
      <c r="I59" s="53">
        <f t="shared" si="15"/>
        <v>58.521999999999998</v>
      </c>
      <c r="J59" s="53">
        <f t="shared" si="15"/>
        <v>51.852999999999994</v>
      </c>
      <c r="K59" s="53">
        <f t="shared" si="15"/>
        <v>53.06</v>
      </c>
      <c r="L59" s="53">
        <f t="shared" si="15"/>
        <v>47.573999999999998</v>
      </c>
      <c r="M59" s="53">
        <f t="shared" si="15"/>
        <v>48.314000000000007</v>
      </c>
      <c r="N59" s="53">
        <f t="shared" si="16"/>
        <v>48.084000000000003</v>
      </c>
      <c r="O59" s="53">
        <f t="shared" si="16"/>
        <v>47.396000000000001</v>
      </c>
    </row>
    <row r="60" spans="1:15" ht="18">
      <c r="A60" s="45"/>
      <c r="B60" s="58" t="s">
        <v>114</v>
      </c>
      <c r="C60" s="56">
        <f t="shared" ref="C60:K60" si="17">IF(ISERR(C48+C54),"..",IF((C48+C54)=0,"-",(C48+C54)))</f>
        <v>81.14</v>
      </c>
      <c r="D60" s="56">
        <f t="shared" si="17"/>
        <v>70.162901000000005</v>
      </c>
      <c r="E60" s="56">
        <f t="shared" si="17"/>
        <v>71.298999999999992</v>
      </c>
      <c r="F60" s="56">
        <f t="shared" si="17"/>
        <v>63.746000000000002</v>
      </c>
      <c r="G60" s="56">
        <f t="shared" si="17"/>
        <v>63.482999999999997</v>
      </c>
      <c r="H60" s="55">
        <f t="shared" si="17"/>
        <v>62.003</v>
      </c>
      <c r="I60" s="55">
        <f t="shared" si="17"/>
        <v>60.207000000000001</v>
      </c>
      <c r="J60" s="55">
        <f t="shared" si="17"/>
        <v>53.332999999999998</v>
      </c>
      <c r="K60" s="55">
        <f t="shared" si="17"/>
        <v>54.44</v>
      </c>
      <c r="L60" s="55">
        <f>IF(ISERR(L48+L54),"..",IF((L48+L54)=0,"-",(L48+L54)))</f>
        <v>48.753999999999998</v>
      </c>
      <c r="M60" s="55">
        <f>IF(ISERR(M48+M54),"..",IF((M48+M54)=0,"-",(M48+M54)))</f>
        <v>49.543999999999997</v>
      </c>
      <c r="N60" s="55" t="str">
        <f t="shared" si="16"/>
        <v>..</v>
      </c>
      <c r="O60" s="55" t="str">
        <f t="shared" si="16"/>
        <v>..</v>
      </c>
    </row>
    <row r="61" spans="1:15" ht="6" customHeight="1">
      <c r="A61" s="45"/>
      <c r="B61" s="45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</row>
    <row r="62" spans="1:15" ht="18">
      <c r="A62" s="47" t="s">
        <v>115</v>
      </c>
      <c r="B62" s="45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</row>
    <row r="63" spans="1:15" ht="21">
      <c r="A63" s="45"/>
      <c r="B63" s="45" t="s">
        <v>255</v>
      </c>
      <c r="C63" s="53">
        <f>C39+C57</f>
        <v>34.299999999999997</v>
      </c>
      <c r="D63" s="54">
        <f>D39+D57</f>
        <v>36.5</v>
      </c>
      <c r="E63" s="53">
        <f>E39+E57</f>
        <v>32.700000000000003</v>
      </c>
      <c r="F63" s="53">
        <f>F39+F57</f>
        <v>30.599999999999998</v>
      </c>
      <c r="G63" s="53">
        <f>G39+G57</f>
        <v>33.699999999999996</v>
      </c>
      <c r="H63" s="55">
        <f t="shared" ref="H63:M65" si="18">IF(ISERR(H39+H57),"..",IF((H39+H57)=0,"-",(H39+H57)))</f>
        <v>39.199999999999996</v>
      </c>
      <c r="I63" s="55">
        <f t="shared" si="18"/>
        <v>30.8</v>
      </c>
      <c r="J63" s="55">
        <f t="shared" si="18"/>
        <v>29.3</v>
      </c>
      <c r="K63" s="55">
        <f t="shared" si="18"/>
        <v>33.300000000000004</v>
      </c>
      <c r="L63" s="55">
        <f t="shared" si="18"/>
        <v>31.5</v>
      </c>
      <c r="M63" s="55">
        <f t="shared" si="18"/>
        <v>33.9</v>
      </c>
      <c r="N63" s="55">
        <f t="shared" ref="N63:O66" si="19">IF(ISERR(N39+N57),"..",IF((N39+N57)=0,"-",(N39+N57)))</f>
        <v>29.999999999999996</v>
      </c>
      <c r="O63" s="55">
        <f t="shared" si="19"/>
        <v>32.599999999999994</v>
      </c>
    </row>
    <row r="64" spans="1:15" ht="18">
      <c r="A64" s="45"/>
      <c r="B64" s="45" t="s">
        <v>102</v>
      </c>
      <c r="C64" s="53">
        <f t="shared" ref="C64:F65" si="20">C40+C58</f>
        <v>6.572222</v>
      </c>
      <c r="D64" s="53">
        <f t="shared" si="20"/>
        <v>6.1326670000000005</v>
      </c>
      <c r="E64" s="53">
        <f t="shared" si="20"/>
        <v>8.34</v>
      </c>
      <c r="F64" s="53">
        <f t="shared" si="20"/>
        <v>12.07</v>
      </c>
      <c r="G64" s="55">
        <f>IF(ISERR(G40+G58),"..",IF((G40+G58)=0,"-",(G40+G58)))</f>
        <v>10.17</v>
      </c>
      <c r="H64" s="55">
        <f t="shared" si="18"/>
        <v>7.47</v>
      </c>
      <c r="I64" s="55">
        <f t="shared" si="18"/>
        <v>6.7349999999999994</v>
      </c>
      <c r="J64" s="55">
        <f t="shared" si="18"/>
        <v>5.3</v>
      </c>
      <c r="K64" s="55">
        <f t="shared" si="18"/>
        <v>5.5100000000000007</v>
      </c>
      <c r="L64" s="55">
        <f t="shared" si="18"/>
        <v>8.58</v>
      </c>
      <c r="M64" s="55">
        <f t="shared" si="18"/>
        <v>5.38</v>
      </c>
      <c r="N64" s="57" t="str">
        <f t="shared" si="19"/>
        <v>..</v>
      </c>
      <c r="O64" s="57" t="str">
        <f t="shared" si="19"/>
        <v>..</v>
      </c>
    </row>
    <row r="65" spans="1:15" ht="18">
      <c r="A65" s="45"/>
      <c r="B65" s="58" t="s">
        <v>107</v>
      </c>
      <c r="C65" s="53">
        <f t="shared" si="20"/>
        <v>101.81</v>
      </c>
      <c r="D65" s="53">
        <f t="shared" si="20"/>
        <v>90.573999999999998</v>
      </c>
      <c r="E65" s="53">
        <f t="shared" si="20"/>
        <v>93.489000000000004</v>
      </c>
      <c r="F65" s="53">
        <f t="shared" si="20"/>
        <v>90.376000000000005</v>
      </c>
      <c r="G65" s="53">
        <f>G41+G59</f>
        <v>85.462999999999994</v>
      </c>
      <c r="H65" s="55">
        <f t="shared" si="18"/>
        <v>85.353000000000009</v>
      </c>
      <c r="I65" s="55">
        <f t="shared" si="18"/>
        <v>84.581999999999994</v>
      </c>
      <c r="J65" s="55">
        <f t="shared" si="18"/>
        <v>74.282999999999987</v>
      </c>
      <c r="K65" s="55">
        <f t="shared" si="18"/>
        <v>75.150000000000006</v>
      </c>
      <c r="L65" s="55">
        <f t="shared" si="18"/>
        <v>69.153999999999996</v>
      </c>
      <c r="M65" s="55">
        <f t="shared" si="18"/>
        <v>59.140300000000011</v>
      </c>
      <c r="N65" s="55">
        <f t="shared" si="19"/>
        <v>63.584000000000003</v>
      </c>
      <c r="O65" s="55">
        <f t="shared" si="19"/>
        <v>63.396000000000001</v>
      </c>
    </row>
    <row r="66" spans="1:15" ht="18">
      <c r="A66" s="45"/>
      <c r="B66" s="59" t="s">
        <v>99</v>
      </c>
      <c r="C66" s="56">
        <f t="shared" ref="C66:L66" si="21">IF(ISERR(C42+C60),"..",IF((C42+C60)=0,"-",(C42+C60)))</f>
        <v>142.682222</v>
      </c>
      <c r="D66" s="56">
        <f t="shared" si="21"/>
        <v>133.20666700000001</v>
      </c>
      <c r="E66" s="56">
        <f t="shared" si="21"/>
        <v>134.529</v>
      </c>
      <c r="F66" s="56">
        <f t="shared" si="21"/>
        <v>133.04599999999999</v>
      </c>
      <c r="G66" s="56">
        <f t="shared" si="21"/>
        <v>129.333</v>
      </c>
      <c r="H66" s="55">
        <f t="shared" si="21"/>
        <v>132.023</v>
      </c>
      <c r="I66" s="55">
        <f t="shared" si="21"/>
        <v>122.11699999999999</v>
      </c>
      <c r="J66" s="55">
        <f t="shared" si="21"/>
        <v>108.883</v>
      </c>
      <c r="K66" s="55">
        <f t="shared" si="21"/>
        <v>113.96</v>
      </c>
      <c r="L66" s="55">
        <f t="shared" si="21"/>
        <v>109.23400000000001</v>
      </c>
      <c r="M66" s="55">
        <f>IF(ISERR(M42+M60),"..",IF((M42+M60)=0,"-",(M42+M60)))</f>
        <v>98.420299999999997</v>
      </c>
      <c r="N66" s="55" t="str">
        <f t="shared" si="19"/>
        <v>..</v>
      </c>
      <c r="O66" s="55" t="str">
        <f t="shared" si="19"/>
        <v>..</v>
      </c>
    </row>
    <row r="67" spans="1:15" ht="5.2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</row>
    <row r="68" spans="1:15" ht="6" customHeight="1"/>
    <row r="69" spans="1:15" s="29" customFormat="1" ht="14.25">
      <c r="A69" s="61">
        <v>1</v>
      </c>
      <c r="B69" s="29" t="s">
        <v>259</v>
      </c>
    </row>
    <row r="70" spans="1:15" s="29" customFormat="1" ht="14.25">
      <c r="A70" s="61">
        <v>2</v>
      </c>
      <c r="B70" s="29" t="s">
        <v>116</v>
      </c>
    </row>
    <row r="71" spans="1:15" s="29" customFormat="1" ht="14.25">
      <c r="A71" s="61">
        <v>3</v>
      </c>
      <c r="B71" s="29" t="s">
        <v>390</v>
      </c>
    </row>
    <row r="72" spans="1:15" s="29" customFormat="1" ht="14.25">
      <c r="A72" s="61">
        <v>4</v>
      </c>
      <c r="B72" s="29" t="s">
        <v>393</v>
      </c>
    </row>
    <row r="73" spans="1:15" s="29" customFormat="1" ht="14.25">
      <c r="A73" s="61"/>
      <c r="B73" s="29" t="s">
        <v>394</v>
      </c>
    </row>
    <row r="74" spans="1:15" s="29" customFormat="1" ht="14.25">
      <c r="A74" s="61">
        <v>5</v>
      </c>
      <c r="B74" s="29" t="s">
        <v>117</v>
      </c>
    </row>
    <row r="75" spans="1:15" s="29" customFormat="1" ht="14.25">
      <c r="A75" s="61"/>
      <c r="B75" s="29" t="s">
        <v>118</v>
      </c>
    </row>
    <row r="76" spans="1:15" s="29" customFormat="1" ht="14.25">
      <c r="A76" s="61">
        <v>6</v>
      </c>
      <c r="B76" s="29" t="s">
        <v>119</v>
      </c>
    </row>
    <row r="77" spans="1:15" s="29" customFormat="1" ht="14.25">
      <c r="A77" s="61">
        <v>7</v>
      </c>
      <c r="B77" s="29" t="s">
        <v>120</v>
      </c>
    </row>
    <row r="78" spans="1:15" s="29" customFormat="1" ht="14.25">
      <c r="A78" s="61">
        <v>8</v>
      </c>
      <c r="B78" s="29" t="s">
        <v>121</v>
      </c>
    </row>
    <row r="79" spans="1:15" ht="102" customHeight="1"/>
  </sheetData>
  <phoneticPr fontId="3" type="noConversion"/>
  <pageMargins left="0.75" right="0.75" top="0.8" bottom="0.81" header="0.5" footer="0.5"/>
  <pageSetup paperSize="9" scale="5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C76"/>
  <sheetViews>
    <sheetView zoomScale="75" zoomScaleNormal="75" workbookViewId="0">
      <selection activeCell="AE48" sqref="AE48"/>
    </sheetView>
  </sheetViews>
  <sheetFormatPr defaultRowHeight="12.75"/>
  <cols>
    <col min="1" max="2" width="9.140625" style="379"/>
    <col min="3" max="3" width="12.42578125" style="379" customWidth="1"/>
    <col min="4" max="16" width="9.140625" style="379" hidden="1" customWidth="1"/>
    <col min="17" max="17" width="11.140625" style="379" hidden="1" customWidth="1"/>
    <col min="18" max="27" width="11.140625" style="379" customWidth="1"/>
    <col min="28" max="28" width="10.42578125" style="379" customWidth="1"/>
    <col min="29" max="29" width="3.140625" style="379" customWidth="1"/>
    <col min="30" max="16384" width="9.140625" style="379"/>
  </cols>
  <sheetData>
    <row r="1" spans="1:28" ht="20.25">
      <c r="A1" s="46" t="s">
        <v>655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549" t="s">
        <v>668</v>
      </c>
      <c r="AA1" s="607"/>
    </row>
    <row r="2" spans="1:28" ht="18">
      <c r="A2" s="59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45"/>
      <c r="AA2" s="45"/>
    </row>
    <row r="3" spans="1:28" ht="18">
      <c r="A3" s="482"/>
      <c r="B3" s="482"/>
      <c r="C3" s="482"/>
      <c r="D3" s="40">
        <v>1990</v>
      </c>
      <c r="E3" s="40" t="s">
        <v>449</v>
      </c>
      <c r="F3" s="40" t="s">
        <v>450</v>
      </c>
      <c r="G3" s="482">
        <v>1993</v>
      </c>
      <c r="H3" s="482">
        <v>1994</v>
      </c>
      <c r="I3" s="482">
        <v>1995</v>
      </c>
      <c r="J3" s="482">
        <v>1996</v>
      </c>
      <c r="K3" s="482">
        <v>1997</v>
      </c>
      <c r="L3" s="482">
        <v>1998</v>
      </c>
      <c r="M3" s="482">
        <v>1999</v>
      </c>
      <c r="N3" s="482">
        <v>2000</v>
      </c>
      <c r="O3" s="482">
        <v>2001</v>
      </c>
      <c r="P3" s="482">
        <v>2002</v>
      </c>
      <c r="Q3" s="482">
        <v>2003</v>
      </c>
      <c r="R3" s="482">
        <v>2004</v>
      </c>
      <c r="S3" s="482">
        <v>2005</v>
      </c>
      <c r="T3" s="482">
        <v>2006</v>
      </c>
      <c r="U3" s="482">
        <v>2007</v>
      </c>
      <c r="V3" s="482">
        <v>2008</v>
      </c>
      <c r="W3" s="482">
        <v>2009</v>
      </c>
      <c r="X3" s="482">
        <v>2010</v>
      </c>
      <c r="Y3" s="482">
        <v>2011</v>
      </c>
      <c r="Z3" s="482">
        <v>2012</v>
      </c>
      <c r="AA3" s="482">
        <v>2013</v>
      </c>
      <c r="AB3" s="482">
        <v>2014</v>
      </c>
    </row>
    <row r="4" spans="1:28" ht="18">
      <c r="A4" s="484"/>
      <c r="B4" s="484"/>
      <c r="C4" s="484"/>
      <c r="D4" s="484"/>
      <c r="E4" s="484"/>
      <c r="F4" s="484"/>
      <c r="G4" s="484"/>
      <c r="H4" s="484"/>
      <c r="I4" s="484"/>
      <c r="J4" s="484"/>
      <c r="K4" s="608"/>
      <c r="L4" s="484"/>
      <c r="M4" s="484"/>
      <c r="N4" s="484"/>
      <c r="O4" s="484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8" ht="18.75">
      <c r="A5" s="46" t="s">
        <v>656</v>
      </c>
      <c r="B5" s="47"/>
      <c r="C5" s="49"/>
      <c r="D5" s="49"/>
      <c r="E5" s="49"/>
      <c r="F5" s="49"/>
      <c r="G5" s="49"/>
      <c r="H5" s="49"/>
      <c r="I5" s="49"/>
      <c r="J5" s="49"/>
      <c r="K5" s="609"/>
      <c r="L5" s="49"/>
      <c r="M5" s="49"/>
      <c r="N5" s="49"/>
      <c r="O5" s="49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B5" s="44" t="s">
        <v>122</v>
      </c>
    </row>
    <row r="6" spans="1:28" ht="18">
      <c r="A6" s="45"/>
      <c r="B6" s="49"/>
      <c r="C6" s="58" t="s">
        <v>123</v>
      </c>
      <c r="D6" s="609">
        <v>1788</v>
      </c>
      <c r="E6" s="609">
        <v>1829.5</v>
      </c>
      <c r="F6" s="609">
        <v>1884</v>
      </c>
      <c r="G6" s="609">
        <v>1873.8</v>
      </c>
      <c r="H6" s="609">
        <v>1900</v>
      </c>
      <c r="I6" s="609">
        <v>1909.9</v>
      </c>
      <c r="J6" s="609">
        <v>1966.4</v>
      </c>
      <c r="K6" s="609">
        <v>2022.6</v>
      </c>
      <c r="L6" s="609">
        <v>2073</v>
      </c>
      <c r="M6" s="609">
        <v>2131</v>
      </c>
      <c r="N6" s="609">
        <v>2188.357</v>
      </c>
      <c r="O6" s="609">
        <v>2262.248</v>
      </c>
      <c r="P6" s="609">
        <f>'S1 Numbers'!C7</f>
        <v>2330</v>
      </c>
      <c r="Q6" s="609">
        <f>'S1 Numbers'!D7</f>
        <v>2382.9899999999998</v>
      </c>
      <c r="R6" s="675">
        <f>'S1 Numbers'!E7</f>
        <v>2448.1840000000002</v>
      </c>
      <c r="S6" s="675">
        <f>'S1 Numbers'!F7</f>
        <v>2531.3339999999998</v>
      </c>
      <c r="T6" s="675">
        <f>'S1 Numbers'!G7</f>
        <v>2564.2930000000001</v>
      </c>
      <c r="U6" s="675">
        <f>'S1 Numbers'!H7</f>
        <v>2626.9830000000002</v>
      </c>
      <c r="V6" s="675">
        <f>'S1 Numbers'!I7</f>
        <v>2665.1860000000001</v>
      </c>
      <c r="W6" s="675">
        <f>'S1 Numbers'!J7</f>
        <v>2683.8969999999995</v>
      </c>
      <c r="X6" s="675">
        <f>'S1 Numbers'!K7</f>
        <v>2684.6819999999998</v>
      </c>
      <c r="Y6" s="675">
        <f>'S1 Numbers'!L7</f>
        <v>2691</v>
      </c>
      <c r="Z6" s="675">
        <f>'S1 Numbers'!M7</f>
        <v>2717</v>
      </c>
      <c r="AA6" s="675">
        <f>'S1 Numbers'!N7</f>
        <v>2759</v>
      </c>
      <c r="AB6" s="675">
        <f>'S1 Numbers'!O7</f>
        <v>2821.3599999999992</v>
      </c>
    </row>
    <row r="7" spans="1:28" ht="18">
      <c r="A7" s="45"/>
      <c r="B7" s="49"/>
      <c r="C7" s="58" t="s">
        <v>124</v>
      </c>
      <c r="D7" s="502">
        <v>24673</v>
      </c>
      <c r="E7" s="502">
        <v>24511</v>
      </c>
      <c r="F7" s="502">
        <v>24851</v>
      </c>
      <c r="G7" s="502">
        <v>24826</v>
      </c>
      <c r="H7" s="502">
        <v>25231</v>
      </c>
      <c r="I7" s="502">
        <v>25369</v>
      </c>
      <c r="J7" s="502">
        <v>26302</v>
      </c>
      <c r="K7" s="502">
        <v>26974</v>
      </c>
      <c r="L7" s="502">
        <v>27538</v>
      </c>
      <c r="M7" s="502">
        <v>28368</v>
      </c>
      <c r="N7" s="502">
        <v>28898</v>
      </c>
      <c r="O7" s="502">
        <v>29747</v>
      </c>
      <c r="P7" s="502">
        <v>30557</v>
      </c>
      <c r="Q7" s="502">
        <v>31207</v>
      </c>
      <c r="R7" s="502">
        <v>32259</v>
      </c>
      <c r="S7" s="502">
        <v>32897</v>
      </c>
      <c r="T7" s="502">
        <v>33070.483999999997</v>
      </c>
      <c r="U7" s="502">
        <v>33650.981</v>
      </c>
      <c r="V7" s="502">
        <v>33883.382000000005</v>
      </c>
      <c r="W7" s="502">
        <v>33958.428999999996</v>
      </c>
      <c r="X7" s="502">
        <v>34120.147999999994</v>
      </c>
      <c r="Y7" s="502">
        <v>34228.593999999997</v>
      </c>
      <c r="Z7" s="502">
        <v>34522.322</v>
      </c>
      <c r="AA7" s="502">
        <v>35034.487000000001</v>
      </c>
      <c r="AB7" s="502">
        <v>35633.107000000004</v>
      </c>
    </row>
    <row r="8" spans="1:28" ht="18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8" ht="21.75">
      <c r="A9" s="47" t="s">
        <v>657</v>
      </c>
      <c r="B9" s="45"/>
      <c r="C9" s="45"/>
      <c r="D9" s="610"/>
      <c r="E9" s="610"/>
      <c r="F9" s="610"/>
      <c r="G9" s="610"/>
      <c r="H9" s="610"/>
      <c r="I9" s="610"/>
      <c r="J9" s="610"/>
      <c r="K9" s="610"/>
      <c r="L9" s="610"/>
      <c r="M9" s="610"/>
      <c r="N9" s="610"/>
      <c r="O9" s="610"/>
      <c r="P9" s="610"/>
      <c r="Q9" s="610"/>
      <c r="R9" s="610"/>
      <c r="S9" s="610"/>
      <c r="T9" s="610"/>
      <c r="U9" s="610"/>
      <c r="V9" s="610"/>
      <c r="W9" s="610"/>
      <c r="X9" s="610"/>
      <c r="Y9" s="610"/>
      <c r="Z9" s="610"/>
      <c r="AB9" s="610" t="s">
        <v>451</v>
      </c>
    </row>
    <row r="10" spans="1:28" ht="18">
      <c r="A10" s="45"/>
      <c r="B10" s="45"/>
      <c r="C10" s="45" t="s">
        <v>123</v>
      </c>
      <c r="D10" s="526">
        <v>57</v>
      </c>
      <c r="E10" s="526">
        <v>58</v>
      </c>
      <c r="F10" s="526">
        <v>57</v>
      </c>
      <c r="G10" s="526">
        <v>59</v>
      </c>
      <c r="H10" s="526">
        <v>62</v>
      </c>
      <c r="I10" s="526">
        <v>64</v>
      </c>
      <c r="J10" s="611">
        <v>61.303462321792253</v>
      </c>
      <c r="K10" s="611">
        <v>64.573570759137766</v>
      </c>
      <c r="L10" s="611">
        <v>62.320916905444129</v>
      </c>
      <c r="M10" s="611">
        <v>66.491228070175438</v>
      </c>
      <c r="N10" s="526" t="s">
        <v>7</v>
      </c>
      <c r="O10" s="526" t="s">
        <v>7</v>
      </c>
      <c r="P10" s="526" t="s">
        <v>7</v>
      </c>
      <c r="Q10" s="611">
        <v>68.547731237467332</v>
      </c>
      <c r="R10" s="526" t="s">
        <v>7</v>
      </c>
      <c r="S10" s="611">
        <v>69.146954684757048</v>
      </c>
      <c r="T10" s="526" t="s">
        <v>7</v>
      </c>
      <c r="U10" s="611">
        <v>70.377809307953584</v>
      </c>
      <c r="V10" s="526" t="s">
        <v>7</v>
      </c>
      <c r="W10" s="611">
        <v>69.877849287752696</v>
      </c>
      <c r="X10" s="526" t="s">
        <v>7</v>
      </c>
      <c r="Y10" s="531">
        <v>70</v>
      </c>
      <c r="Z10" s="526" t="s">
        <v>7</v>
      </c>
      <c r="AA10" s="526" t="s">
        <v>7</v>
      </c>
      <c r="AB10" s="526" t="s">
        <v>7</v>
      </c>
    </row>
    <row r="11" spans="1:28" ht="18">
      <c r="A11" s="45"/>
      <c r="B11" s="45"/>
      <c r="C11" s="45" t="s">
        <v>124</v>
      </c>
      <c r="D11" s="526">
        <v>67</v>
      </c>
      <c r="E11" s="526">
        <v>68</v>
      </c>
      <c r="F11" s="526">
        <v>68</v>
      </c>
      <c r="G11" s="526">
        <v>69</v>
      </c>
      <c r="H11" s="526">
        <v>68</v>
      </c>
      <c r="I11" s="526">
        <v>70</v>
      </c>
      <c r="J11" s="611">
        <v>69.543863957271782</v>
      </c>
      <c r="K11" s="611">
        <v>70.115631130481646</v>
      </c>
      <c r="L11" s="611">
        <v>72.164845620363025</v>
      </c>
      <c r="M11" s="611">
        <v>71.552164989881234</v>
      </c>
      <c r="N11" s="526" t="s">
        <v>7</v>
      </c>
      <c r="O11" s="526" t="s">
        <v>7</v>
      </c>
      <c r="P11" s="526" t="s">
        <v>7</v>
      </c>
      <c r="Q11" s="611">
        <v>73.631000164952994</v>
      </c>
      <c r="R11" s="526" t="s">
        <v>7</v>
      </c>
      <c r="S11" s="611">
        <v>75.189216629261523</v>
      </c>
      <c r="T11" s="526" t="s">
        <v>7</v>
      </c>
      <c r="U11" s="611">
        <v>74.831007581584444</v>
      </c>
      <c r="V11" s="526" t="s">
        <v>7</v>
      </c>
      <c r="W11" s="611">
        <v>74.793096205795536</v>
      </c>
      <c r="X11" s="526" t="s">
        <v>7</v>
      </c>
      <c r="Y11" s="531">
        <v>72</v>
      </c>
      <c r="Z11" s="526" t="s">
        <v>7</v>
      </c>
      <c r="AA11" s="526" t="s">
        <v>7</v>
      </c>
      <c r="AB11" s="526" t="s">
        <v>7</v>
      </c>
    </row>
    <row r="12" spans="1:28" ht="18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8" ht="18.75">
      <c r="A13" s="46" t="s">
        <v>658</v>
      </c>
      <c r="B13" s="45"/>
      <c r="C13" s="49"/>
      <c r="D13" s="610"/>
      <c r="E13" s="610"/>
      <c r="F13" s="610"/>
      <c r="G13" s="610"/>
      <c r="H13" s="610"/>
      <c r="I13" s="610"/>
      <c r="J13" s="610"/>
      <c r="K13" s="610"/>
      <c r="L13" s="610"/>
      <c r="M13" s="610"/>
      <c r="N13" s="610"/>
      <c r="O13" s="610"/>
      <c r="P13" s="610"/>
      <c r="Q13" s="610"/>
      <c r="R13" s="610"/>
      <c r="S13" s="610"/>
      <c r="T13" s="610"/>
      <c r="U13" s="610"/>
      <c r="V13" s="610"/>
      <c r="W13" s="610"/>
      <c r="X13" s="610"/>
      <c r="Y13" s="610"/>
      <c r="Z13" s="610"/>
      <c r="AB13" s="610" t="s">
        <v>452</v>
      </c>
    </row>
    <row r="14" spans="1:28" ht="18">
      <c r="A14" s="45"/>
      <c r="B14" s="49"/>
      <c r="C14" s="45" t="s">
        <v>123</v>
      </c>
      <c r="D14" s="612">
        <v>51.7</v>
      </c>
      <c r="E14" s="612">
        <v>51.923000000000002</v>
      </c>
      <c r="F14" s="612">
        <v>52.048999999999999</v>
      </c>
      <c r="G14" s="612">
        <v>52.134999999999998</v>
      </c>
      <c r="H14" s="612">
        <v>52.345999999999997</v>
      </c>
      <c r="I14" s="612">
        <v>52.802</v>
      </c>
      <c r="J14" s="612">
        <v>53.078000000000003</v>
      </c>
      <c r="K14" s="612">
        <v>53.149000000000001</v>
      </c>
      <c r="L14" s="612">
        <v>53.325000000000003</v>
      </c>
      <c r="M14" s="612">
        <v>53.523000000000003</v>
      </c>
      <c r="N14" s="612">
        <v>53.886000000000003</v>
      </c>
      <c r="O14" s="612">
        <v>54.053669999999997</v>
      </c>
      <c r="P14" s="612">
        <f>'S1 Numbers'!C30/1000</f>
        <v>54.589469999999999</v>
      </c>
      <c r="Q14" s="612">
        <f>'S1 Numbers'!D30/1000</f>
        <v>54.55928999999999</v>
      </c>
      <c r="R14" s="676">
        <f>'S1 Numbers'!E30/1000</f>
        <v>54.590490000000003</v>
      </c>
      <c r="S14" s="676">
        <f>'S1 Numbers'!F30/1000</f>
        <v>54.846559999999997</v>
      </c>
      <c r="T14" s="676">
        <f>'S1 Numbers'!G30/1000</f>
        <v>54.968389999999999</v>
      </c>
      <c r="U14" s="676">
        <f>'S1 Numbers'!H30/1000</f>
        <v>55.185890000000001</v>
      </c>
      <c r="V14" s="676">
        <f>'S1 Numbers'!I30/1000</f>
        <v>55.343599999999995</v>
      </c>
      <c r="W14" s="676">
        <f>'S1 Numbers'!J30/1000</f>
        <v>55.532269999999997</v>
      </c>
      <c r="X14" s="676">
        <f>'S1 Numbers'!K30/1000</f>
        <v>55.625599999999999</v>
      </c>
      <c r="Y14" s="676">
        <f>'S1 Numbers'!L30/1000</f>
        <v>55.758002000000005</v>
      </c>
      <c r="Z14" s="676">
        <f>'S1 Numbers'!M30/1000</f>
        <v>55.898245000000003</v>
      </c>
      <c r="AA14" s="676">
        <f>'S1 Numbers'!N30/1000</f>
        <v>55.961631999999994</v>
      </c>
      <c r="AB14" s="676">
        <f>'S1 Numbers'!O30/1000</f>
        <v>55.987206000000008</v>
      </c>
    </row>
    <row r="15" spans="1:28" ht="21">
      <c r="A15" s="45"/>
      <c r="B15" s="45"/>
      <c r="C15" s="45" t="s">
        <v>659</v>
      </c>
      <c r="D15" s="508">
        <v>358</v>
      </c>
      <c r="E15" s="508">
        <v>359.96600000000001</v>
      </c>
      <c r="F15" s="508">
        <v>362.31</v>
      </c>
      <c r="G15" s="508">
        <v>384.8</v>
      </c>
      <c r="H15" s="508">
        <v>385.6</v>
      </c>
      <c r="I15" s="508">
        <v>386.4</v>
      </c>
      <c r="J15" s="508">
        <v>387</v>
      </c>
      <c r="K15" s="508">
        <v>387.9</v>
      </c>
      <c r="L15" s="508">
        <v>388.6</v>
      </c>
      <c r="M15" s="508">
        <v>389.5</v>
      </c>
      <c r="N15" s="508">
        <v>390.2</v>
      </c>
      <c r="O15" s="508">
        <v>391</v>
      </c>
      <c r="P15" s="508">
        <v>391.6</v>
      </c>
      <c r="Q15" s="506">
        <v>392.3</v>
      </c>
      <c r="R15" s="508">
        <v>387.7</v>
      </c>
      <c r="S15" s="508">
        <v>388</v>
      </c>
      <c r="T15" s="508">
        <v>398.4</v>
      </c>
      <c r="U15" s="508">
        <v>398.9</v>
      </c>
      <c r="V15" s="508">
        <v>394.5</v>
      </c>
      <c r="W15" s="508">
        <v>394.428</v>
      </c>
      <c r="X15" s="508">
        <v>394.25299999999999</v>
      </c>
      <c r="Y15" s="508">
        <v>394.29500000000002</v>
      </c>
      <c r="Z15" s="508">
        <v>394.89</v>
      </c>
      <c r="AA15" s="508">
        <v>395.46089999999998</v>
      </c>
      <c r="AB15" s="508">
        <v>395.61989999999997</v>
      </c>
    </row>
    <row r="16" spans="1:28" ht="18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</row>
    <row r="17" spans="1:28" ht="18.75">
      <c r="A17" s="47" t="s">
        <v>22</v>
      </c>
      <c r="B17" s="45"/>
      <c r="C17" s="49"/>
      <c r="D17" s="613"/>
      <c r="E17" s="613"/>
      <c r="F17" s="613"/>
      <c r="G17" s="613"/>
      <c r="H17" s="613"/>
      <c r="I17" s="613"/>
      <c r="J17" s="613"/>
      <c r="K17" s="613"/>
      <c r="L17" s="613"/>
      <c r="M17" s="613"/>
      <c r="N17" s="613"/>
      <c r="O17" s="613"/>
      <c r="P17" s="613"/>
      <c r="Q17" s="613"/>
      <c r="R17" s="613"/>
      <c r="S17" s="613"/>
      <c r="T17" s="613"/>
      <c r="U17" s="613"/>
      <c r="V17" s="613"/>
      <c r="W17" s="613"/>
      <c r="X17" s="613"/>
      <c r="Y17" s="613"/>
      <c r="Z17" s="613"/>
      <c r="AB17" s="613" t="s">
        <v>453</v>
      </c>
    </row>
    <row r="18" spans="1:28" ht="18">
      <c r="A18" s="47"/>
      <c r="B18" s="45" t="s">
        <v>126</v>
      </c>
      <c r="C18" s="49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</row>
    <row r="19" spans="1:28" ht="18">
      <c r="A19" s="45"/>
      <c r="B19" s="45"/>
      <c r="C19" s="45" t="s">
        <v>123</v>
      </c>
      <c r="D19" s="614">
        <v>3.3</v>
      </c>
      <c r="E19" s="614">
        <v>3.2</v>
      </c>
      <c r="F19" s="614">
        <v>3.516</v>
      </c>
      <c r="G19" s="614">
        <v>4.3380000000000001</v>
      </c>
      <c r="H19" s="614">
        <v>4.4539999999999997</v>
      </c>
      <c r="I19" s="614">
        <v>4.3179999999999996</v>
      </c>
      <c r="J19" s="614">
        <v>4.5860000000000003</v>
      </c>
      <c r="K19" s="614">
        <v>4.8520000000000003</v>
      </c>
      <c r="L19" s="614">
        <v>5.0720000000000001</v>
      </c>
      <c r="M19" s="614">
        <v>5.1639999999999997</v>
      </c>
      <c r="N19" s="614">
        <v>5.4050000000000002</v>
      </c>
      <c r="O19" s="614">
        <v>5.5670000000000002</v>
      </c>
      <c r="P19" s="614">
        <f>'S1 Numbers'!C33/1000</f>
        <v>5.73</v>
      </c>
      <c r="Q19" s="614">
        <f>'S1 Numbers'!D33/1000</f>
        <v>5.8559999999999999</v>
      </c>
      <c r="R19" s="672">
        <f>'S1 Numbers'!E33/1000</f>
        <v>6.0942030000000003</v>
      </c>
      <c r="S19" s="672">
        <f>'S1 Numbers'!F33/1000</f>
        <v>6.1507899999999998</v>
      </c>
      <c r="T19" s="672">
        <f>'S1 Numbers'!G33/1000</f>
        <v>6.4329999999999998</v>
      </c>
      <c r="U19" s="672">
        <f>'S1 Numbers'!H33/1000</f>
        <v>6.577</v>
      </c>
      <c r="V19" s="672">
        <f>'S1 Numbers'!I33/1000</f>
        <v>6.6829999999999998</v>
      </c>
      <c r="W19" s="672">
        <f>'S1 Numbers'!J33/1000</f>
        <v>6.633</v>
      </c>
      <c r="X19" s="672">
        <f>'S1 Numbers'!K33/1000</f>
        <v>6.5030000000000001</v>
      </c>
      <c r="Y19" s="672">
        <f>'S1 Numbers'!L33/1000</f>
        <v>6.57</v>
      </c>
      <c r="Z19" s="672">
        <f>'S1 Numbers'!M33/1000</f>
        <v>7.14</v>
      </c>
      <c r="AA19" s="672">
        <f>'S1 Numbers'!N33/1000</f>
        <v>7.2619999999999996</v>
      </c>
      <c r="AB19" s="672">
        <f>'S1 Numbers'!O33/1000</f>
        <v>7.4210000000000003</v>
      </c>
    </row>
    <row r="20" spans="1:28" ht="18">
      <c r="A20" s="45"/>
      <c r="B20" s="45"/>
      <c r="C20" s="45" t="s">
        <v>127</v>
      </c>
      <c r="D20" s="615">
        <v>61.6</v>
      </c>
      <c r="E20" s="615">
        <v>61</v>
      </c>
      <c r="F20" s="615">
        <v>61.5</v>
      </c>
      <c r="G20" s="615">
        <v>68.2</v>
      </c>
      <c r="H20" s="615">
        <v>70.7</v>
      </c>
      <c r="I20" s="615">
        <v>73.900000000000006</v>
      </c>
      <c r="J20" s="615">
        <v>78.3</v>
      </c>
      <c r="K20" s="615">
        <v>82.1</v>
      </c>
      <c r="L20" s="615">
        <v>85.7</v>
      </c>
      <c r="M20" s="615">
        <v>87.8</v>
      </c>
      <c r="N20" s="615">
        <v>88.3</v>
      </c>
      <c r="O20" s="615">
        <v>90.8</v>
      </c>
      <c r="P20" s="615">
        <v>92.6</v>
      </c>
      <c r="Q20" s="615">
        <v>93</v>
      </c>
      <c r="R20" s="615">
        <v>96.6</v>
      </c>
      <c r="S20" s="615">
        <v>97</v>
      </c>
      <c r="T20" s="615">
        <v>99.5</v>
      </c>
      <c r="U20" s="615">
        <v>100.6</v>
      </c>
      <c r="V20" s="615">
        <v>100.1</v>
      </c>
      <c r="W20" s="615">
        <v>99.5</v>
      </c>
      <c r="X20" s="615">
        <v>98.2</v>
      </c>
      <c r="Y20" s="615">
        <v>99.5</v>
      </c>
      <c r="Z20" s="615">
        <v>100.4</v>
      </c>
      <c r="AA20" s="615">
        <v>101.9</v>
      </c>
      <c r="AB20" s="615">
        <v>103.5</v>
      </c>
    </row>
    <row r="21" spans="1:28" ht="18">
      <c r="A21" s="45"/>
      <c r="B21" s="45" t="s">
        <v>25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616"/>
    </row>
    <row r="22" spans="1:28" ht="18">
      <c r="A22" s="45"/>
      <c r="B22" s="45"/>
      <c r="C22" s="45" t="s">
        <v>123</v>
      </c>
      <c r="D22" s="617">
        <v>18.5</v>
      </c>
      <c r="E22" s="617">
        <v>18.747</v>
      </c>
      <c r="F22" s="617">
        <v>19.059999999999999</v>
      </c>
      <c r="G22" s="617">
        <v>18.806999999999999</v>
      </c>
      <c r="H22" s="617">
        <v>19.305</v>
      </c>
      <c r="I22" s="617">
        <v>19.670000000000002</v>
      </c>
      <c r="J22" s="617">
        <v>20.253</v>
      </c>
      <c r="K22" s="617">
        <v>20.6</v>
      </c>
      <c r="L22" s="617">
        <v>20.812000000000001</v>
      </c>
      <c r="M22" s="617">
        <v>21.021000000000001</v>
      </c>
      <c r="N22" s="617">
        <v>20.530999999999999</v>
      </c>
      <c r="O22" s="617">
        <v>20.774999999999999</v>
      </c>
      <c r="P22" s="617">
        <f>'S1 Numbers'!C34/1000</f>
        <v>21.533000000000001</v>
      </c>
      <c r="Q22" s="617">
        <f>'S1 Numbers'!D34/1000</f>
        <v>21.826000000000001</v>
      </c>
      <c r="R22" s="673">
        <f>'S1 Numbers'!E34/1000</f>
        <v>22.114000000000001</v>
      </c>
      <c r="S22" s="673">
        <f>'S1 Numbers'!F34/1000</f>
        <v>21.904105999999999</v>
      </c>
      <c r="T22" s="673">
        <f>'S1 Numbers'!G34/1000</f>
        <v>22.465</v>
      </c>
      <c r="U22" s="673">
        <f>'S1 Numbers'!H34/1000</f>
        <v>22.408000000000001</v>
      </c>
      <c r="V22" s="673">
        <f>'S1 Numbers'!I34/1000</f>
        <v>22.126999999999999</v>
      </c>
      <c r="W22" s="673">
        <f>'S1 Numbers'!J34/1000</f>
        <v>22.327000000000002</v>
      </c>
      <c r="X22" s="673">
        <f>'S1 Numbers'!K34/1000</f>
        <v>21.992000000000001</v>
      </c>
      <c r="Y22" s="673">
        <f>'S1 Numbers'!L34/1000</f>
        <v>21.995999999999999</v>
      </c>
      <c r="Z22" s="673">
        <f>'S1 Numbers'!M34/1000</f>
        <v>21.713000000000001</v>
      </c>
      <c r="AA22" s="673">
        <f>'S1 Numbers'!N34/1000</f>
        <v>21.786000000000001</v>
      </c>
      <c r="AB22" s="673">
        <f>'S1 Numbers'!O34/1000</f>
        <v>22.015999999999998</v>
      </c>
    </row>
    <row r="23" spans="1:28" ht="21">
      <c r="A23" s="45"/>
      <c r="B23" s="45"/>
      <c r="C23" s="45" t="s">
        <v>660</v>
      </c>
      <c r="D23" s="615">
        <v>193.1</v>
      </c>
      <c r="E23" s="615">
        <v>196.5</v>
      </c>
      <c r="F23" s="615">
        <v>196.5</v>
      </c>
      <c r="G23" s="615">
        <v>190.6</v>
      </c>
      <c r="H23" s="615">
        <v>195.1</v>
      </c>
      <c r="I23" s="615">
        <v>199.6</v>
      </c>
      <c r="J23" s="615">
        <v>204.4</v>
      </c>
      <c r="K23" s="615">
        <v>207.5</v>
      </c>
      <c r="L23" s="615">
        <v>210</v>
      </c>
      <c r="M23" s="615">
        <v>212.6</v>
      </c>
      <c r="N23" s="615">
        <v>211.7</v>
      </c>
      <c r="O23" s="615">
        <v>215.1</v>
      </c>
      <c r="P23" s="615">
        <v>218.6</v>
      </c>
      <c r="Q23" s="618">
        <v>221</v>
      </c>
      <c r="R23" s="615">
        <v>224.1</v>
      </c>
      <c r="S23" s="615">
        <v>223.1</v>
      </c>
      <c r="T23" s="615">
        <v>226.1</v>
      </c>
      <c r="U23" s="615">
        <v>224.9</v>
      </c>
      <c r="V23" s="615">
        <v>222.8</v>
      </c>
      <c r="W23" s="615">
        <v>222.4</v>
      </c>
      <c r="X23" s="615">
        <v>219.5</v>
      </c>
      <c r="Y23" s="615">
        <v>220.4</v>
      </c>
      <c r="Z23" s="615">
        <v>218.5</v>
      </c>
      <c r="AA23" s="615">
        <v>218.6</v>
      </c>
      <c r="AB23" s="615">
        <v>222.8</v>
      </c>
    </row>
    <row r="24" spans="1:28" ht="18">
      <c r="A24" s="45"/>
      <c r="B24" s="45" t="s">
        <v>128</v>
      </c>
      <c r="C24" s="45"/>
      <c r="D24" s="615"/>
      <c r="E24" s="615"/>
      <c r="F24" s="615"/>
      <c r="G24" s="615"/>
      <c r="H24" s="615"/>
      <c r="I24" s="615"/>
      <c r="J24" s="615"/>
      <c r="K24" s="615"/>
      <c r="L24" s="615"/>
      <c r="M24" s="615"/>
      <c r="N24" s="615"/>
      <c r="O24" s="615"/>
      <c r="P24" s="615"/>
      <c r="Q24" s="615"/>
      <c r="R24" s="615"/>
      <c r="S24" s="615"/>
      <c r="T24" s="615"/>
      <c r="U24" s="615"/>
      <c r="V24" s="615"/>
      <c r="W24" s="615"/>
      <c r="X24" s="615"/>
      <c r="Y24" s="615"/>
      <c r="Z24" s="615"/>
      <c r="AA24" s="45"/>
    </row>
    <row r="25" spans="1:28" ht="18">
      <c r="A25" s="45"/>
      <c r="B25" s="45"/>
      <c r="C25" s="45" t="s">
        <v>123</v>
      </c>
      <c r="D25" s="526" t="s">
        <v>7</v>
      </c>
      <c r="E25" s="526" t="s">
        <v>7</v>
      </c>
      <c r="F25" s="526" t="s">
        <v>7</v>
      </c>
      <c r="G25" s="615">
        <v>35.654000000000003</v>
      </c>
      <c r="H25" s="615">
        <v>36.459000000000003</v>
      </c>
      <c r="I25" s="615">
        <v>36.735999999999997</v>
      </c>
      <c r="J25" s="615">
        <v>37.777000000000001</v>
      </c>
      <c r="K25" s="615">
        <v>38.582000000000001</v>
      </c>
      <c r="L25" s="615">
        <v>39.168999999999997</v>
      </c>
      <c r="M25" s="615">
        <v>39.770000000000003</v>
      </c>
      <c r="N25" s="615">
        <v>39.561</v>
      </c>
      <c r="O25" s="615">
        <v>40.064999999999998</v>
      </c>
      <c r="P25" s="615">
        <f>'S1 Numbers'!C35/1000</f>
        <v>41.534999999999997</v>
      </c>
      <c r="Q25" s="615">
        <f>'S1 Numbers'!D35/1000</f>
        <v>42.037999999999997</v>
      </c>
      <c r="R25" s="674">
        <f>'S1 Numbers'!E35/1000</f>
        <v>42.705288000000003</v>
      </c>
      <c r="S25" s="674">
        <f>'S1 Numbers'!F35/1000</f>
        <v>42.717842000000005</v>
      </c>
      <c r="T25" s="674">
        <f>'S1 Numbers'!G35/1000</f>
        <v>44.119</v>
      </c>
      <c r="U25" s="674">
        <f>'S1 Numbers'!H35/1000</f>
        <v>44.665999999999997</v>
      </c>
      <c r="V25" s="674">
        <f>'S1 Numbers'!I35/1000</f>
        <v>44.47</v>
      </c>
      <c r="W25" s="674">
        <f>'S1 Numbers'!J35/1000</f>
        <v>44.219000000000001</v>
      </c>
      <c r="X25" s="674">
        <f>'S1 Numbers'!K35/1000</f>
        <v>43.488</v>
      </c>
      <c r="Y25" s="674">
        <f>'S1 Numbers'!L35/1000</f>
        <v>43.39</v>
      </c>
      <c r="Z25" s="674">
        <f>'S1 Numbers'!M35/1000</f>
        <v>43.548999999999999</v>
      </c>
      <c r="AA25" s="674">
        <f>'S1 Numbers'!N35/1000</f>
        <v>43.84</v>
      </c>
      <c r="AB25" s="674">
        <f>'S1 Numbers'!O35/1000</f>
        <v>44.789000000000001</v>
      </c>
    </row>
    <row r="26" spans="1:28" ht="21">
      <c r="A26" s="45"/>
      <c r="B26" s="45"/>
      <c r="C26" s="45" t="s">
        <v>660</v>
      </c>
      <c r="D26" s="526" t="s">
        <v>7</v>
      </c>
      <c r="E26" s="526" t="s">
        <v>7</v>
      </c>
      <c r="F26" s="526" t="s">
        <v>7</v>
      </c>
      <c r="G26" s="615">
        <v>412.3</v>
      </c>
      <c r="H26" s="615">
        <v>421.5</v>
      </c>
      <c r="I26" s="615">
        <v>429.7</v>
      </c>
      <c r="J26" s="615">
        <v>441.1</v>
      </c>
      <c r="K26" s="615">
        <v>450.3</v>
      </c>
      <c r="L26" s="615">
        <v>458.5</v>
      </c>
      <c r="M26" s="615">
        <v>467</v>
      </c>
      <c r="N26" s="615">
        <v>466.2</v>
      </c>
      <c r="O26" s="615">
        <v>472.6</v>
      </c>
      <c r="P26" s="615">
        <v>483.7</v>
      </c>
      <c r="Q26" s="615">
        <v>486.7</v>
      </c>
      <c r="R26" s="615">
        <v>493.9</v>
      </c>
      <c r="S26" s="615">
        <v>493.9</v>
      </c>
      <c r="T26" s="615">
        <v>501.1</v>
      </c>
      <c r="U26" s="615">
        <v>505.4</v>
      </c>
      <c r="V26" s="615">
        <v>500.6</v>
      </c>
      <c r="W26" s="615">
        <v>495.8</v>
      </c>
      <c r="X26" s="615">
        <v>487.9</v>
      </c>
      <c r="Y26" s="615">
        <v>488.9</v>
      </c>
      <c r="Z26" s="615">
        <v>487.1</v>
      </c>
      <c r="AA26" s="615">
        <v>488.8</v>
      </c>
      <c r="AB26" s="615">
        <v>500.5</v>
      </c>
    </row>
    <row r="27" spans="1:28" ht="18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</row>
    <row r="28" spans="1:28" ht="18.75">
      <c r="A28" s="46" t="s">
        <v>454</v>
      </c>
      <c r="B28" s="45"/>
      <c r="C28" s="45"/>
      <c r="D28" s="613"/>
      <c r="E28" s="613"/>
      <c r="F28" s="613"/>
      <c r="G28" s="613"/>
      <c r="H28" s="613"/>
      <c r="I28" s="613"/>
      <c r="J28" s="613"/>
      <c r="K28" s="613"/>
      <c r="L28" s="613"/>
      <c r="M28" s="613"/>
      <c r="N28" s="613"/>
      <c r="O28" s="613"/>
      <c r="P28" s="613"/>
      <c r="Q28" s="613"/>
      <c r="R28" s="613"/>
      <c r="S28" s="613"/>
      <c r="T28" s="613"/>
      <c r="U28" s="613"/>
      <c r="V28" s="613"/>
      <c r="W28" s="613"/>
      <c r="X28" s="613"/>
      <c r="Y28" s="613"/>
      <c r="Z28" s="613"/>
      <c r="AB28" s="613" t="s">
        <v>122</v>
      </c>
    </row>
    <row r="29" spans="1:28" ht="21">
      <c r="A29" s="45"/>
      <c r="B29" s="49"/>
      <c r="C29" s="45" t="s">
        <v>661</v>
      </c>
      <c r="D29" s="619">
        <v>6.798</v>
      </c>
      <c r="E29" s="619">
        <v>6.1289999999999996</v>
      </c>
      <c r="F29" s="619">
        <v>5.6390000000000002</v>
      </c>
      <c r="G29" s="619">
        <v>4.8529999999999998</v>
      </c>
      <c r="H29" s="619">
        <v>5.5709999999999997</v>
      </c>
      <c r="I29" s="619">
        <v>5.3390000000000004</v>
      </c>
      <c r="J29" s="619">
        <v>4.3979999999999997</v>
      </c>
      <c r="K29" s="619">
        <v>4.4240000000000004</v>
      </c>
      <c r="L29" s="619">
        <v>4.4569999999999999</v>
      </c>
      <c r="M29" s="619">
        <v>4.0750000000000002</v>
      </c>
      <c r="N29" s="619">
        <v>3.8940000000000001</v>
      </c>
      <c r="O29" s="619">
        <v>3.758</v>
      </c>
      <c r="P29" s="619">
        <f>'S1 Numbers'!C39/1000</f>
        <v>3.5329999999999999</v>
      </c>
      <c r="Q29" s="619">
        <f>'S1 Numbers'!D39/1000</f>
        <v>3.2930000000000001</v>
      </c>
      <c r="R29" s="671">
        <f>'S1 Numbers'!E39/1000</f>
        <v>3.0739999999999998</v>
      </c>
      <c r="S29" s="671">
        <f>'S1 Numbers'!F39/1000</f>
        <v>2.952</v>
      </c>
      <c r="T29" s="671">
        <f>'S1 Numbers'!G39/1000</f>
        <v>2.9489999999999998</v>
      </c>
      <c r="U29" s="671">
        <f>'S1 Numbers'!H39/1000</f>
        <v>2.6659999999999999</v>
      </c>
      <c r="V29" s="671">
        <f>'S1 Numbers'!I39/1000</f>
        <v>2.8450000000000002</v>
      </c>
      <c r="W29" s="671">
        <f>'S1 Numbers'!J39/1000</f>
        <v>2.5030000000000001</v>
      </c>
      <c r="X29" s="671">
        <f>'S1 Numbers'!K39/1000</f>
        <v>2.177</v>
      </c>
      <c r="Y29" s="671">
        <f>'S1 Numbers'!L39/1000</f>
        <v>2.0649999999999999</v>
      </c>
      <c r="Z29" s="671">
        <f>'S1 Numbers'!M39/1000</f>
        <v>2.1589999999999998</v>
      </c>
      <c r="AA29" s="671">
        <f>'S1 Numbers'!N39/1000</f>
        <v>1.8440000000000001</v>
      </c>
      <c r="AB29" s="671">
        <f>'S1 Numbers'!O39/1000</f>
        <v>1.8939999999999999</v>
      </c>
    </row>
    <row r="30" spans="1:28" ht="18">
      <c r="A30" s="45"/>
      <c r="B30" s="45"/>
      <c r="C30" s="45" t="s">
        <v>124</v>
      </c>
      <c r="D30" s="615">
        <v>65.658000000000001</v>
      </c>
      <c r="E30" s="615">
        <v>56.186</v>
      </c>
      <c r="F30" s="615">
        <v>53.484999999999999</v>
      </c>
      <c r="G30" s="615">
        <v>48.834000000000003</v>
      </c>
      <c r="H30" s="615">
        <v>50.19</v>
      </c>
      <c r="I30" s="615">
        <v>49.154000000000003</v>
      </c>
      <c r="J30" s="615">
        <v>48.097000000000001</v>
      </c>
      <c r="K30" s="615">
        <v>46.582999999999998</v>
      </c>
      <c r="L30" s="615">
        <v>44.255000000000003</v>
      </c>
      <c r="M30" s="615">
        <v>42.545000000000002</v>
      </c>
      <c r="N30" s="615">
        <v>41.564</v>
      </c>
      <c r="O30" s="615">
        <v>40.56</v>
      </c>
      <c r="P30" s="615">
        <v>39.406999999999996</v>
      </c>
      <c r="Q30" s="615">
        <v>37.215000000000003</v>
      </c>
      <c r="R30" s="615">
        <v>34.350999999999999</v>
      </c>
      <c r="S30" s="615">
        <v>32.155000000000001</v>
      </c>
      <c r="T30" s="615">
        <v>31.844999999999999</v>
      </c>
      <c r="U30" s="615">
        <v>30.7</v>
      </c>
      <c r="V30" s="615">
        <v>28.571999999999999</v>
      </c>
      <c r="W30" s="615">
        <v>26.911999999999999</v>
      </c>
      <c r="X30" s="615">
        <v>24.516999999999999</v>
      </c>
      <c r="Y30" s="615">
        <v>25.023</v>
      </c>
      <c r="Z30" s="615">
        <v>24.792999999999999</v>
      </c>
      <c r="AA30" s="615">
        <v>23.37</v>
      </c>
      <c r="AB30" s="615">
        <v>24.582000000000001</v>
      </c>
    </row>
    <row r="31" spans="1:28" ht="18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pans="1:28" ht="21.75">
      <c r="A32" s="46" t="s">
        <v>662</v>
      </c>
      <c r="B32" s="47"/>
      <c r="C32" s="47"/>
      <c r="D32" s="610"/>
      <c r="E32" s="610"/>
      <c r="F32" s="610"/>
      <c r="G32" s="610"/>
      <c r="H32" s="610"/>
      <c r="I32" s="610"/>
      <c r="J32" s="610"/>
      <c r="K32" s="610"/>
      <c r="L32" s="610"/>
      <c r="M32" s="610"/>
      <c r="N32" s="610"/>
      <c r="O32" s="610"/>
      <c r="P32" s="610"/>
      <c r="Q32" s="610"/>
      <c r="R32" s="610"/>
      <c r="S32" s="610"/>
      <c r="T32" s="610"/>
      <c r="U32" s="610"/>
      <c r="V32" s="610"/>
      <c r="W32" s="610"/>
      <c r="X32" s="610"/>
      <c r="Y32" s="610"/>
      <c r="Z32" s="610"/>
      <c r="AB32" s="610" t="s">
        <v>129</v>
      </c>
    </row>
    <row r="33" spans="1:29" ht="18">
      <c r="A33" s="45"/>
      <c r="B33" s="49"/>
      <c r="C33" s="45" t="s">
        <v>123</v>
      </c>
      <c r="D33" s="609">
        <v>585</v>
      </c>
      <c r="E33" s="609">
        <v>571</v>
      </c>
      <c r="F33" s="609">
        <v>532</v>
      </c>
      <c r="G33" s="609">
        <v>525</v>
      </c>
      <c r="H33" s="609">
        <v>513</v>
      </c>
      <c r="I33" s="609">
        <v>494</v>
      </c>
      <c r="J33" s="609">
        <v>477.89800000000002</v>
      </c>
      <c r="K33" s="609">
        <v>448.45499999999998</v>
      </c>
      <c r="L33" s="620">
        <v>423.798</v>
      </c>
      <c r="M33" s="609">
        <v>454.78399999999999</v>
      </c>
      <c r="N33" s="609">
        <v>457.94900000000001</v>
      </c>
      <c r="O33" s="609">
        <v>465.84899999999999</v>
      </c>
      <c r="P33" s="609">
        <f>'S1 Numbers'!C11</f>
        <v>470.74</v>
      </c>
      <c r="Q33" s="609">
        <f>'S1 Numbers'!D11</f>
        <v>477.58199999999999</v>
      </c>
      <c r="R33" s="621">
        <v>460</v>
      </c>
      <c r="S33" s="609">
        <v>466</v>
      </c>
      <c r="T33" s="609">
        <v>476</v>
      </c>
      <c r="U33" s="609">
        <v>488</v>
      </c>
      <c r="V33" s="609">
        <v>484</v>
      </c>
      <c r="W33" s="609">
        <v>459</v>
      </c>
      <c r="X33" s="609">
        <v>432</v>
      </c>
      <c r="Y33" s="609">
        <v>437.125206348809</v>
      </c>
      <c r="Z33" s="622">
        <v>422.52328929369799</v>
      </c>
      <c r="AA33" s="622">
        <v>424.19715104849598</v>
      </c>
      <c r="AB33" s="622">
        <v>413.93054260802</v>
      </c>
      <c r="AC33" s="689"/>
    </row>
    <row r="34" spans="1:29" ht="18">
      <c r="A34" s="45"/>
      <c r="B34" s="49"/>
      <c r="C34" s="45" t="s">
        <v>124</v>
      </c>
      <c r="D34" s="623">
        <v>4850</v>
      </c>
      <c r="E34" s="623">
        <v>4665</v>
      </c>
      <c r="F34" s="623">
        <v>4480</v>
      </c>
      <c r="G34" s="623">
        <v>4381</v>
      </c>
      <c r="H34" s="623">
        <v>4414</v>
      </c>
      <c r="I34" s="623">
        <v>4366</v>
      </c>
      <c r="J34" s="623">
        <v>4455</v>
      </c>
      <c r="K34" s="623">
        <v>4430</v>
      </c>
      <c r="L34" s="624">
        <v>4350</v>
      </c>
      <c r="M34" s="623">
        <v>4376</v>
      </c>
      <c r="N34" s="623">
        <v>4420</v>
      </c>
      <c r="O34" s="623">
        <v>4455</v>
      </c>
      <c r="P34" s="623">
        <v>4550</v>
      </c>
      <c r="Q34" s="622">
        <v>4681</v>
      </c>
      <c r="R34" s="625">
        <v>4631</v>
      </c>
      <c r="S34" s="622">
        <v>4721</v>
      </c>
      <c r="T34" s="622">
        <v>4913</v>
      </c>
      <c r="U34" s="626">
        <v>5162</v>
      </c>
      <c r="V34" s="622">
        <v>5269</v>
      </c>
      <c r="W34" s="622">
        <v>5210</v>
      </c>
      <c r="X34" s="622">
        <v>5188</v>
      </c>
      <c r="Y34" s="622">
        <v>5215</v>
      </c>
      <c r="Z34" s="622">
        <v>5121</v>
      </c>
      <c r="AA34" s="622">
        <v>5206</v>
      </c>
      <c r="AB34" s="622">
        <v>5163</v>
      </c>
      <c r="AC34" s="689"/>
    </row>
    <row r="35" spans="1:29" ht="18">
      <c r="A35" s="45"/>
      <c r="B35" s="49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</row>
    <row r="36" spans="1:29" ht="21.75">
      <c r="A36" s="46" t="s">
        <v>663</v>
      </c>
      <c r="B36" s="45"/>
      <c r="C36" s="49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B36" s="610" t="s">
        <v>129</v>
      </c>
    </row>
    <row r="37" spans="1:29" ht="18">
      <c r="A37" s="45"/>
      <c r="B37" s="49"/>
      <c r="C37" s="45" t="s">
        <v>123</v>
      </c>
      <c r="D37" s="627">
        <v>54.8</v>
      </c>
      <c r="E37" s="627">
        <v>54.807099310159145</v>
      </c>
      <c r="F37" s="627">
        <v>60.20309737253244</v>
      </c>
      <c r="G37" s="627">
        <v>59.64249407178653</v>
      </c>
      <c r="H37" s="627">
        <v>55.265356449480002</v>
      </c>
      <c r="I37" s="627">
        <v>56.66</v>
      </c>
      <c r="J37" s="627">
        <v>57.49</v>
      </c>
      <c r="K37" s="627">
        <v>60.71</v>
      </c>
      <c r="L37" s="627">
        <v>62.46</v>
      </c>
      <c r="M37" s="627">
        <v>64.88</v>
      </c>
      <c r="N37" s="627">
        <v>64.787857000000002</v>
      </c>
      <c r="O37" s="627">
        <v>64.568996999999996</v>
      </c>
      <c r="P37" s="627">
        <f>'S1 Numbers'!C46</f>
        <v>52.37623</v>
      </c>
      <c r="Q37" s="627">
        <f>'S1 Numbers'!D46</f>
        <v>55.892938999999998</v>
      </c>
      <c r="R37" s="669">
        <f>'S1 Numbers'!E46</f>
        <v>61.256430999999999</v>
      </c>
      <c r="S37" s="669">
        <f>'S1 Numbers'!F46</f>
        <v>66.735898999999989</v>
      </c>
      <c r="T37" s="669">
        <f>'S1 Numbers'!G46</f>
        <v>69.785303999999996</v>
      </c>
      <c r="U37" s="669">
        <f>'S1 Numbers'!H46</f>
        <v>72.744290000000007</v>
      </c>
      <c r="V37" s="669">
        <f>'S1 Numbers'!I46</f>
        <v>76.256077703670073</v>
      </c>
      <c r="W37" s="669">
        <f>'S1 Numbers'!J46</f>
        <v>76.473890324940314</v>
      </c>
      <c r="X37" s="669">
        <f>'S1 Numbers'!K46</f>
        <v>79.4462863670296</v>
      </c>
      <c r="Y37" s="669">
        <f>'S1 Numbers'!L46</f>
        <v>83.310800000000015</v>
      </c>
      <c r="Z37" s="670">
        <f>'S1 Numbers'!M46</f>
        <v>85.752108000000007</v>
      </c>
      <c r="AA37" s="670">
        <f>'S1 Numbers'!N46</f>
        <v>86.7</v>
      </c>
      <c r="AB37" s="680" t="s">
        <v>7</v>
      </c>
    </row>
    <row r="38" spans="1:29" ht="21">
      <c r="A38" s="45"/>
      <c r="B38" s="45"/>
      <c r="C38" s="58" t="s">
        <v>677</v>
      </c>
      <c r="D38" s="628">
        <v>810</v>
      </c>
      <c r="E38" s="628">
        <v>792</v>
      </c>
      <c r="F38" s="628">
        <v>770</v>
      </c>
      <c r="G38" s="628">
        <v>740</v>
      </c>
      <c r="H38" s="628">
        <v>735</v>
      </c>
      <c r="I38" s="628">
        <v>761</v>
      </c>
      <c r="J38" s="628">
        <v>801</v>
      </c>
      <c r="K38" s="628">
        <v>846</v>
      </c>
      <c r="L38" s="629">
        <v>892</v>
      </c>
      <c r="M38" s="628">
        <v>931</v>
      </c>
      <c r="N38" s="628">
        <v>755.07728800000007</v>
      </c>
      <c r="O38" s="628">
        <v>758.62800500000014</v>
      </c>
      <c r="P38" s="628">
        <v>775.31515200000001</v>
      </c>
      <c r="Q38" s="624">
        <v>791.3949819999998</v>
      </c>
      <c r="R38" s="624">
        <v>808.4841540000001</v>
      </c>
      <c r="S38" s="624">
        <v>827.39479300000005</v>
      </c>
      <c r="T38" s="624">
        <v>984.0354719999998</v>
      </c>
      <c r="U38" s="624">
        <v>1018.053317</v>
      </c>
      <c r="V38" s="624">
        <v>1074.1627000000001</v>
      </c>
      <c r="W38" s="624">
        <v>1065.3918000000001</v>
      </c>
      <c r="X38" s="624">
        <v>1160.4289000000001</v>
      </c>
      <c r="Y38" s="624">
        <v>1229.6623</v>
      </c>
      <c r="Z38" s="624">
        <v>1269.0237239999999</v>
      </c>
      <c r="AA38" s="624">
        <v>1333</v>
      </c>
      <c r="AB38" s="680" t="s">
        <v>7</v>
      </c>
    </row>
    <row r="39" spans="1:29" ht="18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630"/>
    </row>
    <row r="40" spans="1:29" ht="18.75">
      <c r="A40" s="46" t="s">
        <v>130</v>
      </c>
      <c r="B40" s="45"/>
      <c r="C40" s="49"/>
      <c r="D40" s="610"/>
      <c r="E40" s="610"/>
      <c r="F40" s="610"/>
      <c r="G40" s="610"/>
      <c r="H40" s="610"/>
      <c r="I40" s="610"/>
      <c r="J40" s="610"/>
      <c r="K40" s="610"/>
      <c r="L40" s="610"/>
      <c r="M40" s="610"/>
      <c r="N40" s="610"/>
      <c r="O40" s="610"/>
      <c r="P40" s="610"/>
      <c r="Q40" s="623"/>
      <c r="R40" s="623"/>
      <c r="S40" s="623"/>
      <c r="T40" s="623"/>
      <c r="U40" s="623"/>
      <c r="V40" s="622"/>
      <c r="W40" s="622"/>
      <c r="X40" s="622"/>
      <c r="Y40" s="622"/>
      <c r="Z40" s="622"/>
      <c r="AA40" s="45"/>
    </row>
    <row r="41" spans="1:29" ht="18">
      <c r="A41" s="45"/>
      <c r="B41" s="49"/>
      <c r="C41" s="45" t="s">
        <v>123</v>
      </c>
      <c r="D41" s="631">
        <v>9.9</v>
      </c>
      <c r="E41" s="631">
        <v>9.5704999999999991</v>
      </c>
      <c r="F41" s="631">
        <v>10.3828</v>
      </c>
      <c r="G41" s="631">
        <v>11.120799999999999</v>
      </c>
      <c r="H41" s="631">
        <v>11.787000000000001</v>
      </c>
      <c r="I41" s="631">
        <v>12.313000000000001</v>
      </c>
      <c r="J41" s="631">
        <v>13.214</v>
      </c>
      <c r="K41" s="631">
        <v>14.391</v>
      </c>
      <c r="L41" s="631">
        <v>15.193</v>
      </c>
      <c r="M41" s="631">
        <v>15.941000000000001</v>
      </c>
      <c r="N41" s="631">
        <v>16.786999999999999</v>
      </c>
      <c r="O41" s="631">
        <v>18.081</v>
      </c>
      <c r="P41" s="631">
        <f>'S1 Numbers'!C50/1000</f>
        <v>19.783000000000001</v>
      </c>
      <c r="Q41" s="631">
        <f>'S1 Numbers'!D50/1000</f>
        <v>21.084</v>
      </c>
      <c r="R41" s="665">
        <f>'S1 Numbers'!E50/1000</f>
        <v>22.555</v>
      </c>
      <c r="S41" s="665">
        <f>'S1 Numbers'!F50/1000</f>
        <v>23.795000000000002</v>
      </c>
      <c r="T41" s="665">
        <f>'S1 Numbers'!G50/1000</f>
        <v>24.437000000000001</v>
      </c>
      <c r="U41" s="665">
        <f>'S1 Numbers'!H50/1000</f>
        <v>25.132000000000001</v>
      </c>
      <c r="V41" s="665">
        <f>'S1 Numbers'!I50/1000</f>
        <v>24.347999999999999</v>
      </c>
      <c r="W41" s="665">
        <f>'S1 Numbers'!J50/1000</f>
        <v>22.495999999999999</v>
      </c>
      <c r="X41" s="665">
        <f>'S1 Numbers'!K50/1000</f>
        <v>20.907</v>
      </c>
      <c r="Y41" s="665">
        <f>'S1 Numbers'!L50/1000</f>
        <v>22.065000000000001</v>
      </c>
      <c r="Z41" s="665">
        <f>'S1 Numbers'!M50/1000</f>
        <v>22.207000000000001</v>
      </c>
      <c r="AA41" s="665">
        <f>'S1 Numbers'!N50/1000</f>
        <v>23.25</v>
      </c>
      <c r="AB41" s="665">
        <f>'S1 Numbers'!O50/1000</f>
        <v>24.076000000000001</v>
      </c>
    </row>
    <row r="42" spans="1:29" ht="18">
      <c r="A42" s="45"/>
      <c r="B42" s="45"/>
      <c r="C42" s="45" t="s">
        <v>131</v>
      </c>
      <c r="D42" s="486">
        <v>102.4</v>
      </c>
      <c r="E42" s="486">
        <v>95.8</v>
      </c>
      <c r="F42" s="486">
        <v>106.1</v>
      </c>
      <c r="G42" s="486">
        <v>112.3</v>
      </c>
      <c r="H42" s="486">
        <v>122.2</v>
      </c>
      <c r="I42" s="486">
        <v>129.4</v>
      </c>
      <c r="J42" s="486">
        <v>135.80000000000001</v>
      </c>
      <c r="K42" s="486">
        <v>146.69999999999999</v>
      </c>
      <c r="L42" s="486">
        <v>158.9</v>
      </c>
      <c r="M42" s="486">
        <v>168.4</v>
      </c>
      <c r="N42" s="486">
        <v>179.88521299999999</v>
      </c>
      <c r="O42" s="486">
        <v>181.230875</v>
      </c>
      <c r="P42" s="486">
        <v>188.8</v>
      </c>
      <c r="Q42" s="486">
        <v>200</v>
      </c>
      <c r="R42" s="510">
        <v>215.7</v>
      </c>
      <c r="S42" s="510">
        <v>228.21700000000001</v>
      </c>
      <c r="T42" s="510">
        <v>235.19900000000001</v>
      </c>
      <c r="U42" s="510">
        <v>240.72200000000001</v>
      </c>
      <c r="V42" s="510">
        <v>235.4</v>
      </c>
      <c r="W42" s="510">
        <v>218.1</v>
      </c>
      <c r="X42" s="510">
        <v>210.655</v>
      </c>
      <c r="Y42" s="510">
        <v>219.28899999999999</v>
      </c>
      <c r="Z42" s="510">
        <v>220.643</v>
      </c>
      <c r="AA42" s="510">
        <v>228.38200000000001</v>
      </c>
      <c r="AB42" s="510">
        <v>238.36199999999999</v>
      </c>
    </row>
    <row r="43" spans="1:29" ht="18">
      <c r="A43" s="630"/>
      <c r="B43" s="630"/>
      <c r="C43" s="630"/>
      <c r="D43" s="630"/>
      <c r="E43" s="630"/>
      <c r="F43" s="630"/>
      <c r="G43" s="630"/>
      <c r="H43" s="630"/>
      <c r="I43" s="630"/>
      <c r="J43" s="630"/>
      <c r="K43" s="630"/>
      <c r="L43" s="630"/>
      <c r="M43" s="630"/>
      <c r="N43" s="630"/>
      <c r="O43" s="630"/>
      <c r="P43" s="630"/>
      <c r="Q43" s="630"/>
      <c r="R43" s="630"/>
      <c r="S43" s="630"/>
      <c r="T43" s="630"/>
      <c r="U43" s="630"/>
      <c r="V43" s="630"/>
      <c r="W43" s="630"/>
      <c r="X43" s="630"/>
      <c r="Y43" s="630"/>
      <c r="Z43" s="630"/>
      <c r="AA43" s="45"/>
    </row>
    <row r="44" spans="1:29" ht="18.75">
      <c r="A44" s="46" t="s">
        <v>132</v>
      </c>
      <c r="B44" s="45"/>
      <c r="C44" s="49"/>
      <c r="D44" s="610"/>
      <c r="E44" s="610"/>
      <c r="F44" s="610"/>
      <c r="G44" s="610"/>
      <c r="H44" s="610"/>
      <c r="I44" s="610"/>
      <c r="J44" s="610"/>
      <c r="K44" s="610"/>
      <c r="L44" s="610"/>
      <c r="M44" s="610"/>
      <c r="N44" s="610"/>
      <c r="O44" s="610"/>
      <c r="P44" s="610"/>
      <c r="Q44" s="610"/>
      <c r="R44" s="610"/>
      <c r="S44" s="610"/>
      <c r="T44" s="610"/>
      <c r="U44" s="610"/>
      <c r="V44" s="610"/>
      <c r="W44" s="610"/>
      <c r="X44" s="610"/>
      <c r="Y44" s="610"/>
      <c r="Z44" s="610"/>
      <c r="AB44" s="610" t="s">
        <v>12</v>
      </c>
    </row>
    <row r="45" spans="1:29" ht="21">
      <c r="A45" s="46"/>
      <c r="B45" s="49" t="s">
        <v>664</v>
      </c>
      <c r="C45" s="49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</row>
    <row r="46" spans="1:29" ht="18">
      <c r="A46" s="45"/>
      <c r="B46" s="45"/>
      <c r="C46" s="45" t="s">
        <v>123</v>
      </c>
      <c r="D46" s="609">
        <v>161</v>
      </c>
      <c r="E46" s="609">
        <v>148.80000000000001</v>
      </c>
      <c r="F46" s="609">
        <v>157.1</v>
      </c>
      <c r="G46" s="609">
        <v>158.9</v>
      </c>
      <c r="H46" s="609">
        <v>155.80000000000001</v>
      </c>
      <c r="I46" s="609">
        <v>157.69999999999999</v>
      </c>
      <c r="J46" s="609">
        <v>162.4</v>
      </c>
      <c r="K46" s="609">
        <v>157.4</v>
      </c>
      <c r="L46" s="609">
        <v>155.6</v>
      </c>
      <c r="M46" s="609">
        <v>155.80000000000001</v>
      </c>
      <c r="N46" s="609">
        <v>158.5</v>
      </c>
      <c r="O46" s="609">
        <v>150.80000000000001</v>
      </c>
      <c r="P46" s="609">
        <f>'S1 Numbers'!C18</f>
        <v>154.4</v>
      </c>
      <c r="Q46" s="609">
        <f>'S1 Numbers'!D18</f>
        <v>153.4</v>
      </c>
      <c r="R46" s="675">
        <f>'S1 Numbers'!E18</f>
        <v>173.1</v>
      </c>
      <c r="S46" s="675">
        <f>'S1 Numbers'!F18</f>
        <v>165.6</v>
      </c>
      <c r="T46" s="675">
        <f>'S1 Numbers'!G18</f>
        <v>170.03526122401001</v>
      </c>
      <c r="U46" s="675">
        <f>'S1 Numbers'!H18</f>
        <v>176.82849159656521</v>
      </c>
      <c r="V46" s="675">
        <f>'S1 Numbers'!I18</f>
        <v>157.03148290364607</v>
      </c>
      <c r="W46" s="675">
        <f>'S1 Numbers'!J18</f>
        <v>131.92345982339137</v>
      </c>
      <c r="X46" s="675">
        <f>'S1 Numbers'!K18</f>
        <v>131.93396436893246</v>
      </c>
      <c r="Y46" s="675">
        <f>'S1 Numbers'!L18</f>
        <v>144.19999999999999</v>
      </c>
      <c r="Z46" s="675">
        <f>'S1 Numbers'!M18</f>
        <v>150.6</v>
      </c>
      <c r="AA46" s="675">
        <f>'S1 Numbers'!N18</f>
        <v>135.80000000000001</v>
      </c>
      <c r="AB46" s="675">
        <f>'S1 Numbers'!O18</f>
        <v>137.6</v>
      </c>
    </row>
    <row r="47" spans="1:29" ht="18">
      <c r="A47" s="45"/>
      <c r="B47" s="49"/>
      <c r="C47" s="45" t="s">
        <v>131</v>
      </c>
      <c r="D47" s="622">
        <v>1645</v>
      </c>
      <c r="E47" s="622">
        <v>1505</v>
      </c>
      <c r="F47" s="622">
        <v>1463</v>
      </c>
      <c r="G47" s="622">
        <v>1523</v>
      </c>
      <c r="H47" s="622">
        <v>1597</v>
      </c>
      <c r="I47" s="622">
        <v>1609</v>
      </c>
      <c r="J47" s="622">
        <v>1628</v>
      </c>
      <c r="K47" s="622">
        <v>1643</v>
      </c>
      <c r="L47" s="622">
        <v>1630</v>
      </c>
      <c r="M47" s="622">
        <v>1567</v>
      </c>
      <c r="N47" s="622">
        <v>1593</v>
      </c>
      <c r="O47" s="622">
        <v>1581</v>
      </c>
      <c r="P47" s="622">
        <v>1627</v>
      </c>
      <c r="Q47" s="632">
        <v>1643</v>
      </c>
      <c r="R47" s="622">
        <v>1744</v>
      </c>
      <c r="S47" s="622">
        <v>1746</v>
      </c>
      <c r="T47" s="622">
        <v>1776</v>
      </c>
      <c r="U47" s="622">
        <v>1822</v>
      </c>
      <c r="V47" s="622">
        <v>1668</v>
      </c>
      <c r="W47" s="622">
        <v>1356</v>
      </c>
      <c r="X47" s="622">
        <v>1489</v>
      </c>
      <c r="Y47" s="622">
        <v>1559</v>
      </c>
      <c r="Z47" s="622">
        <v>1587</v>
      </c>
      <c r="AA47" s="622">
        <v>1475</v>
      </c>
      <c r="AB47" s="622">
        <v>1490</v>
      </c>
    </row>
    <row r="48" spans="1:29" ht="21">
      <c r="A48" s="45"/>
      <c r="B48" s="49" t="s">
        <v>665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</row>
    <row r="49" spans="1:28" ht="18">
      <c r="A49" s="45"/>
      <c r="B49" s="45"/>
      <c r="C49" s="45" t="s">
        <v>123</v>
      </c>
      <c r="D49" s="633">
        <v>9.8000000000000007</v>
      </c>
      <c r="E49" s="633">
        <v>9</v>
      </c>
      <c r="F49" s="633">
        <v>6.96</v>
      </c>
      <c r="G49" s="633">
        <v>5.01</v>
      </c>
      <c r="H49" s="633">
        <v>5.4</v>
      </c>
      <c r="I49" s="634" t="s">
        <v>7</v>
      </c>
      <c r="J49" s="633">
        <v>5.43</v>
      </c>
      <c r="K49" s="633">
        <v>7.04</v>
      </c>
      <c r="L49" s="633">
        <v>7.69</v>
      </c>
      <c r="M49" s="633">
        <v>8.24</v>
      </c>
      <c r="N49" s="633">
        <v>8.25</v>
      </c>
      <c r="O49" s="633">
        <v>9.5701610000000006</v>
      </c>
      <c r="P49" s="633">
        <f>'S1 Numbers'!C19</f>
        <v>9.1199960000000004</v>
      </c>
      <c r="Q49" s="633">
        <f>'S1 Numbers'!D19</f>
        <v>8.3185319999999994</v>
      </c>
      <c r="R49" s="666">
        <f>'S1 Numbers'!E19</f>
        <v>11.25</v>
      </c>
      <c r="S49" s="666">
        <f>'S1 Numbers'!F19</f>
        <v>14.32</v>
      </c>
      <c r="T49" s="666">
        <f>'S1 Numbers'!G19</f>
        <v>12.96</v>
      </c>
      <c r="U49" s="666">
        <f>'S1 Numbers'!H19</f>
        <v>11.35</v>
      </c>
      <c r="V49" s="666">
        <f>'S1 Numbers'!I19</f>
        <v>10.36</v>
      </c>
      <c r="W49" s="666">
        <f>'S1 Numbers'!J19</f>
        <v>9.69</v>
      </c>
      <c r="X49" s="666">
        <f>'S1 Numbers'!K19</f>
        <v>8.33</v>
      </c>
      <c r="Y49" s="666">
        <f>'S1 Numbers'!L19</f>
        <v>9.8699999999999992</v>
      </c>
      <c r="Z49" s="667">
        <f>'S1 Numbers'!M19</f>
        <v>8.43</v>
      </c>
      <c r="AA49" s="667" t="str">
        <f>'S1 Numbers'!N19</f>
        <v>..</v>
      </c>
      <c r="AB49" s="680" t="s">
        <v>7</v>
      </c>
    </row>
    <row r="50" spans="1:28" ht="18">
      <c r="A50" s="45"/>
      <c r="B50" s="49"/>
      <c r="C50" s="58" t="s">
        <v>124</v>
      </c>
      <c r="D50" s="635">
        <v>138</v>
      </c>
      <c r="E50" s="635">
        <v>135.80000000000001</v>
      </c>
      <c r="F50" s="635">
        <v>122.4</v>
      </c>
      <c r="G50" s="635">
        <v>103.2</v>
      </c>
      <c r="H50" s="635">
        <v>97.3</v>
      </c>
      <c r="I50" s="636">
        <v>100.7</v>
      </c>
      <c r="J50" s="635">
        <v>101.7</v>
      </c>
      <c r="K50" s="635">
        <v>105.4</v>
      </c>
      <c r="L50" s="636">
        <v>102.1</v>
      </c>
      <c r="M50" s="635">
        <v>91.9</v>
      </c>
      <c r="N50" s="635">
        <v>95.4</v>
      </c>
      <c r="O50" s="635">
        <v>94.4</v>
      </c>
      <c r="P50" s="635">
        <v>87</v>
      </c>
      <c r="Q50" s="636">
        <v>88.9</v>
      </c>
      <c r="R50" s="637">
        <v>100.1</v>
      </c>
      <c r="S50" s="637">
        <v>105.3</v>
      </c>
      <c r="T50" s="635">
        <v>108.4</v>
      </c>
      <c r="U50" s="611">
        <v>102.4</v>
      </c>
      <c r="V50" s="611">
        <v>102.7</v>
      </c>
      <c r="W50" s="638">
        <v>87.2</v>
      </c>
      <c r="X50" s="638">
        <v>89.9</v>
      </c>
      <c r="Y50" s="639">
        <v>101.7</v>
      </c>
      <c r="Z50" s="638">
        <v>113.1</v>
      </c>
      <c r="AA50" s="622">
        <v>116.55204873672169</v>
      </c>
      <c r="AB50" s="622">
        <v>110.17511588300556</v>
      </c>
    </row>
    <row r="51" spans="1:28" ht="18">
      <c r="A51" s="45"/>
      <c r="B51" s="49" t="s">
        <v>14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</row>
    <row r="52" spans="1:28" ht="18">
      <c r="A52" s="45"/>
      <c r="B52" s="45"/>
      <c r="C52" s="45" t="s">
        <v>123</v>
      </c>
      <c r="D52" s="631">
        <v>29.9</v>
      </c>
      <c r="E52" s="631">
        <v>31.6</v>
      </c>
      <c r="F52" s="631">
        <v>30.1</v>
      </c>
      <c r="G52" s="631">
        <v>24.5</v>
      </c>
      <c r="H52" s="631">
        <v>27.5</v>
      </c>
      <c r="I52" s="631">
        <v>31.9</v>
      </c>
      <c r="J52" s="631">
        <v>36.200000000000003</v>
      </c>
      <c r="K52" s="631">
        <v>34.5</v>
      </c>
      <c r="L52" s="631">
        <v>39.700000000000003</v>
      </c>
      <c r="M52" s="640">
        <v>35.299999999999997</v>
      </c>
      <c r="N52" s="631">
        <v>24.7</v>
      </c>
      <c r="O52" s="631">
        <v>20.6</v>
      </c>
      <c r="P52" s="631">
        <f>'S1 Numbers'!C20</f>
        <v>19.2</v>
      </c>
      <c r="Q52" s="631">
        <f>'S1 Numbers'!D20</f>
        <v>19.510000000000002</v>
      </c>
      <c r="R52" s="665">
        <f>'S1 Numbers'!E20</f>
        <v>20.49</v>
      </c>
      <c r="S52" s="665">
        <f>'S1 Numbers'!F20</f>
        <v>25.53</v>
      </c>
      <c r="T52" s="665">
        <f>'S1 Numbers'!G20</f>
        <v>20.58</v>
      </c>
      <c r="U52" s="665">
        <f>'S1 Numbers'!H20</f>
        <v>22.79</v>
      </c>
      <c r="V52" s="665">
        <f>'S1 Numbers'!I20</f>
        <v>23.28</v>
      </c>
      <c r="W52" s="665">
        <f>'S1 Numbers'!J20</f>
        <v>19.84</v>
      </c>
      <c r="X52" s="665">
        <f>'S1 Numbers'!K20</f>
        <v>17.95</v>
      </c>
      <c r="Y52" s="665">
        <f>'S1 Numbers'!L20</f>
        <v>16.329999999999998</v>
      </c>
      <c r="Z52" s="668">
        <f>'S1 Numbers'!M20</f>
        <v>12.54</v>
      </c>
      <c r="AA52" s="668">
        <f>'S1 Numbers'!N20</f>
        <v>11.39</v>
      </c>
      <c r="AB52" s="668">
        <f>'S1 Numbers'!O20</f>
        <v>11.81</v>
      </c>
    </row>
    <row r="53" spans="1:28" ht="18">
      <c r="A53" s="45"/>
      <c r="B53" s="49"/>
      <c r="C53" s="45" t="s">
        <v>131</v>
      </c>
      <c r="D53" s="508">
        <v>61.4</v>
      </c>
      <c r="E53" s="508">
        <v>63.1</v>
      </c>
      <c r="F53" s="508">
        <v>62</v>
      </c>
      <c r="G53" s="508">
        <v>60.2</v>
      </c>
      <c r="H53" s="508">
        <v>61.2</v>
      </c>
      <c r="I53" s="508">
        <v>67.7</v>
      </c>
      <c r="J53" s="508">
        <v>70.900000000000006</v>
      </c>
      <c r="K53" s="508">
        <v>71.099999999999994</v>
      </c>
      <c r="L53" s="508">
        <v>77.3</v>
      </c>
      <c r="M53" s="506">
        <v>73</v>
      </c>
      <c r="N53" s="508">
        <v>63.1</v>
      </c>
      <c r="O53" s="508">
        <v>55.454786766880048</v>
      </c>
      <c r="P53" s="508">
        <v>57.918275755013973</v>
      </c>
      <c r="Q53" s="508">
        <v>56.456491090366399</v>
      </c>
      <c r="R53" s="641">
        <v>59.790559022306056</v>
      </c>
      <c r="S53" s="641">
        <v>65.080367230164512</v>
      </c>
      <c r="T53" s="641">
        <v>56.675850772948614</v>
      </c>
      <c r="U53" s="641">
        <v>57.565045821437771</v>
      </c>
      <c r="V53" s="641">
        <v>58.142688818711235</v>
      </c>
      <c r="W53" s="641">
        <v>54.583670597551851</v>
      </c>
      <c r="X53" s="641">
        <v>50.5</v>
      </c>
      <c r="Y53" s="641">
        <v>49.3026391343246</v>
      </c>
      <c r="Z53" s="641">
        <v>42.840200000000003</v>
      </c>
      <c r="AA53" s="615">
        <v>37.916700631430473</v>
      </c>
      <c r="AB53" s="615">
        <v>39.5</v>
      </c>
    </row>
    <row r="54" spans="1:28" ht="21">
      <c r="A54" s="45"/>
      <c r="B54" s="49" t="s">
        <v>666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</row>
    <row r="55" spans="1:28" ht="18">
      <c r="A55" s="45"/>
      <c r="B55" s="45"/>
      <c r="C55" s="45" t="s">
        <v>123</v>
      </c>
      <c r="D55" s="631">
        <v>26.9</v>
      </c>
      <c r="E55" s="631">
        <v>21.4</v>
      </c>
      <c r="F55" s="631">
        <v>24</v>
      </c>
      <c r="G55" s="631">
        <v>26.9</v>
      </c>
      <c r="H55" s="631">
        <v>24.084</v>
      </c>
      <c r="I55" s="631">
        <v>25.622</v>
      </c>
      <c r="J55" s="631">
        <v>25.602</v>
      </c>
      <c r="K55" s="631">
        <v>25.715</v>
      </c>
      <c r="L55" s="631">
        <v>28.061</v>
      </c>
      <c r="M55" s="631">
        <v>28.024999999999999</v>
      </c>
      <c r="N55" s="631">
        <v>28.149000000000001</v>
      </c>
      <c r="O55" s="631">
        <v>28.132000000000001</v>
      </c>
      <c r="P55" s="631">
        <f>'S1 Numbers'!C23</f>
        <v>28.042000000000002</v>
      </c>
      <c r="Q55" s="631">
        <f>'S1 Numbers'!D23</f>
        <v>27.701000000000001</v>
      </c>
      <c r="R55" s="665">
        <f>'S1 Numbers'!E23</f>
        <v>27.649038999999998</v>
      </c>
      <c r="S55" s="665">
        <f>'S1 Numbers'!F23</f>
        <v>27.6</v>
      </c>
      <c r="T55" s="665">
        <f>'S1 Numbers'!G23</f>
        <v>27.8</v>
      </c>
      <c r="U55" s="665">
        <f>'S1 Numbers'!H23</f>
        <v>27.5</v>
      </c>
      <c r="V55" s="665">
        <f>'S1 Numbers'!I23</f>
        <v>27.6</v>
      </c>
      <c r="W55" s="665">
        <f>'S1 Numbers'!J23</f>
        <v>27.6</v>
      </c>
      <c r="X55" s="665">
        <f>'S1 Numbers'!K23</f>
        <v>27.6</v>
      </c>
      <c r="Y55" s="665">
        <f>'S1 Numbers'!L23</f>
        <v>27.8</v>
      </c>
      <c r="Z55" s="665">
        <f>'S1 Numbers'!M23</f>
        <v>28.2</v>
      </c>
      <c r="AA55" s="622" t="s">
        <v>7</v>
      </c>
      <c r="AB55" s="680" t="s">
        <v>7</v>
      </c>
    </row>
    <row r="56" spans="1:28" ht="18">
      <c r="A56" s="45"/>
      <c r="B56" s="45"/>
      <c r="C56" s="58" t="s">
        <v>124</v>
      </c>
      <c r="D56" s="508">
        <v>121</v>
      </c>
      <c r="E56" s="508">
        <v>105</v>
      </c>
      <c r="F56" s="508">
        <v>106</v>
      </c>
      <c r="G56" s="508">
        <v>125</v>
      </c>
      <c r="H56" s="642">
        <v>73.192947000000004</v>
      </c>
      <c r="I56" s="508">
        <v>60.019482000000004</v>
      </c>
      <c r="J56" s="508">
        <v>67.789332000000002</v>
      </c>
      <c r="K56" s="508">
        <v>61.400658999999997</v>
      </c>
      <c r="L56" s="508">
        <v>64.992937999999995</v>
      </c>
      <c r="M56" s="508">
        <v>64.776426999999998</v>
      </c>
      <c r="N56" s="508">
        <v>63.584265000000002</v>
      </c>
      <c r="O56" s="508">
        <v>62.975619000000002</v>
      </c>
      <c r="P56" s="508">
        <v>58.406999999999996</v>
      </c>
      <c r="Q56" s="508">
        <v>54.898000000000003</v>
      </c>
      <c r="R56" s="508">
        <v>56.087699999999998</v>
      </c>
      <c r="S56" s="508">
        <v>55.4</v>
      </c>
      <c r="T56" s="508">
        <v>54.5</v>
      </c>
      <c r="U56" s="643">
        <v>53.1</v>
      </c>
      <c r="V56" s="643">
        <v>53.3</v>
      </c>
      <c r="W56" s="643">
        <v>53.6</v>
      </c>
      <c r="X56" s="643">
        <v>53.5</v>
      </c>
      <c r="Y56" s="643">
        <v>53.7</v>
      </c>
      <c r="Z56" s="643">
        <v>54.3</v>
      </c>
      <c r="AA56" s="622" t="s">
        <v>7</v>
      </c>
      <c r="AB56" s="680" t="s">
        <v>7</v>
      </c>
    </row>
    <row r="57" spans="1:28" ht="18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</row>
    <row r="58" spans="1:28" ht="18.75">
      <c r="A58" s="484" t="s">
        <v>667</v>
      </c>
      <c r="B58" s="58"/>
      <c r="C58" s="58"/>
      <c r="D58" s="58"/>
      <c r="E58" s="610"/>
      <c r="F58" s="610"/>
      <c r="G58" s="610"/>
      <c r="H58" s="610"/>
      <c r="I58" s="610"/>
      <c r="J58" s="610"/>
      <c r="K58" s="610"/>
      <c r="L58" s="610"/>
      <c r="M58" s="610"/>
      <c r="N58" s="610"/>
      <c r="O58" s="610"/>
      <c r="P58" s="610"/>
      <c r="Q58" s="610"/>
      <c r="R58" s="610"/>
      <c r="S58" s="610"/>
      <c r="T58" s="610"/>
      <c r="U58" s="610"/>
      <c r="V58" s="610"/>
      <c r="W58" s="610"/>
      <c r="X58" s="610"/>
      <c r="Y58" s="610"/>
      <c r="Z58" s="610"/>
      <c r="AB58" s="610" t="s">
        <v>451</v>
      </c>
    </row>
    <row r="59" spans="1:28" ht="18">
      <c r="A59" s="484"/>
      <c r="B59" s="58" t="s">
        <v>457</v>
      </c>
      <c r="C59" s="58"/>
      <c r="D59" s="58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</row>
    <row r="60" spans="1:28" ht="18">
      <c r="A60" s="58"/>
      <c r="B60" s="58"/>
      <c r="C60" s="45" t="s">
        <v>123</v>
      </c>
      <c r="D60" s="644" t="s">
        <v>7</v>
      </c>
      <c r="E60" s="644" t="s">
        <v>7</v>
      </c>
      <c r="F60" s="645">
        <v>64.41570635310687</v>
      </c>
      <c r="G60" s="645">
        <v>65.358914716157457</v>
      </c>
      <c r="H60" s="645">
        <v>66.334442865945945</v>
      </c>
      <c r="I60" s="645">
        <v>65.638785315168008</v>
      </c>
      <c r="J60" s="645">
        <v>68.430628369907254</v>
      </c>
      <c r="K60" s="645">
        <v>68.620795515529025</v>
      </c>
      <c r="L60" s="645">
        <v>69.626126084248298</v>
      </c>
      <c r="M60" s="645">
        <v>69.400000000000006</v>
      </c>
      <c r="N60" s="645">
        <v>67.2</v>
      </c>
      <c r="O60" s="645">
        <v>69</v>
      </c>
      <c r="P60" s="645">
        <v>69.599999999999994</v>
      </c>
      <c r="Q60" s="645">
        <v>70.013997003693845</v>
      </c>
      <c r="R60" s="645">
        <v>69</v>
      </c>
      <c r="S60" s="645">
        <v>68</v>
      </c>
      <c r="T60" s="645">
        <v>69</v>
      </c>
      <c r="U60" s="645">
        <v>69</v>
      </c>
      <c r="V60" s="645">
        <v>68.8</v>
      </c>
      <c r="W60" s="645">
        <v>69.5</v>
      </c>
      <c r="X60" s="645">
        <v>71.2</v>
      </c>
      <c r="Y60" s="645">
        <v>68</v>
      </c>
      <c r="Z60" s="645">
        <v>68</v>
      </c>
      <c r="AA60" s="645">
        <v>69</v>
      </c>
      <c r="AB60" s="645">
        <v>69</v>
      </c>
    </row>
    <row r="61" spans="1:28" ht="18">
      <c r="A61" s="58"/>
      <c r="B61" s="45"/>
      <c r="C61" s="58" t="s">
        <v>124</v>
      </c>
      <c r="D61" s="644" t="s">
        <v>7</v>
      </c>
      <c r="E61" s="644" t="s">
        <v>7</v>
      </c>
      <c r="F61" s="645">
        <v>68</v>
      </c>
      <c r="G61" s="645">
        <v>68</v>
      </c>
      <c r="H61" s="645">
        <v>68</v>
      </c>
      <c r="I61" s="645">
        <v>68</v>
      </c>
      <c r="J61" s="645">
        <v>70</v>
      </c>
      <c r="K61" s="645">
        <v>71</v>
      </c>
      <c r="L61" s="645">
        <v>71</v>
      </c>
      <c r="M61" s="645">
        <v>70</v>
      </c>
      <c r="N61" s="645">
        <v>70</v>
      </c>
      <c r="O61" s="645">
        <v>70</v>
      </c>
      <c r="P61" s="645">
        <v>71</v>
      </c>
      <c r="Q61" s="645">
        <v>71.071323854100825</v>
      </c>
      <c r="R61" s="645">
        <v>71</v>
      </c>
      <c r="S61" s="645">
        <v>70.8</v>
      </c>
      <c r="T61" s="645">
        <v>70</v>
      </c>
      <c r="U61" s="645">
        <v>69</v>
      </c>
      <c r="V61" s="645">
        <v>69.599999999999994</v>
      </c>
      <c r="W61" s="645">
        <v>70.3</v>
      </c>
      <c r="X61" s="645">
        <v>69.900000000000006</v>
      </c>
      <c r="Y61" s="645">
        <v>68</v>
      </c>
      <c r="Z61" s="645">
        <v>69</v>
      </c>
      <c r="AA61" s="645">
        <v>68</v>
      </c>
      <c r="AB61" s="645">
        <v>69</v>
      </c>
    </row>
    <row r="62" spans="1:28" ht="18">
      <c r="A62" s="58"/>
      <c r="B62" s="45" t="s">
        <v>458</v>
      </c>
      <c r="C62" s="58"/>
      <c r="D62" s="644"/>
      <c r="E62" s="644"/>
      <c r="F62" s="645"/>
      <c r="G62" s="645"/>
      <c r="H62" s="645"/>
      <c r="I62" s="645"/>
      <c r="J62" s="645"/>
      <c r="K62" s="645"/>
      <c r="L62" s="645"/>
      <c r="M62" s="645"/>
      <c r="N62" s="645"/>
      <c r="O62" s="645"/>
      <c r="P62" s="645"/>
      <c r="Q62" s="645"/>
      <c r="R62" s="645"/>
      <c r="S62" s="645"/>
      <c r="T62" s="645"/>
      <c r="U62" s="645"/>
      <c r="V62" s="645"/>
      <c r="W62" s="645"/>
      <c r="X62" s="645"/>
      <c r="Y62" s="645"/>
      <c r="Z62" s="645"/>
      <c r="AA62" s="645"/>
    </row>
    <row r="63" spans="1:28" ht="18">
      <c r="A63" s="58"/>
      <c r="B63" s="58"/>
      <c r="C63" s="58" t="s">
        <v>123</v>
      </c>
      <c r="D63" s="644" t="s">
        <v>7</v>
      </c>
      <c r="E63" s="644" t="s">
        <v>7</v>
      </c>
      <c r="F63" s="645">
        <v>17.194843490808342</v>
      </c>
      <c r="G63" s="645">
        <v>16.80180248263526</v>
      </c>
      <c r="H63" s="645">
        <v>16.947951661849523</v>
      </c>
      <c r="I63" s="645">
        <v>15.782654165695266</v>
      </c>
      <c r="J63" s="645">
        <v>14.690003886502428</v>
      </c>
      <c r="K63" s="645">
        <v>15.329832183859562</v>
      </c>
      <c r="L63" s="645">
        <v>14.122281825534804</v>
      </c>
      <c r="M63" s="645">
        <v>14.8</v>
      </c>
      <c r="N63" s="645">
        <v>16.2</v>
      </c>
      <c r="O63" s="645">
        <v>16</v>
      </c>
      <c r="P63" s="645">
        <v>14</v>
      </c>
      <c r="Q63" s="645">
        <v>15.020029554390016</v>
      </c>
      <c r="R63" s="645">
        <v>15</v>
      </c>
      <c r="S63" s="645">
        <v>16</v>
      </c>
      <c r="T63" s="645">
        <v>17</v>
      </c>
      <c r="U63" s="645">
        <v>16</v>
      </c>
      <c r="V63" s="645">
        <v>17</v>
      </c>
      <c r="W63" s="645">
        <v>15</v>
      </c>
      <c r="X63" s="645">
        <v>14</v>
      </c>
      <c r="Y63" s="645">
        <v>16</v>
      </c>
      <c r="Z63" s="645">
        <v>15</v>
      </c>
      <c r="AA63" s="645">
        <v>16</v>
      </c>
      <c r="AB63" s="645">
        <v>15</v>
      </c>
    </row>
    <row r="64" spans="1:28" ht="18">
      <c r="A64" s="524"/>
      <c r="B64" s="524"/>
      <c r="C64" s="524" t="s">
        <v>124</v>
      </c>
      <c r="D64" s="646" t="s">
        <v>7</v>
      </c>
      <c r="E64" s="646" t="s">
        <v>7</v>
      </c>
      <c r="F64" s="647">
        <v>14</v>
      </c>
      <c r="G64" s="647">
        <v>15</v>
      </c>
      <c r="H64" s="647">
        <v>14</v>
      </c>
      <c r="I64" s="647">
        <v>14</v>
      </c>
      <c r="J64" s="647">
        <v>13</v>
      </c>
      <c r="K64" s="524">
        <v>13</v>
      </c>
      <c r="L64" s="647">
        <v>13</v>
      </c>
      <c r="M64" s="647">
        <v>14</v>
      </c>
      <c r="N64" s="647">
        <v>13.99</v>
      </c>
      <c r="O64" s="647">
        <v>15</v>
      </c>
      <c r="P64" s="647">
        <v>14</v>
      </c>
      <c r="Q64" s="647">
        <v>13.73351194461584</v>
      </c>
      <c r="R64" s="647">
        <v>14</v>
      </c>
      <c r="S64" s="647">
        <v>14.12</v>
      </c>
      <c r="T64" s="647">
        <v>15</v>
      </c>
      <c r="U64" s="647">
        <v>16</v>
      </c>
      <c r="V64" s="647">
        <v>15.2</v>
      </c>
      <c r="W64" s="647">
        <v>14.6</v>
      </c>
      <c r="X64" s="647">
        <v>14.9</v>
      </c>
      <c r="Y64" s="647">
        <v>16</v>
      </c>
      <c r="Z64" s="647">
        <v>16</v>
      </c>
      <c r="AA64" s="647">
        <v>16</v>
      </c>
      <c r="AB64" s="647">
        <v>16</v>
      </c>
    </row>
    <row r="65" spans="1:27" ht="15">
      <c r="A65" s="90">
        <v>1</v>
      </c>
      <c r="B65" s="2" t="s">
        <v>459</v>
      </c>
      <c r="C65" s="1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372"/>
      <c r="Q65" s="372"/>
      <c r="R65" s="372"/>
      <c r="S65" s="372"/>
      <c r="T65" s="8"/>
      <c r="U65" s="8"/>
      <c r="V65" s="8"/>
      <c r="W65" s="18"/>
      <c r="X65" s="8"/>
      <c r="Y65" s="8"/>
      <c r="Z65" s="8"/>
      <c r="AA65" s="18"/>
    </row>
    <row r="66" spans="1:27" ht="15">
      <c r="A66" s="90">
        <v>2</v>
      </c>
      <c r="B66" s="648" t="s">
        <v>460</v>
      </c>
      <c r="C66" s="1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372"/>
      <c r="Q66" s="372"/>
      <c r="R66" s="372"/>
      <c r="S66" s="372"/>
      <c r="T66" s="8"/>
      <c r="U66" s="8"/>
      <c r="V66" s="8"/>
      <c r="W66" s="18"/>
      <c r="X66" s="8"/>
      <c r="Y66" s="8"/>
      <c r="Z66" s="8"/>
      <c r="AA66" s="18"/>
    </row>
    <row r="67" spans="1:27" ht="15">
      <c r="A67" s="90">
        <v>3</v>
      </c>
      <c r="B67" s="18" t="s">
        <v>135</v>
      </c>
      <c r="C67" s="1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374"/>
      <c r="Q67" s="374"/>
      <c r="R67" s="374"/>
      <c r="S67" s="374"/>
      <c r="T67" s="8"/>
      <c r="U67" s="8"/>
      <c r="V67" s="8"/>
      <c r="W67" s="8"/>
      <c r="X67" s="8"/>
      <c r="Y67" s="8"/>
      <c r="Z67" s="8"/>
      <c r="AA67" s="8"/>
    </row>
    <row r="68" spans="1:27" ht="15">
      <c r="A68" s="90">
        <v>4</v>
      </c>
      <c r="B68" s="648" t="s">
        <v>39</v>
      </c>
      <c r="C68" s="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374"/>
      <c r="Q68" s="374"/>
      <c r="R68" s="374"/>
      <c r="S68" s="374"/>
      <c r="T68" s="8"/>
      <c r="U68" s="8"/>
      <c r="V68" s="8"/>
      <c r="W68" s="8"/>
      <c r="X68" s="8"/>
      <c r="Y68" s="8"/>
      <c r="Z68" s="8"/>
      <c r="AA68" s="18"/>
    </row>
    <row r="69" spans="1:27" ht="15">
      <c r="A69" s="90">
        <v>5</v>
      </c>
      <c r="B69" s="648" t="s">
        <v>136</v>
      </c>
      <c r="C69" s="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1:27" ht="15">
      <c r="A70" s="90">
        <v>6</v>
      </c>
      <c r="B70" s="648" t="s">
        <v>137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:27" ht="15">
      <c r="A71" s="90">
        <v>7</v>
      </c>
      <c r="B71" s="299" t="s">
        <v>398</v>
      </c>
      <c r="C71" s="1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8"/>
      <c r="T71" s="297"/>
      <c r="U71" s="297"/>
      <c r="V71" s="297"/>
      <c r="W71" s="297"/>
      <c r="X71" s="297"/>
      <c r="Y71" s="297"/>
      <c r="Z71" s="297"/>
      <c r="AA71" s="299"/>
    </row>
    <row r="72" spans="1:27" ht="15">
      <c r="A72" s="90">
        <v>8</v>
      </c>
      <c r="B72" s="648" t="s">
        <v>133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7" ht="15">
      <c r="A73" s="18"/>
      <c r="B73" s="5" t="s">
        <v>134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1:27" ht="15">
      <c r="A74" s="90">
        <v>9</v>
      </c>
      <c r="B74" s="18" t="s">
        <v>730</v>
      </c>
      <c r="C74" s="1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18"/>
      <c r="W74" s="18"/>
      <c r="X74" s="18"/>
      <c r="Y74" s="18"/>
      <c r="Z74" s="18"/>
      <c r="AA74" s="18"/>
    </row>
    <row r="75" spans="1:27" ht="15">
      <c r="A75" s="90">
        <v>10</v>
      </c>
      <c r="B75" s="18" t="s">
        <v>467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8"/>
      <c r="W75" s="18"/>
      <c r="X75" s="8"/>
      <c r="Y75" s="8"/>
      <c r="Z75" s="8"/>
      <c r="AA75" s="18"/>
    </row>
    <row r="76" spans="1:27" ht="15">
      <c r="A76" s="90">
        <v>11</v>
      </c>
      <c r="B76" s="681" t="s">
        <v>676</v>
      </c>
    </row>
  </sheetData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pop</vt:lpstr>
      <vt:lpstr>Contents</vt:lpstr>
      <vt:lpstr>Tool</vt:lpstr>
      <vt:lpstr>L</vt:lpstr>
      <vt:lpstr>S1 Numbers</vt:lpstr>
      <vt:lpstr>S2 Index</vt:lpstr>
      <vt:lpstr>S3 SHS</vt:lpstr>
      <vt:lpstr>S4 Cross Border</vt:lpstr>
      <vt:lpstr>SGB1</vt:lpstr>
      <vt:lpstr>SGB2 index</vt:lpstr>
      <vt:lpstr>SGB3 rel. to pop.</vt:lpstr>
      <vt:lpstr>H1 passenger</vt:lpstr>
      <vt:lpstr>H2 a freight tonnes</vt:lpstr>
      <vt:lpstr>H2 b freight tonne km</vt:lpstr>
      <vt:lpstr>H3 traffic</vt:lpstr>
      <vt:lpstr>H4 other</vt:lpstr>
      <vt:lpstr>Figs1,2</vt:lpstr>
      <vt:lpstr>Figs 3,4</vt:lpstr>
      <vt:lpstr>Figs 5,6</vt:lpstr>
      <vt:lpstr>Figs 7, 8, 9</vt:lpstr>
      <vt:lpstr>Figs 10,11</vt:lpstr>
      <vt:lpstr>cross border - additional table</vt:lpstr>
      <vt:lpstr>DynamicDate</vt:lpstr>
      <vt:lpstr>One</vt:lpstr>
      <vt:lpstr>'cross border - additional table'!Print_Area</vt:lpstr>
      <vt:lpstr>'Figs 10,11'!Print_Area</vt:lpstr>
      <vt:lpstr>'Figs 7, 8, 9'!Print_Area</vt:lpstr>
      <vt:lpstr>'Figs1,2'!Print_Area</vt:lpstr>
      <vt:lpstr>'H1 passenger'!Print_Area</vt:lpstr>
      <vt:lpstr>'H2 a freight tonnes'!Print_Area</vt:lpstr>
      <vt:lpstr>'H2 b freight tonne km'!Print_Area</vt:lpstr>
      <vt:lpstr>'H3 traffic'!Print_Area</vt:lpstr>
      <vt:lpstr>'H4 other'!Print_Area</vt:lpstr>
      <vt:lpstr>'S1 Numbers'!Print_Area</vt:lpstr>
      <vt:lpstr>'S2 Index'!Print_Area</vt:lpstr>
      <vt:lpstr>'S3 SHS'!Print_Area</vt:lpstr>
      <vt:lpstr>'S4 Cross Border'!Print_Area</vt:lpstr>
      <vt:lpstr>'SGB1'!Print_Area</vt:lpstr>
      <vt:lpstr>'SGB2 index'!Print_Area</vt:lpstr>
      <vt:lpstr>'SGB3 rel. to pop.'!Print_Area</vt:lpstr>
      <vt:lpstr>Tool!Print_Area</vt:lpstr>
      <vt:lpstr>Three</vt:lpstr>
      <vt:lpstr>Two</vt:lpstr>
    </vt:vector>
  </TitlesOfParts>
  <Company>Scottish Executive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Knight</dc:creator>
  <cp:lastModifiedBy>u016789</cp:lastModifiedBy>
  <cp:lastPrinted>2016-02-02T14:40:40Z</cp:lastPrinted>
  <dcterms:created xsi:type="dcterms:W3CDTF">2011-08-22T13:40:27Z</dcterms:created>
  <dcterms:modified xsi:type="dcterms:W3CDTF">2016-02-02T14:40:44Z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A11986866</vt:lpwstr>
  </property>
  <property fmtid="{D5CDD505-2E9C-101B-9397-08002B2CF9AE}" pid="3" name="Objective-Comment">
    <vt:lpwstr>
    </vt:lpwstr>
  </property>
  <property fmtid="{D5CDD505-2E9C-101B-9397-08002B2CF9AE}" pid="4" name="Objective-CreationStamp">
    <vt:filetime>2015-08-21T12:05:19Z</vt:filetime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2016-02-02T14:41:31Z</vt:filetime>
  </property>
  <property fmtid="{D5CDD505-2E9C-101B-9397-08002B2CF9AE}" pid="8" name="Objective-ModificationStamp">
    <vt:filetime>2016-02-02T14:41:33Z</vt:filetime>
  </property>
  <property fmtid="{D5CDD505-2E9C-101B-9397-08002B2CF9AE}" pid="9" name="Objective-Owner">
    <vt:lpwstr>Knight, Andrew A (U016789)</vt:lpwstr>
  </property>
  <property fmtid="{D5CDD505-2E9C-101B-9397-08002B2CF9AE}" pid="10" name="Objective-Path">
    <vt:lpwstr>Objective Global Folder:SG File Plan:Business and industry:Transport:General:Research and analysis: Transport - general:Transport statistics: Scottish Transport Statistics: 2015: Research and analysis: Transport: 2015-2020:</vt:lpwstr>
  </property>
  <property fmtid="{D5CDD505-2E9C-101B-9397-08002B2CF9AE}" pid="11" name="Objective-Parent">
    <vt:lpwstr>Transport statistics: Scottish Transport Statistics: 2015: Research and analysis: Transport: 2015-2020</vt:lpwstr>
  </property>
  <property fmtid="{D5CDD505-2E9C-101B-9397-08002B2CF9AE}" pid="12" name="Objective-State">
    <vt:lpwstr>Published</vt:lpwstr>
  </property>
  <property fmtid="{D5CDD505-2E9C-101B-9397-08002B2CF9AE}" pid="13" name="Objective-Title">
    <vt:lpwstr>Chapter_Summary Interactive Charting Tool</vt:lpwstr>
  </property>
  <property fmtid="{D5CDD505-2E9C-101B-9397-08002B2CF9AE}" pid="14" name="Objective-Version">
    <vt:lpwstr>19.0</vt:lpwstr>
  </property>
  <property fmtid="{D5CDD505-2E9C-101B-9397-08002B2CF9AE}" pid="15" name="Objective-VersionComment">
    <vt:lpwstr>
    </vt:lpwstr>
  </property>
  <property fmtid="{D5CDD505-2E9C-101B-9397-08002B2CF9AE}" pid="16" name="Objective-VersionNumber">
    <vt:i4>22</vt:i4>
  </property>
  <property fmtid="{D5CDD505-2E9C-101B-9397-08002B2CF9AE}" pid="17" name="Objective-FileNumber">
    <vt:lpwstr>
    </vt:lpwstr>
  </property>
  <property fmtid="{D5CDD505-2E9C-101B-9397-08002B2CF9AE}" pid="18" name="Objective-Classification">
    <vt:lpwstr>[Inherited - OFFICIAL-SENSITIVE]</vt:lpwstr>
  </property>
  <property fmtid="{D5CDD505-2E9C-101B-9397-08002B2CF9AE}" pid="19" name="Objective-Caveats">
    <vt:lpwstr>
    </vt:lpwstr>
  </property>
  <property fmtid="{D5CDD505-2E9C-101B-9397-08002B2CF9AE}" pid="20" name="Objective-Date of Original [system]">
    <vt:lpwstr>
    </vt:lpwstr>
  </property>
  <property fmtid="{D5CDD505-2E9C-101B-9397-08002B2CF9AE}" pid="21" name="Objective-Date Received [system]">
    <vt:lpwstr>
    </vt:lpwstr>
  </property>
  <property fmtid="{D5CDD505-2E9C-101B-9397-08002B2CF9AE}" pid="22" name="Objective-SG Web Publication - Category [system]">
    <vt:lpwstr>
    </vt:lpwstr>
  </property>
  <property fmtid="{D5CDD505-2E9C-101B-9397-08002B2CF9AE}" pid="23" name="Objective-SG Web Publication - Category 2 Classification [system]">
    <vt:lpwstr>
    </vt:lpwstr>
  </property>
</Properties>
</file>