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016789\Objective\Objects\WinTalk\7688dc84-3526-4569-aece-29404f741c91\"/>
    </mc:Choice>
  </mc:AlternateContent>
  <bookViews>
    <workbookView xWindow="-270" yWindow="5790" windowWidth="19155" windowHeight="2595" tabRatio="856"/>
  </bookViews>
  <sheets>
    <sheet name="International comparisons-2017" sheetId="8" r:id="rId1"/>
    <sheet name="footnotes" sheetId="7" r:id="rId2"/>
    <sheet name="Table1.1" sheetId="35" r:id="rId3"/>
    <sheet name="Table 2.2.4c" sheetId="28" r:id="rId4"/>
    <sheet name="Table 2.2.5" sheetId="29" r:id="rId5"/>
    <sheet name="Table 2.2.6" sheetId="36" r:id="rId6"/>
    <sheet name="Table 2.2.7" sheetId="37" r:id="rId7"/>
    <sheet name="Table 2.3.3" sheetId="38" r:id="rId8"/>
    <sheet name="Table 2.3.4" sheetId="39" r:id="rId9"/>
    <sheet name="Table 2.3.5" sheetId="40" r:id="rId10"/>
    <sheet name="Table 2.3.6" sheetId="41" r:id="rId11"/>
    <sheet name="Table 2.3.7" sheetId="42" r:id="rId12"/>
    <sheet name="Table 2.4.1" sheetId="43" r:id="rId13"/>
    <sheet name="Table 2.5.1" sheetId="44" r:id="rId14"/>
    <sheet name="Table 2.5.2" sheetId="45" r:id="rId15"/>
    <sheet name="Table 2.5.3" sheetId="46" r:id="rId16"/>
    <sheet name="Table 2.6.2" sheetId="47" r:id="rId17"/>
    <sheet name="Table 2.6.4" sheetId="48" r:id="rId18"/>
    <sheet name="Table 2.6.5" sheetId="49" r:id="rId19"/>
    <sheet name="Table 2.6.6" sheetId="50" r:id="rId20"/>
    <sheet name="Table 2.7.1" sheetId="51" r:id="rId21"/>
  </sheets>
  <definedNames>
    <definedName name="HTML1_1" hidden="1">"'[internet 98q4.xls]xcontact'!$A$1:$F$114"</definedName>
    <definedName name="HTML1_10" hidden="1">""</definedName>
    <definedName name="HTML1_11" hidden="1">1</definedName>
    <definedName name="HTML1_12" hidden="1">"D:\data\xl\MyHTML.htm"</definedName>
    <definedName name="HTML1_13" hidden="1">#N/A</definedName>
    <definedName name="HTML1_14" hidden="1">#N/A</definedName>
    <definedName name="HTML1_15" hidden="1">#N/A</definedName>
    <definedName name="HTML1_2" hidden="1">1</definedName>
    <definedName name="HTML1_3" hidden="1">"internet 98q4.xls"</definedName>
    <definedName name="HTML1_4" hidden="1">"xcontact"</definedName>
    <definedName name="HTML1_5" hidden="1">""</definedName>
    <definedName name="HTML1_6" hidden="1">-4146</definedName>
    <definedName name="HTML1_7" hidden="1">-4146</definedName>
    <definedName name="HTML1_8" hidden="1">"15/10/1998"</definedName>
    <definedName name="HTML1_9" hidden="1">"GEORGIADES"</definedName>
    <definedName name="HTML2_1" hidden="1">"'[internet 98q4.xls]xcontact'!$A$2:$F$114"</definedName>
    <definedName name="HTML2_10" hidden="1">""</definedName>
    <definedName name="HTML2_11" hidden="1">1</definedName>
    <definedName name="HTML2_12" hidden="1">"D:\data\xl\MyHTML.htm"</definedName>
    <definedName name="HTML2_13" hidden="1">#N/A</definedName>
    <definedName name="HTML2_14" hidden="1">#N/A</definedName>
    <definedName name="HTML2_15" hidden="1">#N/A</definedName>
    <definedName name="HTML2_2" hidden="1">1</definedName>
    <definedName name="HTML2_3" hidden="1">"internet 98q4.xls"</definedName>
    <definedName name="HTML2_4" hidden="1">"xcontact"</definedName>
    <definedName name="HTML2_5" hidden="1">""</definedName>
    <definedName name="HTML2_6" hidden="1">-4146</definedName>
    <definedName name="HTML2_7" hidden="1">-4146</definedName>
    <definedName name="HTML2_8" hidden="1">"15/10/1998"</definedName>
    <definedName name="HTML2_9" hidden="1">"GEORGIADES"</definedName>
    <definedName name="HTML3_1" hidden="1">"'[internet 98q4.xls]xlist3'!$A$3:$E$175"</definedName>
    <definedName name="HTML3_10" hidden="1">""</definedName>
    <definedName name="HTML3_11" hidden="1">-4146</definedName>
    <definedName name="HTML3_12" hidden="1">"D:\data\aaa html\national2.htm"</definedName>
    <definedName name="HTML3_13" hidden="1">#N/A</definedName>
    <definedName name="HTML3_14" hidden="1">#N/A</definedName>
    <definedName name="HTML3_15" hidden="1">#N/A</definedName>
    <definedName name="HTML3_2" hidden="1">1</definedName>
    <definedName name="HTML3_3" hidden="1">"internet 98q4.xls"</definedName>
    <definedName name="HTML3_4" hidden="1">"xlist3"</definedName>
    <definedName name="HTML3_5" hidden="1">""</definedName>
    <definedName name="HTML3_6" hidden="1">-4146</definedName>
    <definedName name="HTML3_7" hidden="1">-4146</definedName>
    <definedName name="HTML3_8" hidden="1">"15/10/1998"</definedName>
    <definedName name="HTML3_9" hidden="1">"GEORGIADES"</definedName>
    <definedName name="HTML4_1" hidden="1">"'[internet 98q4.xls]x1.2'!$B$5:$C$25"</definedName>
    <definedName name="HTML4_10" hidden="1">""</definedName>
    <definedName name="HTML4_11" hidden="1">1</definedName>
    <definedName name="HTML4_12" hidden="1">"D:\data\aaa html\test1.htm"</definedName>
    <definedName name="HTML4_13" hidden="1">#N/A</definedName>
    <definedName name="HTML4_14" hidden="1">#N/A</definedName>
    <definedName name="HTML4_15" hidden="1">#N/A</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Count" hidden="1">4</definedName>
    <definedName name="_xlnm.Print_Area" localSheetId="0">'International comparisons-2017'!$A$1:$AW$89</definedName>
    <definedName name="_xlnm.Print_Area" localSheetId="3">'Table 2.2.4c'!$A$1:$AC$51</definedName>
    <definedName name="_xlnm.Print_Area" localSheetId="5">'Table 2.2.6'!#REF!</definedName>
    <definedName name="_xlnm.Print_Area" localSheetId="6">'Table 2.2.7'!#REF!</definedName>
    <definedName name="_xlnm.Print_Area" localSheetId="7">'Table 2.3.3'!#REF!</definedName>
    <definedName name="_xlnm.Print_Area" localSheetId="8">'Table 2.3.4'!$B$1:$R$49</definedName>
    <definedName name="_xlnm.Print_Area" localSheetId="9">'Table 2.3.5'!$B$1:$R$52</definedName>
    <definedName name="_xlnm.Print_Area" localSheetId="10">'Table 2.3.6'!$B$1:$R$49</definedName>
    <definedName name="_xlnm.Print_Area" localSheetId="11">'Table 2.3.7'!$B$1:$V$45</definedName>
    <definedName name="_xlnm.Print_Area" localSheetId="12">'Table 2.4.1'!#REF!</definedName>
    <definedName name="_xlnm.Print_Area" localSheetId="13">'Table 2.5.1'!$B$1:$AK$44</definedName>
    <definedName name="_xlnm.Print_Area" localSheetId="14">'Table 2.5.2'!#REF!</definedName>
    <definedName name="_xlnm.Print_Area" localSheetId="15">'Table 2.5.3'!$B$1:$AM$46</definedName>
    <definedName name="_xlnm.Print_Area" localSheetId="16">'Table 2.6.2'!$A$1:$AN$48</definedName>
    <definedName name="_xlnm.Print_Area" localSheetId="17">'Table 2.6.4'!$B$1:$AM$48</definedName>
    <definedName name="_xlnm.Print_Area" localSheetId="18">'Table 2.6.5'!$B$1:$AF$48</definedName>
    <definedName name="_xlnm.Print_Area" localSheetId="19">'Table 2.6.6'!$B$1:$AD$45</definedName>
    <definedName name="_xlnm.Print_Area" localSheetId="20">'Table 2.7.1'!$B$1:$AP$45</definedName>
    <definedName name="_xlnm.Print_Area" localSheetId="2">Table1.1!$A$1:$I$47</definedName>
    <definedName name="_xlnm.Print_Titles" localSheetId="0">'International comparisons-2017'!$A:$L,'International comparisons-2017'!$1:$8</definedName>
    <definedName name="_xlnm.Print_Titles" localSheetId="12">'Table 2.4.1'!$1:$5</definedName>
    <definedName name="Z_534C28F4_E90D_11D3_A4B3_0050041AE0D6_.wvu.PrintArea" localSheetId="7" hidden="1">'Table 2.3.3'!#REF!</definedName>
    <definedName name="Z_534C28F4_E90D_11D3_A4B3_0050041AE0D6_.wvu.PrintArea" localSheetId="14" hidden="1">'Table 2.5.2'!#REF!</definedName>
  </definedNames>
  <calcPr calcId="162913" fullCalcOnLoad="1"/>
</workbook>
</file>

<file path=xl/calcChain.xml><?xml version="1.0" encoding="utf-8"?>
<calcChain xmlns="http://schemas.openxmlformats.org/spreadsheetml/2006/main">
  <c r="D8" i="35" l="1"/>
  <c r="B8" i="35"/>
  <c r="AF6" i="51"/>
  <c r="AO43" i="51"/>
  <c r="AN43" i="51"/>
  <c r="AO42" i="51"/>
  <c r="AN42" i="51"/>
  <c r="AO41" i="51"/>
  <c r="AN41" i="51"/>
  <c r="AO40" i="51"/>
  <c r="AN40" i="51"/>
  <c r="AN39" i="51"/>
  <c r="AO38" i="51"/>
  <c r="AN38" i="51"/>
  <c r="AN37" i="51"/>
  <c r="AO36" i="51"/>
  <c r="AN36" i="51"/>
  <c r="AO35" i="51"/>
  <c r="AN35" i="51"/>
  <c r="AO32" i="51"/>
  <c r="AN32" i="51"/>
  <c r="AO18" i="51"/>
  <c r="AN18" i="51"/>
  <c r="AO34" i="51"/>
  <c r="AN34" i="51"/>
  <c r="AO33" i="51"/>
  <c r="AN33" i="51"/>
  <c r="AO31" i="51"/>
  <c r="AN31" i="51"/>
  <c r="AO30" i="51"/>
  <c r="AN30" i="51"/>
  <c r="AO29" i="51"/>
  <c r="AN29" i="51"/>
  <c r="AO8" i="51"/>
  <c r="AN8" i="51"/>
  <c r="AO28" i="51"/>
  <c r="AN28" i="51"/>
  <c r="AO27" i="51"/>
  <c r="AN27" i="51"/>
  <c r="AO21" i="51"/>
  <c r="AN21" i="51"/>
  <c r="AO25" i="51"/>
  <c r="AN25" i="51"/>
  <c r="AO24" i="51"/>
  <c r="AN24" i="51"/>
  <c r="AO26" i="51"/>
  <c r="AN26" i="51"/>
  <c r="AO11" i="51"/>
  <c r="AN11" i="51"/>
  <c r="AO23" i="51"/>
  <c r="AN23" i="51"/>
  <c r="AO20" i="51"/>
  <c r="AN20" i="51"/>
  <c r="AO19" i="51"/>
  <c r="AN19" i="51"/>
  <c r="AO17" i="51"/>
  <c r="AN17" i="51"/>
  <c r="AO16" i="51"/>
  <c r="AN16" i="51"/>
  <c r="AO22" i="51"/>
  <c r="AN22" i="51"/>
  <c r="AO15" i="51"/>
  <c r="AN15" i="51"/>
  <c r="AO13" i="51"/>
  <c r="AN13" i="51"/>
  <c r="AO14" i="51"/>
  <c r="AN14" i="51"/>
  <c r="AO12" i="51"/>
  <c r="AN12" i="51"/>
  <c r="AO10" i="51"/>
  <c r="AN10" i="51"/>
  <c r="AO9" i="51"/>
  <c r="AN9" i="51"/>
  <c r="AO5" i="51"/>
  <c r="AN5" i="51"/>
  <c r="W7" i="50"/>
  <c r="AC8" i="50"/>
  <c r="Y8" i="49"/>
  <c r="AE37" i="49"/>
  <c r="AD34" i="49"/>
  <c r="AE34" i="49"/>
  <c r="AE20" i="49"/>
  <c r="AE36" i="49"/>
  <c r="AE35" i="49"/>
  <c r="AE33" i="49"/>
  <c r="AE32" i="49"/>
  <c r="AE31" i="49"/>
  <c r="AE10" i="49"/>
  <c r="AE30" i="49"/>
  <c r="AD30" i="49"/>
  <c r="AD29" i="49"/>
  <c r="AE29" i="49"/>
  <c r="AE23" i="49"/>
  <c r="AE27" i="49"/>
  <c r="AD26" i="49"/>
  <c r="AE26" i="49"/>
  <c r="AE28" i="49"/>
  <c r="AE13" i="49"/>
  <c r="AD25" i="49"/>
  <c r="AE25" i="49"/>
  <c r="AE22" i="49"/>
  <c r="AD22" i="49"/>
  <c r="AE21" i="49"/>
  <c r="AD19" i="49"/>
  <c r="AE19" i="49"/>
  <c r="AE18" i="49"/>
  <c r="AE24" i="49"/>
  <c r="AE17" i="49"/>
  <c r="AE15" i="49"/>
  <c r="AE16" i="49"/>
  <c r="AE14" i="49"/>
  <c r="AE12" i="49"/>
  <c r="AD11" i="49"/>
  <c r="AD9" i="49"/>
  <c r="AE9" i="49"/>
  <c r="M42" i="8"/>
  <c r="M46" i="8"/>
  <c r="M58" i="8"/>
  <c r="M65" i="8"/>
  <c r="AF8" i="48"/>
  <c r="AL37" i="48"/>
  <c r="AK37" i="48"/>
  <c r="AL34" i="48"/>
  <c r="AL20" i="48"/>
  <c r="AL36" i="48"/>
  <c r="AL35" i="48"/>
  <c r="AL33" i="48"/>
  <c r="AL32" i="48"/>
  <c r="AL31" i="48"/>
  <c r="AL10" i="48"/>
  <c r="AK30" i="48"/>
  <c r="AL30" i="48"/>
  <c r="AL29" i="48"/>
  <c r="AK29" i="48"/>
  <c r="AK23" i="48"/>
  <c r="AL23" i="48"/>
  <c r="AL27" i="48"/>
  <c r="AK26" i="48"/>
  <c r="AL26" i="48"/>
  <c r="AL28" i="48"/>
  <c r="AL13" i="48"/>
  <c r="AK25" i="48"/>
  <c r="AL25" i="48"/>
  <c r="AL22" i="48"/>
  <c r="AK22" i="48"/>
  <c r="AK21" i="48"/>
  <c r="AL21" i="48"/>
  <c r="AL19" i="48"/>
  <c r="AK19" i="48"/>
  <c r="AL18" i="48"/>
  <c r="AL24" i="48"/>
  <c r="AL17" i="48"/>
  <c r="AL15" i="48"/>
  <c r="AL16" i="48"/>
  <c r="AL14" i="48"/>
  <c r="AL12" i="48"/>
  <c r="AK11" i="48"/>
  <c r="AL11" i="48"/>
  <c r="AK9" i="48"/>
  <c r="AL9" i="48"/>
  <c r="AI10" i="47"/>
  <c r="AI11" i="47"/>
  <c r="AI12" i="47"/>
  <c r="AI13" i="47"/>
  <c r="AI14" i="47"/>
  <c r="AI15" i="47"/>
  <c r="AI16" i="47"/>
  <c r="AI17" i="47"/>
  <c r="AI18" i="47"/>
  <c r="AI19" i="47"/>
  <c r="AI20" i="47"/>
  <c r="AI21" i="47"/>
  <c r="AI22" i="47"/>
  <c r="AI23" i="47"/>
  <c r="AI25" i="47"/>
  <c r="AI26" i="47"/>
  <c r="AI27" i="47"/>
  <c r="AI28" i="47"/>
  <c r="AI30" i="47"/>
  <c r="AI31" i="47"/>
  <c r="AI32" i="47"/>
  <c r="AI33" i="47"/>
  <c r="AI34" i="47"/>
  <c r="AI35" i="47"/>
  <c r="AI36" i="47"/>
  <c r="AI7" i="47"/>
  <c r="AF37" i="47"/>
  <c r="AI37" i="47"/>
  <c r="AF29" i="47"/>
  <c r="AI29" i="47"/>
  <c r="AF24" i="47"/>
  <c r="AI24" i="47"/>
  <c r="AM37" i="47"/>
  <c r="AM29" i="47"/>
  <c r="AM9" i="47"/>
  <c r="AM24" i="47"/>
  <c r="AL7" i="46"/>
  <c r="AP27" i="8"/>
  <c r="AF7" i="44"/>
  <c r="AF6" i="44"/>
  <c r="V36" i="42"/>
  <c r="V35" i="42"/>
  <c r="V34" i="42"/>
  <c r="V33" i="42"/>
  <c r="V32" i="42"/>
  <c r="V31" i="42"/>
  <c r="V30" i="42"/>
  <c r="V29" i="42"/>
  <c r="V28" i="42"/>
  <c r="V27" i="42"/>
  <c r="V26" i="42"/>
  <c r="V25" i="42"/>
  <c r="V24" i="42"/>
  <c r="V23" i="42"/>
  <c r="V22" i="42"/>
  <c r="V21" i="42"/>
  <c r="V20" i="42"/>
  <c r="V19" i="42"/>
  <c r="V18" i="42"/>
  <c r="V17" i="42"/>
  <c r="V16" i="42"/>
  <c r="V15" i="42"/>
  <c r="V14" i="42"/>
  <c r="V13" i="42"/>
  <c r="V11" i="42"/>
  <c r="V10" i="42"/>
  <c r="V9" i="42"/>
  <c r="V7" i="42"/>
  <c r="V6" i="42"/>
  <c r="R7" i="42"/>
  <c r="S6" i="42"/>
  <c r="R36" i="41"/>
  <c r="R35" i="41"/>
  <c r="R33" i="41"/>
  <c r="R32" i="41"/>
  <c r="R31" i="41"/>
  <c r="R30" i="41"/>
  <c r="R29" i="41"/>
  <c r="R27" i="41"/>
  <c r="R26" i="41"/>
  <c r="R24" i="41"/>
  <c r="R23" i="41"/>
  <c r="R22" i="41"/>
  <c r="R21" i="41"/>
  <c r="R20" i="41"/>
  <c r="R19" i="41"/>
  <c r="R18" i="41"/>
  <c r="R17" i="41"/>
  <c r="R16" i="41"/>
  <c r="R15" i="41"/>
  <c r="R14" i="41"/>
  <c r="R13" i="41"/>
  <c r="R11" i="41"/>
  <c r="R10" i="41"/>
  <c r="R9" i="41"/>
  <c r="R7" i="41"/>
  <c r="R6" i="41"/>
  <c r="N7" i="41"/>
  <c r="R36" i="40"/>
  <c r="R35" i="40"/>
  <c r="R34" i="40"/>
  <c r="R33" i="40"/>
  <c r="R32" i="40"/>
  <c r="R31" i="40"/>
  <c r="R30" i="40"/>
  <c r="R29" i="40"/>
  <c r="R28" i="40"/>
  <c r="R27" i="40"/>
  <c r="R26" i="40"/>
  <c r="R25" i="40"/>
  <c r="R24" i="40"/>
  <c r="R23" i="40"/>
  <c r="R22" i="40"/>
  <c r="R21" i="40"/>
  <c r="R20" i="40"/>
  <c r="R19" i="40"/>
  <c r="R18" i="40"/>
  <c r="R17" i="40"/>
  <c r="R16" i="40"/>
  <c r="R15" i="40"/>
  <c r="R14" i="40"/>
  <c r="R13" i="40"/>
  <c r="R12" i="40"/>
  <c r="R11" i="40"/>
  <c r="R10" i="40"/>
  <c r="R9" i="40"/>
  <c r="R6" i="40"/>
  <c r="R38" i="40"/>
  <c r="N7" i="40"/>
  <c r="R7" i="40"/>
  <c r="R39" i="40"/>
  <c r="R36" i="39"/>
  <c r="R35" i="39"/>
  <c r="R34" i="39"/>
  <c r="R33" i="39"/>
  <c r="R32" i="39"/>
  <c r="R31" i="39"/>
  <c r="R30" i="39"/>
  <c r="R29" i="39"/>
  <c r="R28" i="39"/>
  <c r="R27" i="39"/>
  <c r="R26" i="39"/>
  <c r="R25" i="39"/>
  <c r="R24" i="39"/>
  <c r="R23" i="39"/>
  <c r="R22" i="39"/>
  <c r="R21" i="39"/>
  <c r="R20" i="39"/>
  <c r="R19" i="39"/>
  <c r="R18" i="39"/>
  <c r="R17" i="39"/>
  <c r="R16" i="39"/>
  <c r="R15" i="39"/>
  <c r="R14" i="39"/>
  <c r="R13" i="39"/>
  <c r="R12" i="39"/>
  <c r="R11" i="39"/>
  <c r="R10" i="39"/>
  <c r="R9" i="39"/>
  <c r="R6" i="39"/>
  <c r="R38" i="39"/>
  <c r="N7" i="39"/>
  <c r="R7" i="39"/>
  <c r="R39" i="39"/>
  <c r="M7" i="39"/>
  <c r="O7" i="39"/>
  <c r="I8" i="38"/>
  <c r="F49" i="38"/>
  <c r="AI4" i="37"/>
  <c r="AI4" i="36"/>
  <c r="M80" i="8"/>
  <c r="M86" i="8"/>
  <c r="M83" i="8"/>
  <c r="AI4" i="29"/>
  <c r="AB4" i="28"/>
  <c r="O6" i="35"/>
  <c r="M17" i="8"/>
  <c r="M23" i="8"/>
  <c r="M27" i="8"/>
  <c r="M31" i="8"/>
  <c r="M35" i="8"/>
  <c r="BA35" i="8"/>
  <c r="AG5" i="43"/>
  <c r="AG37" i="43"/>
  <c r="AU79" i="8"/>
  <c r="AU80" i="8"/>
  <c r="AU86" i="8"/>
  <c r="AQ80" i="8"/>
  <c r="AQ86" i="8"/>
  <c r="AP80" i="8"/>
  <c r="AP86" i="8"/>
  <c r="N80" i="8"/>
  <c r="N86" i="8"/>
  <c r="O80" i="8"/>
  <c r="O85" i="8"/>
  <c r="O86" i="8"/>
  <c r="P80" i="8"/>
  <c r="Q80" i="8"/>
  <c r="Q85" i="8"/>
  <c r="R80" i="8"/>
  <c r="R86" i="8"/>
  <c r="S80" i="8"/>
  <c r="S86" i="8"/>
  <c r="T80" i="8"/>
  <c r="T84" i="8"/>
  <c r="U80" i="8"/>
  <c r="U85" i="8"/>
  <c r="V80" i="8"/>
  <c r="V86" i="8"/>
  <c r="W80" i="8"/>
  <c r="W86" i="8"/>
  <c r="X80" i="8"/>
  <c r="X86" i="8"/>
  <c r="Y80" i="8"/>
  <c r="Y85" i="8"/>
  <c r="Z80" i="8"/>
  <c r="Z86" i="8"/>
  <c r="AA80" i="8"/>
  <c r="AA86" i="8"/>
  <c r="AB80" i="8"/>
  <c r="AC80" i="8"/>
  <c r="AC84" i="8"/>
  <c r="AC85" i="8"/>
  <c r="AD80" i="8"/>
  <c r="AD86" i="8"/>
  <c r="AE80" i="8"/>
  <c r="AE85" i="8"/>
  <c r="AE86" i="8"/>
  <c r="AF80" i="8"/>
  <c r="AG80" i="8"/>
  <c r="AG85" i="8"/>
  <c r="AH80" i="8"/>
  <c r="AH86" i="8"/>
  <c r="AI80" i="8"/>
  <c r="AI86" i="8"/>
  <c r="AJ80" i="8"/>
  <c r="AJ83" i="8"/>
  <c r="AK80" i="8"/>
  <c r="AK85" i="8"/>
  <c r="AL80" i="8"/>
  <c r="AL83" i="8"/>
  <c r="AL86" i="8"/>
  <c r="AM80" i="8"/>
  <c r="AM86" i="8"/>
  <c r="AN80" i="8"/>
  <c r="AN84" i="8"/>
  <c r="K80" i="8"/>
  <c r="K84" i="8"/>
  <c r="AT84" i="8"/>
  <c r="L80" i="8"/>
  <c r="M73" i="8"/>
  <c r="AG36" i="43"/>
  <c r="AQ63" i="8"/>
  <c r="AQ62" i="8"/>
  <c r="AQ64" i="8"/>
  <c r="AQ61" i="8"/>
  <c r="M69" i="8"/>
  <c r="AT34" i="8"/>
  <c r="AE6" i="51"/>
  <c r="AH6" i="51"/>
  <c r="AG6" i="51"/>
  <c r="Z7" i="50"/>
  <c r="V7" i="50"/>
  <c r="X8" i="49"/>
  <c r="Z8" i="49"/>
  <c r="AG8" i="48"/>
  <c r="AE8" i="48"/>
  <c r="AE8" i="47"/>
  <c r="AG8" i="47"/>
  <c r="AK7" i="46"/>
  <c r="F9" i="45"/>
  <c r="E9" i="45"/>
  <c r="D9" i="45"/>
  <c r="C9" i="45"/>
  <c r="H11" i="45"/>
  <c r="AE7" i="44"/>
  <c r="Q7" i="42"/>
  <c r="V39" i="42"/>
  <c r="V38" i="42"/>
  <c r="O7" i="41"/>
  <c r="R38" i="41"/>
  <c r="M7" i="40"/>
  <c r="O7" i="40"/>
  <c r="K73" i="8"/>
  <c r="AT73" i="8"/>
  <c r="AT72" i="8"/>
  <c r="AL65" i="8"/>
  <c r="AF65" i="8"/>
  <c r="AD65" i="8"/>
  <c r="AC65" i="8"/>
  <c r="P65" i="8"/>
  <c r="AQ65" i="8"/>
  <c r="AP65" i="8"/>
  <c r="AN65" i="8"/>
  <c r="AM65" i="8"/>
  <c r="AK65" i="8"/>
  <c r="AJ65" i="8"/>
  <c r="AI65" i="8"/>
  <c r="AH65" i="8"/>
  <c r="AG65" i="8"/>
  <c r="AE65" i="8"/>
  <c r="AB65" i="8"/>
  <c r="AA65" i="8"/>
  <c r="Z65" i="8"/>
  <c r="Y65" i="8"/>
  <c r="X65" i="8"/>
  <c r="W65" i="8"/>
  <c r="V65" i="8"/>
  <c r="U65" i="8"/>
  <c r="T65" i="8"/>
  <c r="S65" i="8"/>
  <c r="R65" i="8"/>
  <c r="Q65" i="8"/>
  <c r="O65" i="8"/>
  <c r="N65" i="8"/>
  <c r="AT30" i="8"/>
  <c r="AT31" i="8"/>
  <c r="AV26" i="8"/>
  <c r="AV17" i="8"/>
  <c r="AH43" i="51"/>
  <c r="AG43" i="51"/>
  <c r="AH42" i="51"/>
  <c r="AG42" i="51"/>
  <c r="AH41" i="51"/>
  <c r="AG41" i="51"/>
  <c r="AG39" i="51"/>
  <c r="AH38" i="51"/>
  <c r="AG38" i="51"/>
  <c r="AG37" i="51"/>
  <c r="AH36" i="51"/>
  <c r="AG36" i="51"/>
  <c r="Z44" i="50"/>
  <c r="Z43" i="50"/>
  <c r="Z42" i="50"/>
  <c r="Z41" i="50"/>
  <c r="T40" i="50"/>
  <c r="Z40" i="50"/>
  <c r="S40" i="50"/>
  <c r="R40" i="50"/>
  <c r="Q40" i="50"/>
  <c r="U39" i="50"/>
  <c r="Z39" i="50"/>
  <c r="U38" i="50"/>
  <c r="Z38" i="50"/>
  <c r="S38" i="50"/>
  <c r="P28" i="50"/>
  <c r="O28" i="50"/>
  <c r="L28" i="50"/>
  <c r="K28" i="50"/>
  <c r="J28" i="50"/>
  <c r="I28" i="50"/>
  <c r="H28" i="50"/>
  <c r="M12" i="50"/>
  <c r="L12" i="50"/>
  <c r="K12" i="50"/>
  <c r="J12" i="50"/>
  <c r="I12" i="50"/>
  <c r="H12" i="50"/>
  <c r="G12" i="50"/>
  <c r="F12" i="50"/>
  <c r="E12" i="50"/>
  <c r="Z46" i="49"/>
  <c r="U46" i="49"/>
  <c r="S46" i="49"/>
  <c r="Q46" i="49"/>
  <c r="W45" i="49"/>
  <c r="Z45" i="49"/>
  <c r="W44" i="49"/>
  <c r="V44" i="49"/>
  <c r="Z44" i="49"/>
  <c r="U44" i="49"/>
  <c r="S44" i="49"/>
  <c r="R44" i="49"/>
  <c r="Q44" i="49"/>
  <c r="P44" i="49"/>
  <c r="O44" i="49"/>
  <c r="N44" i="49"/>
  <c r="M44" i="49"/>
  <c r="Z43" i="49"/>
  <c r="S43" i="49"/>
  <c r="Z42" i="49"/>
  <c r="U42" i="49"/>
  <c r="S42" i="49"/>
  <c r="R42" i="49"/>
  <c r="W41" i="49"/>
  <c r="Z41" i="49"/>
  <c r="V41" i="49"/>
  <c r="U41" i="49"/>
  <c r="Z40" i="49"/>
  <c r="S40" i="49"/>
  <c r="R40" i="49"/>
  <c r="Q40" i="49"/>
  <c r="Z39" i="49"/>
  <c r="Z38" i="49"/>
  <c r="U37" i="49"/>
  <c r="T37" i="49"/>
  <c r="S37" i="49"/>
  <c r="R37" i="49"/>
  <c r="Q37" i="49"/>
  <c r="O37" i="49"/>
  <c r="N37" i="49"/>
  <c r="W34" i="49"/>
  <c r="V34" i="49"/>
  <c r="U34" i="49"/>
  <c r="T34" i="49"/>
  <c r="S34" i="49"/>
  <c r="R34" i="49"/>
  <c r="Q34" i="49"/>
  <c r="O34" i="49"/>
  <c r="N34" i="49"/>
  <c r="M34" i="49"/>
  <c r="L34" i="49"/>
  <c r="K34" i="49"/>
  <c r="J34" i="49"/>
  <c r="I34" i="49"/>
  <c r="H34" i="49"/>
  <c r="G34" i="49"/>
  <c r="F34" i="49"/>
  <c r="E34" i="49"/>
  <c r="D34" i="49"/>
  <c r="C34" i="49"/>
  <c r="W20" i="49"/>
  <c r="V20" i="49"/>
  <c r="U20" i="49"/>
  <c r="T20" i="49"/>
  <c r="S20" i="49"/>
  <c r="R20" i="49"/>
  <c r="Q20" i="49"/>
  <c r="O20" i="49"/>
  <c r="N20" i="49"/>
  <c r="M20" i="49"/>
  <c r="L20" i="49"/>
  <c r="K20" i="49"/>
  <c r="J20" i="49"/>
  <c r="I20" i="49"/>
  <c r="H20" i="49"/>
  <c r="G20" i="49"/>
  <c r="F20" i="49"/>
  <c r="E20" i="49"/>
  <c r="D20" i="49"/>
  <c r="C20" i="49"/>
  <c r="U36" i="49"/>
  <c r="S36" i="49"/>
  <c r="R36" i="49"/>
  <c r="V35" i="49"/>
  <c r="U35" i="49"/>
  <c r="S35" i="49"/>
  <c r="R35" i="49"/>
  <c r="Q35" i="49"/>
  <c r="O35" i="49"/>
  <c r="N35" i="49"/>
  <c r="M35" i="49"/>
  <c r="L35" i="49"/>
  <c r="K35" i="49"/>
  <c r="J35" i="49"/>
  <c r="R33" i="49"/>
  <c r="Q33" i="49"/>
  <c r="O33" i="49"/>
  <c r="N33" i="49"/>
  <c r="M33" i="49"/>
  <c r="L33" i="49"/>
  <c r="K33" i="49"/>
  <c r="J33" i="49"/>
  <c r="I33" i="49"/>
  <c r="H33" i="49"/>
  <c r="G33" i="49"/>
  <c r="F33" i="49"/>
  <c r="E33" i="49"/>
  <c r="D33" i="49"/>
  <c r="C33" i="49"/>
  <c r="W32" i="49"/>
  <c r="V32" i="49"/>
  <c r="U32" i="49"/>
  <c r="T32" i="49"/>
  <c r="S32" i="49"/>
  <c r="R32" i="49"/>
  <c r="Q32" i="49"/>
  <c r="O32" i="49"/>
  <c r="N32" i="49"/>
  <c r="W31" i="49"/>
  <c r="V31" i="49"/>
  <c r="U31" i="49"/>
  <c r="S31" i="49"/>
  <c r="R31" i="49"/>
  <c r="Q31" i="49"/>
  <c r="O31" i="49"/>
  <c r="N31" i="49"/>
  <c r="M31" i="49"/>
  <c r="W10" i="49"/>
  <c r="V10" i="49"/>
  <c r="U10" i="49"/>
  <c r="T10" i="49"/>
  <c r="S10" i="49"/>
  <c r="R10" i="49"/>
  <c r="Q10" i="49"/>
  <c r="O10" i="49"/>
  <c r="N10" i="49"/>
  <c r="M10" i="49"/>
  <c r="L10" i="49"/>
  <c r="K10" i="49"/>
  <c r="J10" i="49"/>
  <c r="I10" i="49"/>
  <c r="H10" i="49"/>
  <c r="G10" i="49"/>
  <c r="F10" i="49"/>
  <c r="E10" i="49"/>
  <c r="D10" i="49"/>
  <c r="C10" i="49"/>
  <c r="W30" i="49"/>
  <c r="V30" i="49"/>
  <c r="U30" i="49"/>
  <c r="T30" i="49"/>
  <c r="S30" i="49"/>
  <c r="R30" i="49"/>
  <c r="Q30" i="49"/>
  <c r="O30" i="49"/>
  <c r="N30" i="49"/>
  <c r="M30" i="49"/>
  <c r="L30" i="49"/>
  <c r="K30" i="49"/>
  <c r="J30" i="49"/>
  <c r="I30" i="49"/>
  <c r="H30" i="49"/>
  <c r="G30" i="49"/>
  <c r="F30" i="49"/>
  <c r="E30" i="49"/>
  <c r="D30" i="49"/>
  <c r="C30" i="49"/>
  <c r="V29" i="49"/>
  <c r="U29" i="49"/>
  <c r="T29" i="49"/>
  <c r="S29" i="49"/>
  <c r="R29" i="49"/>
  <c r="Q29" i="49"/>
  <c r="N29" i="49"/>
  <c r="M29" i="49"/>
  <c r="L29" i="49"/>
  <c r="U23" i="49"/>
  <c r="T23" i="49"/>
  <c r="S23" i="49"/>
  <c r="Q23" i="49"/>
  <c r="W27" i="49"/>
  <c r="V27" i="49"/>
  <c r="U27" i="49"/>
  <c r="S27" i="49"/>
  <c r="R27" i="49"/>
  <c r="Q27" i="49"/>
  <c r="O27" i="49"/>
  <c r="N27" i="49"/>
  <c r="M27" i="49"/>
  <c r="L27" i="49"/>
  <c r="K27" i="49"/>
  <c r="J27" i="49"/>
  <c r="I27" i="49"/>
  <c r="H27" i="49"/>
  <c r="G27" i="49"/>
  <c r="F27" i="49"/>
  <c r="E27" i="49"/>
  <c r="D27" i="49"/>
  <c r="C27" i="49"/>
  <c r="W26" i="49"/>
  <c r="V26" i="49"/>
  <c r="U26" i="49"/>
  <c r="S26" i="49"/>
  <c r="R26" i="49"/>
  <c r="Q26" i="49"/>
  <c r="O26" i="49"/>
  <c r="S28" i="49"/>
  <c r="R28" i="49"/>
  <c r="Q28" i="49"/>
  <c r="O28" i="49"/>
  <c r="N28" i="49"/>
  <c r="M28" i="49"/>
  <c r="L28" i="49"/>
  <c r="W13" i="49"/>
  <c r="V13" i="49"/>
  <c r="U13" i="49"/>
  <c r="T13" i="49"/>
  <c r="S13" i="49"/>
  <c r="R13" i="49"/>
  <c r="Q13" i="49"/>
  <c r="W25" i="49"/>
  <c r="V25" i="49"/>
  <c r="U25" i="49"/>
  <c r="T25" i="49"/>
  <c r="S25" i="49"/>
  <c r="R25" i="49"/>
  <c r="Q25" i="49"/>
  <c r="O25" i="49"/>
  <c r="N25" i="49"/>
  <c r="M25" i="49"/>
  <c r="L25" i="49"/>
  <c r="K25" i="49"/>
  <c r="J25" i="49"/>
  <c r="I25" i="49"/>
  <c r="H25" i="49"/>
  <c r="G25" i="49"/>
  <c r="F25" i="49"/>
  <c r="E25" i="49"/>
  <c r="D25" i="49"/>
  <c r="C25" i="49"/>
  <c r="S22" i="49"/>
  <c r="R22" i="49"/>
  <c r="Q22" i="49"/>
  <c r="O22" i="49"/>
  <c r="W21" i="49"/>
  <c r="V21" i="49"/>
  <c r="U21" i="49"/>
  <c r="S21" i="49"/>
  <c r="R21" i="49"/>
  <c r="Q21" i="49"/>
  <c r="O21" i="49"/>
  <c r="N21" i="49"/>
  <c r="M21" i="49"/>
  <c r="L21" i="49"/>
  <c r="K21" i="49"/>
  <c r="J21" i="49"/>
  <c r="I21" i="49"/>
  <c r="H21" i="49"/>
  <c r="G21" i="49"/>
  <c r="F21" i="49"/>
  <c r="E21" i="49"/>
  <c r="D21" i="49"/>
  <c r="C21" i="49"/>
  <c r="W19" i="49"/>
  <c r="V19" i="49"/>
  <c r="U19" i="49"/>
  <c r="T19" i="49"/>
  <c r="S19" i="49"/>
  <c r="R19" i="49"/>
  <c r="Q19" i="49"/>
  <c r="P19" i="49"/>
  <c r="O19" i="49"/>
  <c r="N19" i="49"/>
  <c r="M19" i="49"/>
  <c r="L19" i="49"/>
  <c r="K19" i="49"/>
  <c r="J19" i="49"/>
  <c r="I19" i="49"/>
  <c r="U18" i="49"/>
  <c r="R24" i="49"/>
  <c r="W17" i="49"/>
  <c r="V17" i="49"/>
  <c r="U17" i="49"/>
  <c r="Q17" i="49"/>
  <c r="W15" i="49"/>
  <c r="V15" i="49"/>
  <c r="U15" i="49"/>
  <c r="T15" i="49"/>
  <c r="S15" i="49"/>
  <c r="R15" i="49"/>
  <c r="Q15" i="49"/>
  <c r="O15" i="49"/>
  <c r="N15" i="49"/>
  <c r="M15" i="49"/>
  <c r="L15" i="49"/>
  <c r="K15" i="49"/>
  <c r="J15" i="49"/>
  <c r="I15" i="49"/>
  <c r="H15" i="49"/>
  <c r="G15" i="49"/>
  <c r="F15" i="49"/>
  <c r="E15" i="49"/>
  <c r="D15" i="49"/>
  <c r="C15" i="49"/>
  <c r="W16" i="49"/>
  <c r="V16" i="49"/>
  <c r="R16" i="49"/>
  <c r="Q16" i="49"/>
  <c r="O16" i="49"/>
  <c r="N16" i="49"/>
  <c r="M16" i="49"/>
  <c r="Q12" i="49"/>
  <c r="AG46" i="48"/>
  <c r="AC46" i="48"/>
  <c r="X46" i="48"/>
  <c r="AG45" i="48"/>
  <c r="X45" i="48"/>
  <c r="AD44" i="48"/>
  <c r="AG44" i="48"/>
  <c r="AC44" i="48"/>
  <c r="AB44" i="48"/>
  <c r="Z44" i="48"/>
  <c r="Y44" i="48"/>
  <c r="X44" i="48"/>
  <c r="W44" i="48"/>
  <c r="V44" i="48"/>
  <c r="U44" i="48"/>
  <c r="T44" i="48"/>
  <c r="AG43" i="48"/>
  <c r="X43" i="48"/>
  <c r="T43" i="48"/>
  <c r="R43" i="48"/>
  <c r="Q43" i="48"/>
  <c r="P43" i="48"/>
  <c r="O43" i="48"/>
  <c r="N43" i="48"/>
  <c r="M43" i="48"/>
  <c r="L43" i="48"/>
  <c r="K43" i="48"/>
  <c r="J43" i="48"/>
  <c r="I43" i="48"/>
  <c r="H43" i="48"/>
  <c r="G43" i="48"/>
  <c r="F43" i="48"/>
  <c r="E43" i="48"/>
  <c r="AD42" i="48"/>
  <c r="AG42" i="48"/>
  <c r="AC42" i="48"/>
  <c r="AB42" i="48"/>
  <c r="AA42" i="48"/>
  <c r="Z42" i="48"/>
  <c r="Y42" i="48"/>
  <c r="X42" i="48"/>
  <c r="W42" i="48"/>
  <c r="V42" i="48"/>
  <c r="U42" i="48"/>
  <c r="T42" i="48"/>
  <c r="S42" i="48"/>
  <c r="R42" i="48"/>
  <c r="Q42" i="48"/>
  <c r="P42" i="48"/>
  <c r="O42" i="48"/>
  <c r="N42" i="48"/>
  <c r="M42" i="48"/>
  <c r="L42" i="48"/>
  <c r="K42" i="48"/>
  <c r="J42" i="48"/>
  <c r="I42" i="48"/>
  <c r="H42" i="48"/>
  <c r="G42" i="48"/>
  <c r="AG41" i="48"/>
  <c r="AD40" i="48"/>
  <c r="AG40" i="48"/>
  <c r="AC40" i="48"/>
  <c r="AB40" i="48"/>
  <c r="AA40" i="48"/>
  <c r="Z40" i="48"/>
  <c r="Y40" i="48"/>
  <c r="X40" i="48"/>
  <c r="W40" i="48"/>
  <c r="V40" i="48"/>
  <c r="U40" i="48"/>
  <c r="T40" i="48"/>
  <c r="S40" i="48"/>
  <c r="R40" i="48"/>
  <c r="AD39" i="48"/>
  <c r="AG39" i="48"/>
  <c r="AC39" i="48"/>
  <c r="AB39" i="48"/>
  <c r="AA39" i="48"/>
  <c r="Z39" i="48"/>
  <c r="AG38" i="48"/>
  <c r="AD37" i="48"/>
  <c r="AC37" i="48"/>
  <c r="AB37" i="48"/>
  <c r="AA37" i="48"/>
  <c r="AD20" i="48"/>
  <c r="AC20" i="48"/>
  <c r="AB20" i="48"/>
  <c r="AA20" i="48"/>
  <c r="Z20" i="48"/>
  <c r="Y20" i="48"/>
  <c r="X20" i="48"/>
  <c r="W20" i="48"/>
  <c r="V20" i="48"/>
  <c r="AD36" i="48"/>
  <c r="AC36" i="48"/>
  <c r="AB36" i="48"/>
  <c r="AD35" i="48"/>
  <c r="AC35" i="48"/>
  <c r="AB35" i="48"/>
  <c r="AD33" i="48"/>
  <c r="AC33" i="48"/>
  <c r="AD32" i="48"/>
  <c r="AC32" i="48"/>
  <c r="AA32" i="48"/>
  <c r="AD31" i="48"/>
  <c r="AC31" i="48"/>
  <c r="AB31" i="48"/>
  <c r="AD10" i="48"/>
  <c r="AC10" i="48"/>
  <c r="AB10" i="48"/>
  <c r="AD30" i="48"/>
  <c r="AC30" i="48"/>
  <c r="AB30" i="48"/>
  <c r="AD29" i="48"/>
  <c r="AC29" i="48"/>
  <c r="AB29" i="48"/>
  <c r="AA29" i="48"/>
  <c r="Z29" i="48"/>
  <c r="Y29" i="48"/>
  <c r="AD23" i="48"/>
  <c r="AC23" i="48"/>
  <c r="AB23" i="48"/>
  <c r="AA23" i="48"/>
  <c r="Z23" i="48"/>
  <c r="AD27" i="48"/>
  <c r="AC27" i="48"/>
  <c r="AB27" i="48"/>
  <c r="AA27" i="48"/>
  <c r="AD26" i="48"/>
  <c r="AC26" i="48"/>
  <c r="AB26" i="48"/>
  <c r="G26" i="48"/>
  <c r="F26" i="48"/>
  <c r="AD25" i="48"/>
  <c r="AC25" i="48"/>
  <c r="AB25" i="48"/>
  <c r="AD21" i="48"/>
  <c r="AD19" i="48"/>
  <c r="AC19" i="48"/>
  <c r="AB19" i="48"/>
  <c r="AA19" i="48"/>
  <c r="AD15" i="48"/>
  <c r="AC15" i="48"/>
  <c r="AB15" i="48"/>
  <c r="AD16" i="48"/>
  <c r="AC16" i="48"/>
  <c r="AB16" i="48"/>
  <c r="AD14" i="48"/>
  <c r="AC14" i="48"/>
  <c r="AB14" i="48"/>
  <c r="AD11" i="48"/>
  <c r="AC11" i="48"/>
  <c r="AB11" i="48"/>
  <c r="AA11" i="48"/>
  <c r="Z11" i="48"/>
  <c r="Y11" i="48"/>
  <c r="X11" i="48"/>
  <c r="W11" i="48"/>
  <c r="V11" i="48"/>
  <c r="X46" i="47"/>
  <c r="X45" i="47"/>
  <c r="AB44" i="47"/>
  <c r="AA43" i="47"/>
  <c r="Z43" i="47"/>
  <c r="AB42" i="47"/>
  <c r="Y42" i="47"/>
  <c r="X42" i="47"/>
  <c r="X40" i="47"/>
  <c r="W40" i="47"/>
  <c r="V40" i="47"/>
  <c r="AD37" i="47"/>
  <c r="AC37" i="47"/>
  <c r="AB37" i="47"/>
  <c r="U37" i="47"/>
  <c r="T37" i="47"/>
  <c r="S37" i="47"/>
  <c r="R37" i="47"/>
  <c r="Q37" i="47"/>
  <c r="P37" i="47"/>
  <c r="O37" i="47"/>
  <c r="N37" i="47"/>
  <c r="M37" i="47"/>
  <c r="AB20" i="47"/>
  <c r="AB36" i="47"/>
  <c r="AB35" i="47"/>
  <c r="AB30" i="47"/>
  <c r="AD29" i="47"/>
  <c r="AC29" i="47"/>
  <c r="AB29" i="47"/>
  <c r="AA29" i="47"/>
  <c r="U29" i="47"/>
  <c r="T29" i="47"/>
  <c r="S29" i="47"/>
  <c r="R29" i="47"/>
  <c r="Q29" i="47"/>
  <c r="P29" i="47"/>
  <c r="O29" i="47"/>
  <c r="N29" i="47"/>
  <c r="M29" i="47"/>
  <c r="L29" i="47"/>
  <c r="AB23" i="47"/>
  <c r="AD27" i="47"/>
  <c r="AC27" i="47"/>
  <c r="AB27" i="47"/>
  <c r="AA27" i="47"/>
  <c r="Z27" i="47"/>
  <c r="Y27" i="47"/>
  <c r="X27" i="47"/>
  <c r="W27" i="47"/>
  <c r="V27" i="47"/>
  <c r="U27" i="47"/>
  <c r="T27" i="47"/>
  <c r="AB26" i="47"/>
  <c r="AD24" i="47"/>
  <c r="AC24" i="47"/>
  <c r="AB24" i="47"/>
  <c r="AA24" i="47"/>
  <c r="Z24" i="47"/>
  <c r="Y24" i="47"/>
  <c r="X24" i="47"/>
  <c r="W24" i="47"/>
  <c r="V24" i="47"/>
  <c r="U24" i="47"/>
  <c r="T24" i="47"/>
  <c r="S24" i="47"/>
  <c r="R24" i="47"/>
  <c r="Q24" i="47"/>
  <c r="P24" i="47"/>
  <c r="O24" i="47"/>
  <c r="N24" i="47"/>
  <c r="M24" i="47"/>
  <c r="L24" i="47"/>
  <c r="K24" i="47"/>
  <c r="J24" i="47"/>
  <c r="I24" i="47"/>
  <c r="H24" i="47"/>
  <c r="G24" i="47"/>
  <c r="F24" i="47"/>
  <c r="E24" i="47"/>
  <c r="AI44" i="46"/>
  <c r="AH44" i="46"/>
  <c r="AG44" i="46"/>
  <c r="AF44" i="46"/>
  <c r="AE44" i="46"/>
  <c r="AD44" i="46"/>
  <c r="AC44" i="46"/>
  <c r="AA44" i="46"/>
  <c r="Z44" i="46"/>
  <c r="AJ44" i="46"/>
  <c r="Y44" i="46"/>
  <c r="X44" i="46"/>
  <c r="W44" i="46"/>
  <c r="U44" i="46"/>
  <c r="T44" i="46"/>
  <c r="R44" i="46"/>
  <c r="Q44" i="46"/>
  <c r="P44" i="46"/>
  <c r="N44" i="46"/>
  <c r="AI43" i="46"/>
  <c r="AJ43" i="46"/>
  <c r="Y43" i="46"/>
  <c r="X43" i="46"/>
  <c r="W43" i="46"/>
  <c r="AJ41" i="46"/>
  <c r="AJ40" i="46"/>
  <c r="AJ39" i="46"/>
  <c r="AJ38" i="46"/>
  <c r="AJ37" i="46"/>
  <c r="AI36" i="46"/>
  <c r="AJ36" i="46"/>
  <c r="AH36" i="46"/>
  <c r="AG36" i="46"/>
  <c r="AF36" i="46"/>
  <c r="AE36" i="46"/>
  <c r="AD36" i="46"/>
  <c r="AC36" i="46"/>
  <c r="AA36" i="46"/>
  <c r="X36" i="46"/>
  <c r="W36" i="46"/>
  <c r="V36" i="46"/>
  <c r="U36" i="46"/>
  <c r="T36" i="46"/>
  <c r="S36" i="46"/>
  <c r="R36" i="46"/>
  <c r="Q36" i="46"/>
  <c r="P36" i="46"/>
  <c r="O36" i="46"/>
  <c r="AJ33" i="46"/>
  <c r="AJ19" i="46"/>
  <c r="AJ35" i="46"/>
  <c r="AJ34" i="46"/>
  <c r="AJ32" i="46"/>
  <c r="AJ31" i="46"/>
  <c r="AJ30" i="46"/>
  <c r="AH9" i="46"/>
  <c r="AA9" i="46"/>
  <c r="Z9" i="46"/>
  <c r="AJ9" i="46"/>
  <c r="Y9" i="46"/>
  <c r="R9" i="46"/>
  <c r="Q9" i="46"/>
  <c r="AJ29" i="46"/>
  <c r="AI22" i="46"/>
  <c r="AJ22" i="46"/>
  <c r="AH22" i="46"/>
  <c r="AG22" i="46"/>
  <c r="AF22" i="46"/>
  <c r="AE22" i="46"/>
  <c r="AD22" i="46"/>
  <c r="AC22" i="46"/>
  <c r="AA22" i="46"/>
  <c r="Z22" i="46"/>
  <c r="Y22" i="46"/>
  <c r="X22" i="46"/>
  <c r="W22" i="46"/>
  <c r="V22" i="46"/>
  <c r="U22" i="46"/>
  <c r="T22" i="46"/>
  <c r="R22" i="46"/>
  <c r="Q22" i="46"/>
  <c r="AJ26" i="46"/>
  <c r="AJ25" i="46"/>
  <c r="U25" i="46"/>
  <c r="P25" i="46"/>
  <c r="AJ27" i="46"/>
  <c r="AI24" i="46"/>
  <c r="AJ24" i="46"/>
  <c r="AH24" i="46"/>
  <c r="AG24" i="46"/>
  <c r="AF24" i="46"/>
  <c r="AE24" i="46"/>
  <c r="AD24" i="46"/>
  <c r="AC24" i="46"/>
  <c r="AA24" i="46"/>
  <c r="Z24" i="46"/>
  <c r="Y24" i="46"/>
  <c r="X24" i="46"/>
  <c r="V24" i="46"/>
  <c r="U24" i="46"/>
  <c r="T24" i="46"/>
  <c r="R24" i="46"/>
  <c r="Q24" i="46"/>
  <c r="P24" i="46"/>
  <c r="AJ21" i="46"/>
  <c r="AJ20" i="46"/>
  <c r="AJ18" i="46"/>
  <c r="AA18" i="46"/>
  <c r="Z18" i="46"/>
  <c r="Y18" i="46"/>
  <c r="X18" i="46"/>
  <c r="W18" i="46"/>
  <c r="V18" i="46"/>
  <c r="U18" i="46"/>
  <c r="T18" i="46"/>
  <c r="S18" i="46"/>
  <c r="R18" i="46"/>
  <c r="Q18" i="46"/>
  <c r="P18" i="46"/>
  <c r="O18" i="46"/>
  <c r="N18" i="46"/>
  <c r="M18" i="46"/>
  <c r="L18" i="46"/>
  <c r="K18" i="46"/>
  <c r="J18" i="46"/>
  <c r="I18" i="46"/>
  <c r="H18" i="46"/>
  <c r="G18" i="46"/>
  <c r="F18" i="46"/>
  <c r="AJ17" i="46"/>
  <c r="AJ23" i="46"/>
  <c r="AJ16" i="46"/>
  <c r="AI14" i="46"/>
  <c r="AJ14" i="46"/>
  <c r="AH14" i="46"/>
  <c r="AG14" i="46"/>
  <c r="AF15" i="46"/>
  <c r="AD15" i="46"/>
  <c r="Z15" i="46"/>
  <c r="AJ15" i="46"/>
  <c r="Y15" i="46"/>
  <c r="AJ13" i="46"/>
  <c r="AJ11" i="46"/>
  <c r="AJ10" i="46"/>
  <c r="AH10" i="46"/>
  <c r="H38" i="45"/>
  <c r="H36" i="45"/>
  <c r="H35" i="45"/>
  <c r="H34" i="45"/>
  <c r="H32" i="45"/>
  <c r="H30" i="45"/>
  <c r="H28" i="45"/>
  <c r="H26" i="45"/>
  <c r="H25" i="45"/>
  <c r="H24" i="45"/>
  <c r="H23" i="45"/>
  <c r="H22" i="45"/>
  <c r="H19" i="45"/>
  <c r="H18" i="45"/>
  <c r="H17" i="45"/>
  <c r="H16" i="45"/>
  <c r="H14" i="45"/>
  <c r="H13" i="45"/>
  <c r="H12" i="45"/>
  <c r="C8" i="45"/>
  <c r="D46" i="45"/>
  <c r="D41" i="45"/>
  <c r="D40" i="45"/>
  <c r="H21" i="45"/>
  <c r="H37" i="45"/>
  <c r="H33" i="45"/>
  <c r="H31" i="45"/>
  <c r="H27" i="45"/>
  <c r="H29" i="45"/>
  <c r="E8" i="45"/>
  <c r="H20" i="45"/>
  <c r="H15" i="45"/>
  <c r="AB18" i="44"/>
  <c r="AC18" i="44"/>
  <c r="AD18" i="44"/>
  <c r="AB36" i="44"/>
  <c r="AC36" i="44"/>
  <c r="AD36" i="44"/>
  <c r="AH51" i="44"/>
  <c r="AI51" i="44"/>
  <c r="AJ51" i="44"/>
  <c r="AK51" i="44"/>
  <c r="AL51" i="44"/>
  <c r="AM51" i="44"/>
  <c r="AN51" i="44"/>
  <c r="AO51" i="44"/>
  <c r="AP51" i="44"/>
  <c r="AQ51" i="44"/>
  <c r="AR51" i="44"/>
  <c r="AS51" i="44"/>
  <c r="AT51" i="44"/>
  <c r="AU51" i="44"/>
  <c r="AV51" i="44"/>
  <c r="AW51" i="44"/>
  <c r="AX51" i="44"/>
  <c r="AY51" i="44"/>
  <c r="AZ51" i="44"/>
  <c r="Z8" i="50"/>
  <c r="AE34" i="43"/>
  <c r="AE33" i="43"/>
  <c r="AE32" i="43"/>
  <c r="AE31" i="43"/>
  <c r="AE30" i="43"/>
  <c r="AE29" i="43"/>
  <c r="AE28" i="43"/>
  <c r="AE27" i="43"/>
  <c r="AE26" i="43"/>
  <c r="AE25" i="43"/>
  <c r="AE24" i="43"/>
  <c r="AE23" i="43"/>
  <c r="AE22" i="43"/>
  <c r="AE21" i="43"/>
  <c r="AE20" i="43"/>
  <c r="AE19" i="43"/>
  <c r="AE18" i="43"/>
  <c r="AE17" i="43"/>
  <c r="AE16" i="43"/>
  <c r="AE15" i="43"/>
  <c r="AE14" i="43"/>
  <c r="AE13" i="43"/>
  <c r="AE12" i="43"/>
  <c r="AE11" i="43"/>
  <c r="AE10" i="43"/>
  <c r="AE9" i="43"/>
  <c r="AE8" i="43"/>
  <c r="AE7" i="43"/>
  <c r="AE4" i="43"/>
  <c r="S44" i="42"/>
  <c r="S43" i="42"/>
  <c r="S41" i="42"/>
  <c r="H41" i="42"/>
  <c r="S40" i="42"/>
  <c r="S39" i="42"/>
  <c r="I39" i="42"/>
  <c r="H39" i="42"/>
  <c r="G39" i="42"/>
  <c r="S38" i="42"/>
  <c r="S37" i="42"/>
  <c r="N21" i="42"/>
  <c r="M21" i="42"/>
  <c r="H28" i="42"/>
  <c r="AP73" i="8"/>
  <c r="AT41" i="8"/>
  <c r="AT38" i="8"/>
  <c r="AV27" i="8"/>
  <c r="AV22" i="8"/>
  <c r="AV23" i="8"/>
  <c r="AU35" i="8"/>
  <c r="AU73" i="8"/>
  <c r="AV69" i="8"/>
  <c r="AV46" i="8"/>
  <c r="AU46" i="8"/>
  <c r="AU42" i="8"/>
  <c r="AU17" i="8"/>
  <c r="Y58" i="8"/>
  <c r="Y42" i="8"/>
  <c r="Y27" i="8"/>
  <c r="Y31" i="8"/>
  <c r="Y35" i="8"/>
  <c r="Y46" i="8"/>
  <c r="Y69" i="8"/>
  <c r="Y73" i="8"/>
  <c r="AT11" i="8"/>
  <c r="AT17" i="8"/>
  <c r="AT68" i="8"/>
  <c r="AT69" i="8"/>
  <c r="AV42" i="8"/>
  <c r="AV35" i="8"/>
  <c r="N31" i="8"/>
  <c r="O31" i="8"/>
  <c r="Q31" i="8"/>
  <c r="R31" i="8"/>
  <c r="BA31" i="8"/>
  <c r="S31" i="8"/>
  <c r="T31" i="8"/>
  <c r="U31" i="8"/>
  <c r="V31" i="8"/>
  <c r="W31" i="8"/>
  <c r="X31" i="8"/>
  <c r="Z31" i="8"/>
  <c r="AA31" i="8"/>
  <c r="AB31" i="8"/>
  <c r="AC31" i="8"/>
  <c r="AD31" i="8"/>
  <c r="AE31" i="8"/>
  <c r="AG31" i="8"/>
  <c r="AH31" i="8"/>
  <c r="AI31" i="8"/>
  <c r="AJ31" i="8"/>
  <c r="AK31" i="8"/>
  <c r="AL31" i="8"/>
  <c r="AM31" i="8"/>
  <c r="AN31" i="8"/>
  <c r="AP23" i="8"/>
  <c r="N23" i="8"/>
  <c r="O23" i="8"/>
  <c r="P23" i="8"/>
  <c r="Q23" i="8"/>
  <c r="R23" i="8"/>
  <c r="S23" i="8"/>
  <c r="T23" i="8"/>
  <c r="U23" i="8"/>
  <c r="V23" i="8"/>
  <c r="W23" i="8"/>
  <c r="X23" i="8"/>
  <c r="Y23" i="8"/>
  <c r="Z23" i="8"/>
  <c r="AA23" i="8"/>
  <c r="AB23" i="8"/>
  <c r="AC23" i="8"/>
  <c r="AD23" i="8"/>
  <c r="AG23" i="8"/>
  <c r="AH23" i="8"/>
  <c r="AI23" i="8"/>
  <c r="AJ23" i="8"/>
  <c r="AK23" i="8"/>
  <c r="AL23" i="8"/>
  <c r="AM23" i="8"/>
  <c r="AN23" i="8"/>
  <c r="K42" i="8"/>
  <c r="AT42" i="8"/>
  <c r="K35" i="8"/>
  <c r="AT35" i="8"/>
  <c r="K69" i="8"/>
  <c r="AT45" i="8"/>
  <c r="AT26" i="8"/>
  <c r="AQ85" i="8"/>
  <c r="AQ84" i="8"/>
  <c r="AQ83" i="8"/>
  <c r="AN86" i="8"/>
  <c r="AJ86" i="8"/>
  <c r="AG86" i="8"/>
  <c r="AF86" i="8"/>
  <c r="AB86" i="8"/>
  <c r="Y86" i="8"/>
  <c r="Q86" i="8"/>
  <c r="P86" i="8"/>
  <c r="AN85" i="8"/>
  <c r="AJ85" i="8"/>
  <c r="AF85" i="8"/>
  <c r="AB85" i="8"/>
  <c r="X85" i="8"/>
  <c r="T85" i="8"/>
  <c r="P85" i="8"/>
  <c r="K85" i="8"/>
  <c r="AT85" i="8"/>
  <c r="AP84" i="8"/>
  <c r="AK84" i="8"/>
  <c r="AF84" i="8"/>
  <c r="AB84" i="8"/>
  <c r="X84" i="8"/>
  <c r="U84" i="8"/>
  <c r="P84" i="8"/>
  <c r="AF83" i="8"/>
  <c r="AB83" i="8"/>
  <c r="P83" i="8"/>
  <c r="AP31" i="8"/>
  <c r="Y17" i="8"/>
  <c r="AU65" i="8"/>
  <c r="AV30" i="8"/>
  <c r="AV31" i="8"/>
  <c r="AV72" i="8"/>
  <c r="AT77" i="8"/>
  <c r="AT78" i="8"/>
  <c r="AT79" i="8"/>
  <c r="AT76" i="8"/>
  <c r="AN58" i="8"/>
  <c r="Q35" i="8"/>
  <c r="Q46" i="8"/>
  <c r="K27" i="8"/>
  <c r="AQ23" i="8"/>
  <c r="K23" i="8"/>
  <c r="AT23" i="8"/>
  <c r="K31" i="8"/>
  <c r="K46" i="8"/>
  <c r="BA46" i="8"/>
  <c r="P58" i="8"/>
  <c r="R58" i="8"/>
  <c r="AQ73" i="8"/>
  <c r="K58" i="8"/>
  <c r="BA11" i="8"/>
  <c r="AU57" i="8"/>
  <c r="AU56" i="8"/>
  <c r="AU58" i="8"/>
  <c r="AT52" i="8"/>
  <c r="AT53" i="8"/>
  <c r="AT58" i="8"/>
  <c r="AT55" i="8"/>
  <c r="AT56" i="8"/>
  <c r="AT57" i="8"/>
  <c r="AT51" i="8"/>
  <c r="AU27" i="8"/>
  <c r="AQ58" i="8"/>
  <c r="AP58" i="8"/>
  <c r="AM58" i="8"/>
  <c r="AL58" i="8"/>
  <c r="AK58" i="8"/>
  <c r="AJ58" i="8"/>
  <c r="AI58" i="8"/>
  <c r="AH58" i="8"/>
  <c r="AG58" i="8"/>
  <c r="AF58" i="8"/>
  <c r="AE58" i="8"/>
  <c r="AD58" i="8"/>
  <c r="AC58" i="8"/>
  <c r="AB58" i="8"/>
  <c r="AA58" i="8"/>
  <c r="Z58" i="8"/>
  <c r="X58" i="8"/>
  <c r="W58" i="8"/>
  <c r="V58" i="8"/>
  <c r="U58" i="8"/>
  <c r="T58" i="8"/>
  <c r="S58" i="8"/>
  <c r="Q58" i="8"/>
  <c r="O58" i="8"/>
  <c r="N58" i="8"/>
  <c r="AU31" i="8"/>
  <c r="AU23" i="8"/>
  <c r="AQ27" i="8"/>
  <c r="AN73" i="8"/>
  <c r="AV73" i="8"/>
  <c r="AM73" i="8"/>
  <c r="AL73" i="8"/>
  <c r="AK73" i="8"/>
  <c r="AJ73" i="8"/>
  <c r="AI73" i="8"/>
  <c r="AH73" i="8"/>
  <c r="AG73" i="8"/>
  <c r="AF73" i="8"/>
  <c r="AE73" i="8"/>
  <c r="AD73" i="8"/>
  <c r="AC73" i="8"/>
  <c r="AB73" i="8"/>
  <c r="AA73" i="8"/>
  <c r="Z73" i="8"/>
  <c r="X73" i="8"/>
  <c r="W73" i="8"/>
  <c r="V73" i="8"/>
  <c r="U73" i="8"/>
  <c r="T73" i="8"/>
  <c r="S73" i="8"/>
  <c r="R73" i="8"/>
  <c r="Q73" i="8"/>
  <c r="P73" i="8"/>
  <c r="O73" i="8"/>
  <c r="N73" i="8"/>
  <c r="AQ69" i="8"/>
  <c r="AP69" i="8"/>
  <c r="AN69" i="8"/>
  <c r="AM69" i="8"/>
  <c r="AL69" i="8"/>
  <c r="AK69" i="8"/>
  <c r="AJ69" i="8"/>
  <c r="AI69" i="8"/>
  <c r="AH69" i="8"/>
  <c r="AG69" i="8"/>
  <c r="AF69" i="8"/>
  <c r="AE69" i="8"/>
  <c r="AD69" i="8"/>
  <c r="AC69" i="8"/>
  <c r="AB69" i="8"/>
  <c r="AA69" i="8"/>
  <c r="Z69" i="8"/>
  <c r="X69" i="8"/>
  <c r="W69" i="8"/>
  <c r="V69" i="8"/>
  <c r="U69" i="8"/>
  <c r="T69" i="8"/>
  <c r="S69" i="8"/>
  <c r="R69" i="8"/>
  <c r="Q69" i="8"/>
  <c r="P69" i="8"/>
  <c r="O69" i="8"/>
  <c r="N69" i="8"/>
  <c r="AQ46" i="8"/>
  <c r="AP46" i="8"/>
  <c r="AN46" i="8"/>
  <c r="AM46" i="8"/>
  <c r="AL46" i="8"/>
  <c r="AK46" i="8"/>
  <c r="AJ46" i="8"/>
  <c r="AI46" i="8"/>
  <c r="AH46" i="8"/>
  <c r="AG46" i="8"/>
  <c r="AF46" i="8"/>
  <c r="AE46" i="8"/>
  <c r="AD46" i="8"/>
  <c r="AC46" i="8"/>
  <c r="AB46" i="8"/>
  <c r="AA46" i="8"/>
  <c r="Z46" i="8"/>
  <c r="X46" i="8"/>
  <c r="W46" i="8"/>
  <c r="V46" i="8"/>
  <c r="U46" i="8"/>
  <c r="T46" i="8"/>
  <c r="S46" i="8"/>
  <c r="R46" i="8"/>
  <c r="P46" i="8"/>
  <c r="O46" i="8"/>
  <c r="N46" i="8"/>
  <c r="AQ42" i="8"/>
  <c r="AP42" i="8"/>
  <c r="AN42" i="8"/>
  <c r="AM42" i="8"/>
  <c r="AL42" i="8"/>
  <c r="AK42" i="8"/>
  <c r="AJ42" i="8"/>
  <c r="AI42" i="8"/>
  <c r="AH42" i="8"/>
  <c r="AG42" i="8"/>
  <c r="AF42" i="8"/>
  <c r="AE42" i="8"/>
  <c r="AD42" i="8"/>
  <c r="AC42" i="8"/>
  <c r="AB42" i="8"/>
  <c r="AA42" i="8"/>
  <c r="Z42" i="8"/>
  <c r="X42" i="8"/>
  <c r="W42" i="8"/>
  <c r="V42" i="8"/>
  <c r="U42" i="8"/>
  <c r="T42" i="8"/>
  <c r="S42" i="8"/>
  <c r="R42" i="8"/>
  <c r="Q42" i="8"/>
  <c r="P42" i="8"/>
  <c r="O42" i="8"/>
  <c r="N42" i="8"/>
  <c r="AQ35" i="8"/>
  <c r="AP35" i="8"/>
  <c r="AN35" i="8"/>
  <c r="AM35" i="8"/>
  <c r="AL35" i="8"/>
  <c r="AK35" i="8"/>
  <c r="AJ35" i="8"/>
  <c r="AI35" i="8"/>
  <c r="AH35" i="8"/>
  <c r="AG35" i="8"/>
  <c r="AF35" i="8"/>
  <c r="AE35" i="8"/>
  <c r="AD35" i="8"/>
  <c r="AC35" i="8"/>
  <c r="AB35" i="8"/>
  <c r="AA35" i="8"/>
  <c r="Z35" i="8"/>
  <c r="X35" i="8"/>
  <c r="W35" i="8"/>
  <c r="V35" i="8"/>
  <c r="U35" i="8"/>
  <c r="T35" i="8"/>
  <c r="S35" i="8"/>
  <c r="R35" i="8"/>
  <c r="P35" i="8"/>
  <c r="O35" i="8"/>
  <c r="N35" i="8"/>
  <c r="AQ31" i="8"/>
  <c r="AN27" i="8"/>
  <c r="AM27" i="8"/>
  <c r="AL27" i="8"/>
  <c r="AK27" i="8"/>
  <c r="AJ27" i="8"/>
  <c r="AI27" i="8"/>
  <c r="AH27" i="8"/>
  <c r="AG27" i="8"/>
  <c r="AF27" i="8"/>
  <c r="AE27" i="8"/>
  <c r="AD27" i="8"/>
  <c r="AC27" i="8"/>
  <c r="AB27" i="8"/>
  <c r="AA27" i="8"/>
  <c r="Z27" i="8"/>
  <c r="X27" i="8"/>
  <c r="W27" i="8"/>
  <c r="V27" i="8"/>
  <c r="U27" i="8"/>
  <c r="T27" i="8"/>
  <c r="S27" i="8"/>
  <c r="R27" i="8"/>
  <c r="Q27" i="8"/>
  <c r="P27" i="8"/>
  <c r="O27" i="8"/>
  <c r="N27" i="8"/>
  <c r="BA27" i="8"/>
  <c r="K17" i="8"/>
  <c r="AQ17" i="8"/>
  <c r="AP17" i="8"/>
  <c r="AN17" i="8"/>
  <c r="AM17" i="8"/>
  <c r="AL17" i="8"/>
  <c r="AK17" i="8"/>
  <c r="AJ17" i="8"/>
  <c r="AI17" i="8"/>
  <c r="AH17" i="8"/>
  <c r="AG17" i="8"/>
  <c r="AF17" i="8"/>
  <c r="AE17" i="8"/>
  <c r="AD17" i="8"/>
  <c r="AC17" i="8"/>
  <c r="AB17" i="8"/>
  <c r="AA17" i="8"/>
  <c r="Z17" i="8"/>
  <c r="X17" i="8"/>
  <c r="W17" i="8"/>
  <c r="V17" i="8"/>
  <c r="U17" i="8"/>
  <c r="T17" i="8"/>
  <c r="S17" i="8"/>
  <c r="R17" i="8"/>
  <c r="Q17" i="8"/>
  <c r="P17" i="8"/>
  <c r="O17" i="8"/>
  <c r="N17" i="8"/>
  <c r="AT54" i="8"/>
  <c r="AT64" i="8"/>
  <c r="K64" i="8"/>
  <c r="AT27" i="8"/>
  <c r="AU64" i="8"/>
  <c r="AU62" i="8"/>
  <c r="AU61" i="8"/>
  <c r="AT61" i="8"/>
  <c r="K61" i="8"/>
  <c r="AU63" i="8"/>
  <c r="AT63" i="8"/>
  <c r="K63" i="8"/>
  <c r="AT65" i="8"/>
  <c r="K65" i="8"/>
  <c r="AT62" i="8"/>
  <c r="K62" i="8"/>
  <c r="D8" i="45"/>
  <c r="F8" i="45"/>
  <c r="AP85" i="8"/>
  <c r="AP83" i="8"/>
  <c r="Z83" i="8"/>
  <c r="R83" i="8"/>
  <c r="Q84" i="8"/>
  <c r="AG84" i="8"/>
  <c r="U86" i="8"/>
  <c r="AK86" i="8"/>
  <c r="Z85" i="8"/>
  <c r="N83" i="8"/>
  <c r="V83" i="8"/>
  <c r="AD83" i="8"/>
  <c r="N85" i="8"/>
  <c r="V85" i="8"/>
  <c r="AD85" i="8"/>
  <c r="O83" i="8"/>
  <c r="S83" i="8"/>
  <c r="W83" i="8"/>
  <c r="AE83" i="8"/>
  <c r="AI83" i="8"/>
  <c r="AM83" i="8"/>
  <c r="S85" i="8"/>
  <c r="W85" i="8"/>
  <c r="AI85" i="8"/>
  <c r="AM85" i="8"/>
  <c r="N84" i="8"/>
  <c r="V84" i="8"/>
  <c r="Z84" i="8"/>
  <c r="AD84" i="8"/>
  <c r="AL84" i="8"/>
  <c r="Q83" i="8"/>
  <c r="U83" i="8"/>
  <c r="AC83" i="8"/>
  <c r="AG83" i="8"/>
  <c r="AK83" i="8"/>
  <c r="S84" i="8"/>
  <c r="W84" i="8"/>
  <c r="AI84" i="8"/>
  <c r="AM84" i="8"/>
  <c r="BA73" i="8"/>
  <c r="BA42" i="8"/>
  <c r="T83" i="8"/>
  <c r="T86" i="8"/>
  <c r="R85" i="8"/>
  <c r="AH83" i="8"/>
  <c r="AJ84" i="8"/>
  <c r="AE84" i="8"/>
  <c r="O84" i="8"/>
  <c r="Y83" i="8"/>
  <c r="AH84" i="8"/>
  <c r="R84" i="8"/>
  <c r="AA83" i="8"/>
  <c r="M84" i="8"/>
  <c r="Y84" i="8"/>
  <c r="M85" i="8"/>
  <c r="X83" i="8"/>
  <c r="AA84" i="8"/>
  <c r="AA85" i="8"/>
  <c r="AL85" i="8"/>
  <c r="AH85" i="8"/>
  <c r="AC86" i="8"/>
  <c r="AN83" i="8"/>
  <c r="R39" i="41"/>
  <c r="H8" i="45"/>
  <c r="H9" i="45"/>
  <c r="BA23" i="8"/>
  <c r="BA17" i="8"/>
  <c r="AT46" i="8"/>
  <c r="AF8" i="47"/>
  <c r="AI8" i="47"/>
  <c r="K86" i="8"/>
  <c r="AT86" i="8"/>
  <c r="K83" i="8"/>
  <c r="AT83" i="8"/>
  <c r="AT80" i="8"/>
  <c r="AU83" i="8"/>
  <c r="AU84" i="8"/>
  <c r="AU85" i="8"/>
</calcChain>
</file>

<file path=xl/sharedStrings.xml><?xml version="1.0" encoding="utf-8"?>
<sst xmlns="http://schemas.openxmlformats.org/spreadsheetml/2006/main" count="3916" uniqueCount="364">
  <si>
    <t>million</t>
  </si>
  <si>
    <t>Belgium</t>
  </si>
  <si>
    <t>Denmark</t>
  </si>
  <si>
    <t>Germany</t>
  </si>
  <si>
    <t>Spain</t>
  </si>
  <si>
    <t>France</t>
  </si>
  <si>
    <t>Ireland</t>
  </si>
  <si>
    <t>Italy</t>
  </si>
  <si>
    <t>Luxembourg</t>
  </si>
  <si>
    <t>Netherlands</t>
  </si>
  <si>
    <t>Austria</t>
  </si>
  <si>
    <t>Portugal</t>
  </si>
  <si>
    <t>Sweden</t>
  </si>
  <si>
    <t>UK</t>
  </si>
  <si>
    <t>DK</t>
  </si>
  <si>
    <t>EL</t>
  </si>
  <si>
    <t>NL</t>
  </si>
  <si>
    <t>Area</t>
  </si>
  <si>
    <t>'000 sq km</t>
  </si>
  <si>
    <t>people per sq km</t>
  </si>
  <si>
    <t>Motorways</t>
  </si>
  <si>
    <t>km</t>
  </si>
  <si>
    <t>Railways</t>
  </si>
  <si>
    <t>Passenger cars</t>
  </si>
  <si>
    <t>Goods vehicles</t>
  </si>
  <si>
    <t>thousands</t>
  </si>
  <si>
    <t>calc'd</t>
  </si>
  <si>
    <t>Finland</t>
  </si>
  <si>
    <t>General data</t>
  </si>
  <si>
    <t>Powered two-wheelers</t>
  </si>
  <si>
    <t>Bus and coach</t>
  </si>
  <si>
    <t>Total these modes</t>
  </si>
  <si>
    <t>Buses and coaches</t>
  </si>
  <si>
    <t>Cycling</t>
  </si>
  <si>
    <t>Walking</t>
  </si>
  <si>
    <t>Road fatalities</t>
  </si>
  <si>
    <t>number</t>
  </si>
  <si>
    <t>per million pop'n</t>
  </si>
  <si>
    <t>per head of pop'n</t>
  </si>
  <si>
    <t>per 1,000 pop'n</t>
  </si>
  <si>
    <t>Infrastructure and vehicles</t>
  </si>
  <si>
    <t>Road</t>
  </si>
  <si>
    <t>Rail</t>
  </si>
  <si>
    <t>Inland waterway</t>
  </si>
  <si>
    <t>Pipeline</t>
  </si>
  <si>
    <t>( # )</t>
  </si>
  <si>
    <t>Tram / metro</t>
  </si>
  <si>
    <t>km per '000 sq km</t>
  </si>
  <si>
    <t>CHECK:  EU15 - SUM countries</t>
  </si>
  <si>
    <t>( @ )</t>
  </si>
  <si>
    <t>GB</t>
  </si>
  <si>
    <t>'000 km</t>
  </si>
  <si>
    <t>Railways (excl. t/m)</t>
  </si>
  <si>
    <t xml:space="preserve">Scotland </t>
  </si>
  <si>
    <t xml:space="preserve">GB  (same basis) </t>
  </si>
  <si>
    <t>UK  (same basis)</t>
  </si>
  <si>
    <t>NOT IN</t>
  </si>
  <si>
    <t>TABLE</t>
  </si>
  <si>
    <t>SCOT</t>
  </si>
  <si>
    <t xml:space="preserve">EU publication table     </t>
  </si>
  <si>
    <t>BE</t>
  </si>
  <si>
    <t>CZ</t>
  </si>
  <si>
    <t>Czech Republic</t>
  </si>
  <si>
    <t>DE</t>
  </si>
  <si>
    <t>EE</t>
  </si>
  <si>
    <t>Estonia</t>
  </si>
  <si>
    <t>ES</t>
  </si>
  <si>
    <t>FR</t>
  </si>
  <si>
    <t>IE</t>
  </si>
  <si>
    <t>IT</t>
  </si>
  <si>
    <t>Cyprus</t>
  </si>
  <si>
    <t>CY</t>
  </si>
  <si>
    <t>LV</t>
  </si>
  <si>
    <t>LT</t>
  </si>
  <si>
    <t>Latvia</t>
  </si>
  <si>
    <t>Lithuania</t>
  </si>
  <si>
    <t>LU</t>
  </si>
  <si>
    <t>HU</t>
  </si>
  <si>
    <t>MT</t>
  </si>
  <si>
    <t>Hungary</t>
  </si>
  <si>
    <t>PL</t>
  </si>
  <si>
    <t>AT</t>
  </si>
  <si>
    <t>Poland</t>
  </si>
  <si>
    <t>SI</t>
  </si>
  <si>
    <t>Slovenia</t>
  </si>
  <si>
    <t>SK</t>
  </si>
  <si>
    <t>Slovak Republic</t>
  </si>
  <si>
    <t>FI</t>
  </si>
  <si>
    <t>SE</t>
  </si>
  <si>
    <t>EU-15</t>
  </si>
  <si>
    <t>( * )</t>
  </si>
  <si>
    <t>( + )</t>
  </si>
  <si>
    <t>PT</t>
  </si>
  <si>
    <t>( ** )</t>
  </si>
  <si>
    <t>prev. **</t>
  </si>
  <si>
    <r>
      <t xml:space="preserve">EU countries </t>
    </r>
    <r>
      <rPr>
        <sz val="14"/>
        <rFont val="Arial"/>
        <family val="2"/>
      </rPr>
      <t/>
    </r>
  </si>
  <si>
    <t>( $ )</t>
  </si>
  <si>
    <t>1.1</t>
  </si>
  <si>
    <t>The definitions of road types vary from country to country.  Some countries' figures may include the lengths of some roads which do not have a hard surface.</t>
  </si>
  <si>
    <t xml:space="preserve"> </t>
  </si>
  <si>
    <t>BG</t>
  </si>
  <si>
    <t>RO</t>
  </si>
  <si>
    <t>Bulgaria</t>
  </si>
  <si>
    <t>Romania</t>
  </si>
  <si>
    <t>02 &amp; '04</t>
  </si>
  <si>
    <t>As distance travelled</t>
  </si>
  <si>
    <r>
      <t xml:space="preserve">Population  </t>
    </r>
    <r>
      <rPr>
        <sz val="12"/>
        <rFont val="Arial"/>
        <family val="2"/>
      </rPr>
      <t>(at 1 Jan)</t>
    </r>
  </si>
  <si>
    <r>
      <t xml:space="preserve">Population density  </t>
    </r>
    <r>
      <rPr>
        <sz val="12"/>
        <rFont val="Arial"/>
        <family val="2"/>
      </rPr>
      <t>(at 1 Jan)</t>
    </r>
  </si>
  <si>
    <r>
      <t xml:space="preserve">All roads </t>
    </r>
    <r>
      <rPr>
        <sz val="12"/>
        <rFont val="Arial"/>
        <family val="2"/>
      </rPr>
      <t xml:space="preserve"> ( @  )</t>
    </r>
  </si>
  <si>
    <r>
      <t xml:space="preserve">Powered two wheelers  </t>
    </r>
    <r>
      <rPr>
        <sz val="12"/>
        <rFont val="Arial"/>
        <family val="2"/>
      </rPr>
      <t>( $ )</t>
    </r>
  </si>
  <si>
    <r>
      <t xml:space="preserve">Distance travelled </t>
    </r>
    <r>
      <rPr>
        <sz val="12"/>
        <rFont val="Arial"/>
        <family val="2"/>
      </rPr>
      <t>(kilometres per person per year)</t>
    </r>
  </si>
  <si>
    <r>
      <t xml:space="preserve">International air passenger traffic between EU countries </t>
    </r>
    <r>
      <rPr>
        <sz val="12"/>
        <rFont val="Arial"/>
        <family val="2"/>
      </rPr>
      <t>(arrivals plus departures)</t>
    </r>
  </si>
  <si>
    <r>
      <t xml:space="preserve">Freight transport: modal shares </t>
    </r>
    <r>
      <rPr>
        <sz val="12"/>
        <rFont val="Arial"/>
        <family val="2"/>
      </rPr>
      <t>(% of total tonne-kms)</t>
    </r>
  </si>
  <si>
    <t xml:space="preserve">EU-15 </t>
  </si>
  <si>
    <t>All roads data relates to the end of 2005, except for motorway estimate.</t>
  </si>
  <si>
    <t>( *** )</t>
  </si>
  <si>
    <t>Year of data (most countries)</t>
  </si>
  <si>
    <t>Other year/issues  (some countries)</t>
  </si>
  <si>
    <r>
      <t>Scottish figure (</t>
    </r>
    <r>
      <rPr>
        <sz val="12"/>
        <rFont val="Arial"/>
        <family val="2"/>
      </rPr>
      <t>same or a similar basis)  ( # )</t>
    </r>
  </si>
  <si>
    <t>Greece (+)</t>
  </si>
  <si>
    <r>
      <t xml:space="preserve">Scotland/ GB/ UK figures </t>
    </r>
    <r>
      <rPr>
        <b/>
        <vertAlign val="superscript"/>
        <sz val="12"/>
        <rFont val="Arial"/>
        <family val="2"/>
      </rPr>
      <t>( # )</t>
    </r>
  </si>
  <si>
    <t>Malta (+)</t>
  </si>
  <si>
    <t>The notes on the sources of the statistics explain why there appears to be a large inconsistency between the EU publication's figure for the UK and the (DfT) figure for GB.</t>
  </si>
  <si>
    <t>Calculated from the figures in that table, which gives the total number of passenger/tonne-kilometres for the country as a whole (in 100/1000 millions).</t>
  </si>
  <si>
    <t>Table 12.1 International comparisons</t>
  </si>
  <si>
    <t>These are the nearest available figures for Scotland, and comparable figures for GB or UK as a whole - information on sources is given in the text. These may be on a different basis from other countries.</t>
  </si>
  <si>
    <t>2.5.1</t>
  </si>
  <si>
    <t xml:space="preserve">2.5.2 </t>
  </si>
  <si>
    <t>2.5.3</t>
  </si>
  <si>
    <t xml:space="preserve">2.6.2 </t>
  </si>
  <si>
    <t>2.6.6</t>
  </si>
  <si>
    <t>2.6.4</t>
  </si>
  <si>
    <t xml:space="preserve">2.6.5 </t>
  </si>
  <si>
    <t>2.2.4c *</t>
  </si>
  <si>
    <t>2.2.5 *</t>
  </si>
  <si>
    <t>2.2.6 *</t>
  </si>
  <si>
    <t>2.2.7 *</t>
  </si>
  <si>
    <t>2.3.3</t>
  </si>
  <si>
    <t>2.4.1***</t>
  </si>
  <si>
    <t>2.7.1</t>
  </si>
  <si>
    <t>As shown in (or as calculated from figures in) a previous edition - the 2012 edition does not provide any figures for powered two-wheelers, cycling or walking.</t>
  </si>
  <si>
    <t>Data calculated by adding together the total number of journeys across each row in Table 2.4.1</t>
  </si>
  <si>
    <t>-</t>
  </si>
  <si>
    <t>%</t>
  </si>
  <si>
    <t>HR</t>
  </si>
  <si>
    <t>MK</t>
  </si>
  <si>
    <t>TR</t>
  </si>
  <si>
    <t>IS</t>
  </si>
  <si>
    <t>NO</t>
  </si>
  <si>
    <t>CH</t>
  </si>
  <si>
    <t>2.4.1</t>
  </si>
  <si>
    <t>Air: Passenger Traffic between Member States</t>
  </si>
  <si>
    <t>Total passengers carried* including domestic flights (1000)</t>
  </si>
  <si>
    <t>Partner &gt;&gt;&gt;&gt;&gt;</t>
  </si>
  <si>
    <t>Reporter</t>
  </si>
  <si>
    <t>Greece</t>
  </si>
  <si>
    <t>Malta</t>
  </si>
  <si>
    <t>United Kingdom</t>
  </si>
  <si>
    <t>Croatia</t>
  </si>
  <si>
    <t>Road Fatalities</t>
  </si>
  <si>
    <r>
      <t>Source</t>
    </r>
    <r>
      <rPr>
        <sz val="8"/>
        <rFont val="Arial"/>
        <family val="2"/>
      </rPr>
      <t>: From 1991: CARE database (DG Mobility and Transport), International Transport Forum, national sources. 1990: IRTAD (OECD)</t>
    </r>
  </si>
  <si>
    <t>Modal Split of Passenger Transport on Land by Country</t>
  </si>
  <si>
    <t>passenger-km in %</t>
  </si>
  <si>
    <t>Passenger Cars</t>
  </si>
  <si>
    <t>Buses and Coaches</t>
  </si>
  <si>
    <t>Tram &amp; Metro</t>
  </si>
  <si>
    <t>Notes:</t>
  </si>
  <si>
    <t>2.3.4</t>
  </si>
  <si>
    <r>
      <t>Source</t>
    </r>
    <r>
      <rPr>
        <sz val="8"/>
        <rFont val="Arial"/>
        <family val="2"/>
      </rPr>
      <t>: national statistics, International Transport Forum, Eurostat, estimates</t>
    </r>
    <r>
      <rPr>
        <i/>
        <sz val="8"/>
        <rFont val="Arial"/>
        <family val="2"/>
      </rPr>
      <t xml:space="preserve"> (in italics)</t>
    </r>
  </si>
  <si>
    <r>
      <t>UK:</t>
    </r>
    <r>
      <rPr>
        <sz val="8"/>
        <rFont val="Arial"/>
        <family val="2"/>
      </rPr>
      <t xml:space="preserve"> data refer to Great Britain only; include pkm by vans</t>
    </r>
  </si>
  <si>
    <t>2.3.5</t>
  </si>
  <si>
    <t>Buses &amp; Coaches</t>
  </si>
  <si>
    <r>
      <t>Source</t>
    </r>
    <r>
      <rPr>
        <sz val="8"/>
        <rFont val="Arial"/>
        <family val="2"/>
      </rPr>
      <t xml:space="preserve">: national statistics, International Transport Forum, Eurostat, study for DG Energy and Transport, estimates </t>
    </r>
    <r>
      <rPr>
        <i/>
        <sz val="8"/>
        <rFont val="Arial"/>
        <family val="2"/>
      </rPr>
      <t>(in italics)</t>
    </r>
  </si>
  <si>
    <r>
      <t>UK:</t>
    </r>
    <r>
      <rPr>
        <sz val="8"/>
        <rFont val="Arial"/>
        <family val="2"/>
      </rPr>
      <t xml:space="preserve"> GB data + 1.5 bln pkm throughout to account for Northern Ireland</t>
    </r>
  </si>
  <si>
    <t>2.3.6</t>
  </si>
  <si>
    <r>
      <t>Source</t>
    </r>
    <r>
      <rPr>
        <sz val="8"/>
        <rFont val="Arial"/>
        <family val="2"/>
      </rPr>
      <t>:</t>
    </r>
    <r>
      <rPr>
        <b/>
        <sz val="8"/>
        <rFont val="Arial"/>
        <family val="2"/>
      </rPr>
      <t xml:space="preserve"> </t>
    </r>
    <r>
      <rPr>
        <sz val="8"/>
        <rFont val="Arial"/>
        <family val="2"/>
      </rPr>
      <t xml:space="preserve">national statistics, International Union of Public Transport, study for DG Energy and Transport, estimates </t>
    </r>
    <r>
      <rPr>
        <i/>
        <sz val="8"/>
        <rFont val="Arial"/>
        <family val="2"/>
      </rPr>
      <t>(in italics)</t>
    </r>
  </si>
  <si>
    <r>
      <t>Notes:</t>
    </r>
    <r>
      <rPr>
        <sz val="8"/>
        <rFont val="Arial"/>
        <family val="2"/>
      </rPr>
      <t xml:space="preserve"> </t>
    </r>
  </si>
  <si>
    <t>2.3.7</t>
  </si>
  <si>
    <t>Population</t>
  </si>
  <si>
    <t xml:space="preserve">Notes: </t>
  </si>
  <si>
    <t xml:space="preserve">Road : Length of Motorways  </t>
  </si>
  <si>
    <t>(at end of year)</t>
  </si>
  <si>
    <t xml:space="preserve">- </t>
  </si>
  <si>
    <r>
      <t>Notes</t>
    </r>
    <r>
      <rPr>
        <sz val="8"/>
        <rFont val="Arial"/>
        <family val="2"/>
      </rPr>
      <t xml:space="preserve">: </t>
    </r>
    <r>
      <rPr>
        <b/>
        <sz val="8"/>
        <rFont val="Arial"/>
        <family val="2"/>
      </rPr>
      <t/>
    </r>
  </si>
  <si>
    <r>
      <t>ES</t>
    </r>
    <r>
      <rPr>
        <sz val="8"/>
        <rFont val="Arial"/>
        <family val="2"/>
      </rPr>
      <t>: 'autopistas de peaje' and 'autovías y autopistas libres'</t>
    </r>
  </si>
  <si>
    <r>
      <t>CY</t>
    </r>
    <r>
      <rPr>
        <sz val="8"/>
        <rFont val="Arial"/>
        <family val="2"/>
      </rPr>
      <t>: from 2006: without urban M-ways</t>
    </r>
  </si>
  <si>
    <r>
      <t>NL:</t>
    </r>
    <r>
      <rPr>
        <sz val="8"/>
        <rFont val="Arial"/>
        <family val="2"/>
      </rPr>
      <t xml:space="preserve"> all national roads ('Rijkswegen') with dual carriageways</t>
    </r>
  </si>
  <si>
    <t>2.5.2</t>
  </si>
  <si>
    <t>Road : Length of Road Network</t>
  </si>
  <si>
    <t>Main or national roads</t>
  </si>
  <si>
    <t>Secondary or regional roads</t>
  </si>
  <si>
    <t>Other roads*</t>
  </si>
  <si>
    <t xml:space="preserve">*: the definition of road types varies from country to country, the data are therefore not comparable. </t>
  </si>
  <si>
    <t xml:space="preserve">"Other roads" sometimes includes roads without a hard surface. </t>
  </si>
  <si>
    <t>Railways : Length of Lines in Use</t>
  </si>
  <si>
    <t>2.6.2</t>
  </si>
  <si>
    <t>Road : Passenger Cars</t>
  </si>
  <si>
    <t>Stock of registered vehicles</t>
  </si>
  <si>
    <t>thousand</t>
  </si>
  <si>
    <t>LI</t>
  </si>
  <si>
    <r>
      <t>Source</t>
    </r>
    <r>
      <rPr>
        <sz val="8"/>
        <rFont val="Arial"/>
        <family val="2"/>
      </rPr>
      <t xml:space="preserve">: Eurostat, National statistics, United Nations Economic Commission for Europe, estimates </t>
    </r>
    <r>
      <rPr>
        <i/>
        <sz val="8"/>
        <rFont val="Arial"/>
        <family val="2"/>
      </rPr>
      <t>(in italics)</t>
    </r>
  </si>
  <si>
    <t>Taxis are usually included.</t>
  </si>
  <si>
    <t xml:space="preserve">    Road : Goods Vehicles</t>
  </si>
  <si>
    <t xml:space="preserve">  </t>
  </si>
  <si>
    <t>2.6.5</t>
  </si>
  <si>
    <t>Road : Powered Two-wheelers</t>
  </si>
  <si>
    <t>New vehicle registrations</t>
  </si>
  <si>
    <t>2.2.4c</t>
  </si>
  <si>
    <t>Haulage by Vehicles Registered in the Reporting Country</t>
  </si>
  <si>
    <t>Only haulage of heavy goods vehicles (usually &gt;3.5 tonnes load capacity)</t>
  </si>
  <si>
    <t>2.2.5</t>
  </si>
  <si>
    <t>2.2.6</t>
  </si>
  <si>
    <t>Inland Waterways</t>
  </si>
  <si>
    <t>2.2.7</t>
  </si>
  <si>
    <t xml:space="preserve">      </t>
  </si>
  <si>
    <t xml:space="preserve">     </t>
  </si>
  <si>
    <t xml:space="preserve">Excluding Other roads (U roads) </t>
  </si>
  <si>
    <t>New registrations of passenger cars</t>
  </si>
  <si>
    <t>2.3.3  (^)</t>
  </si>
  <si>
    <t>(^)</t>
  </si>
  <si>
    <r>
      <t xml:space="preserve">Freight transport: modal shares </t>
    </r>
    <r>
      <rPr>
        <sz val="12"/>
        <rFont val="Arial"/>
        <family val="2"/>
      </rPr>
      <t>(Thousand million tonne-kms)</t>
    </r>
  </si>
  <si>
    <t>Note: figures for GB and Scotland are taken from DfT road lengths publication rdl0201.  Data differs from TS data due to different methodology. NI figure from NITS.</t>
  </si>
  <si>
    <t>Total  pass km these modes</t>
  </si>
  <si>
    <t>ME</t>
  </si>
  <si>
    <t>RS</t>
  </si>
  <si>
    <t>Road : National and International Haulage (*)</t>
  </si>
  <si>
    <t>billion tkm</t>
  </si>
  <si>
    <r>
      <t>TR</t>
    </r>
    <r>
      <rPr>
        <b/>
        <vertAlign val="subscript"/>
        <sz val="8"/>
        <rFont val="Arial"/>
        <family val="2"/>
      </rPr>
      <t>(1)</t>
    </r>
  </si>
  <si>
    <r>
      <t>CH</t>
    </r>
    <r>
      <rPr>
        <b/>
        <vertAlign val="subscript"/>
        <sz val="8"/>
        <rFont val="Arial"/>
        <family val="2"/>
      </rPr>
      <t>(2)</t>
    </r>
  </si>
  <si>
    <r>
      <t>Source</t>
    </r>
    <r>
      <rPr>
        <sz val="8"/>
        <rFont val="Arial"/>
        <family val="2"/>
      </rPr>
      <t>:</t>
    </r>
    <r>
      <rPr>
        <b/>
        <sz val="8"/>
        <rFont val="Arial"/>
        <family val="2"/>
      </rPr>
      <t xml:space="preserve"> </t>
    </r>
    <r>
      <rPr>
        <sz val="8"/>
        <rFont val="Arial"/>
        <family val="2"/>
      </rPr>
      <t xml:space="preserve"> Eurostat, International Transport Forum, Union Internationale des Chemins de Fer, national statistics</t>
    </r>
  </si>
  <si>
    <r>
      <t>FI:</t>
    </r>
    <r>
      <rPr>
        <sz val="8"/>
        <rFont val="Arial"/>
        <family val="2"/>
      </rPr>
      <t xml:space="preserve"> only shipborne transport (i.e. no floating)</t>
    </r>
  </si>
  <si>
    <r>
      <t xml:space="preserve">IT, LT, FI </t>
    </r>
    <r>
      <rPr>
        <sz val="8"/>
        <rFont val="Arial"/>
        <family val="2"/>
      </rPr>
      <t>and</t>
    </r>
    <r>
      <rPr>
        <b/>
        <sz val="8"/>
        <rFont val="Arial"/>
        <family val="2"/>
      </rPr>
      <t xml:space="preserve"> UK</t>
    </r>
    <r>
      <rPr>
        <sz val="8"/>
        <rFont val="Arial"/>
        <family val="2"/>
      </rPr>
      <t xml:space="preserve">: data include only national traffic. </t>
    </r>
  </si>
  <si>
    <r>
      <t xml:space="preserve">BG </t>
    </r>
    <r>
      <rPr>
        <sz val="8"/>
        <rFont val="Arial"/>
        <family val="2"/>
      </rPr>
      <t>and</t>
    </r>
    <r>
      <rPr>
        <b/>
        <sz val="8"/>
        <rFont val="Arial"/>
        <family val="2"/>
      </rPr>
      <t xml:space="preserve"> RO: </t>
    </r>
    <r>
      <rPr>
        <sz val="8"/>
        <rFont val="Arial"/>
        <family val="2"/>
      </rPr>
      <t xml:space="preserve">data include transit traffic from 2009 (and partially in 2008) </t>
    </r>
  </si>
  <si>
    <r>
      <t>HR</t>
    </r>
    <r>
      <rPr>
        <sz val="8"/>
        <rFont val="Arial"/>
        <family val="2"/>
      </rPr>
      <t>: data include transit traffic from 2008 onward</t>
    </r>
  </si>
  <si>
    <r>
      <t>Source</t>
    </r>
    <r>
      <rPr>
        <sz val="8"/>
        <rFont val="Arial"/>
        <family val="2"/>
      </rPr>
      <t>:</t>
    </r>
    <r>
      <rPr>
        <b/>
        <sz val="8"/>
        <rFont val="Arial"/>
        <family val="2"/>
      </rPr>
      <t xml:space="preserve">  </t>
    </r>
    <r>
      <rPr>
        <sz val="8"/>
        <rFont val="Arial"/>
        <family val="2"/>
      </rPr>
      <t xml:space="preserve">National statistics, International Transport Forum, Eurostat, estimates </t>
    </r>
    <r>
      <rPr>
        <i/>
        <sz val="8"/>
        <rFont val="Arial"/>
        <family val="2"/>
      </rPr>
      <t>(in italics)</t>
    </r>
  </si>
  <si>
    <r>
      <t>CS:</t>
    </r>
    <r>
      <rPr>
        <sz val="8"/>
        <rFont val="Arial"/>
        <family val="2"/>
      </rPr>
      <t xml:space="preserve"> 1990: 7.5</t>
    </r>
  </si>
  <si>
    <r>
      <t xml:space="preserve">DE: </t>
    </r>
    <r>
      <rPr>
        <sz val="8"/>
        <rFont val="Arial"/>
        <family val="2"/>
      </rPr>
      <t>from 1995 onwards: only crude oil (i.e. no refined petroleum products)</t>
    </r>
  </si>
  <si>
    <t>EU-28</t>
  </si>
  <si>
    <t>EU-13</t>
  </si>
  <si>
    <r>
      <t>Source:</t>
    </r>
    <r>
      <rPr>
        <sz val="8"/>
        <rFont val="Arial"/>
        <family val="2"/>
      </rPr>
      <t xml:space="preserve"> tables 2.3.4, 2.3.5, 2.3.6, 2.3.7</t>
    </r>
  </si>
  <si>
    <t>billion pkm</t>
  </si>
  <si>
    <t>% under PSO (*)</t>
  </si>
  <si>
    <r>
      <t>Source</t>
    </r>
    <r>
      <rPr>
        <sz val="8"/>
        <rFont val="Arial"/>
        <family val="2"/>
      </rPr>
      <t>: Eurostat, estimates (in italics)</t>
    </r>
  </si>
  <si>
    <r>
      <t>Note</t>
    </r>
    <r>
      <rPr>
        <sz val="10"/>
        <rFont val="Arial"/>
        <family val="2"/>
      </rPr>
      <t xml:space="preserve">: </t>
    </r>
  </si>
  <si>
    <t>*passengers carried are fewer than passengers on board, due to transit passengers staying on board the aircraft not being counted.</t>
  </si>
  <si>
    <r>
      <t xml:space="preserve">Stock at end of year, except for </t>
    </r>
    <r>
      <rPr>
        <b/>
        <sz val="8"/>
        <rFont val="Arial"/>
        <family val="2"/>
      </rPr>
      <t>BE:</t>
    </r>
    <r>
      <rPr>
        <sz val="8"/>
        <rFont val="Arial"/>
        <family val="2"/>
      </rPr>
      <t xml:space="preserve"> 1 August (1 July in 2012), </t>
    </r>
    <r>
      <rPr>
        <b/>
        <sz val="8"/>
        <rFont val="Arial"/>
        <family val="2"/>
      </rPr>
      <t>CH:</t>
    </r>
    <r>
      <rPr>
        <sz val="8"/>
        <rFont val="Arial"/>
        <family val="2"/>
      </rPr>
      <t xml:space="preserve"> 30 September, </t>
    </r>
    <r>
      <rPr>
        <b/>
        <sz val="8"/>
        <rFont val="Arial"/>
        <family val="2"/>
      </rPr>
      <t>LI:</t>
    </r>
    <r>
      <rPr>
        <sz val="8"/>
        <rFont val="Arial"/>
        <family val="2"/>
      </rPr>
      <t xml:space="preserve"> 1 July.</t>
    </r>
  </si>
  <si>
    <r>
      <t>Source</t>
    </r>
    <r>
      <rPr>
        <sz val="8"/>
        <rFont val="Arial"/>
        <family val="2"/>
      </rPr>
      <t xml:space="preserve">:  Eurostat, national statistics, United Nations Economic Commission for Europe, estimates </t>
    </r>
    <r>
      <rPr>
        <i/>
        <sz val="8"/>
        <rFont val="Arial"/>
        <family val="2"/>
      </rPr>
      <t>(in italics)</t>
    </r>
  </si>
  <si>
    <r>
      <t xml:space="preserve">Notes: </t>
    </r>
    <r>
      <rPr>
        <b/>
        <sz val="8"/>
        <rFont val="Arial"/>
        <family val="2"/>
      </rPr>
      <t/>
    </r>
  </si>
  <si>
    <r>
      <t xml:space="preserve">Stock at end of year, except for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</si>
  <si>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As a rule, data include heavy and light goods vehicles, lorries and road tractors; due to varying concepts of such vehicles, data are not fully comparable between countries.</t>
    </r>
    <r>
      <rPr>
        <b/>
        <sz val="8"/>
        <rFont val="Arial"/>
        <family val="2"/>
      </rPr>
      <t/>
    </r>
  </si>
  <si>
    <r>
      <rPr>
        <b/>
        <sz val="8"/>
        <rFont val="Arial"/>
        <family val="2"/>
      </rPr>
      <t>HR:</t>
    </r>
    <r>
      <rPr>
        <sz val="8"/>
        <rFont val="Arial"/>
        <family val="2"/>
      </rPr>
      <t xml:space="preserve"> from 2009 light vans are included in passenger cars and no longer in Goods Vehicles</t>
    </r>
  </si>
  <si>
    <r>
      <t>Notes:</t>
    </r>
    <r>
      <rPr>
        <b/>
        <sz val="8"/>
        <rFont val="Arial"/>
        <family val="2"/>
      </rPr>
      <t/>
    </r>
  </si>
  <si>
    <r>
      <t xml:space="preserve">Stock at end of year, except for </t>
    </r>
    <r>
      <rPr>
        <b/>
        <sz val="8"/>
        <rFont val="Arial"/>
        <family val="2"/>
      </rPr>
      <t>BE:</t>
    </r>
    <r>
      <rPr>
        <sz val="8"/>
        <rFont val="Arial"/>
        <family val="2"/>
      </rPr>
      <t xml:space="preserve"> 1 August,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</si>
  <si>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National vehicle stock data do not always include all powered two-wheelers and are therefore not fully comparable between countries.</t>
    </r>
    <r>
      <rPr>
        <b/>
        <sz val="8"/>
        <rFont val="Arial"/>
        <family val="2"/>
      </rPr>
      <t/>
    </r>
  </si>
  <si>
    <r>
      <t>Tricycles and quads are sometimes included in the data.</t>
    </r>
    <r>
      <rPr>
        <b/>
        <sz val="8"/>
        <rFont val="Arial"/>
        <family val="2"/>
      </rPr>
      <t/>
    </r>
  </si>
  <si>
    <r>
      <t xml:space="preserve">Break in time series due to inclusion of mopeds from 2001 in </t>
    </r>
    <r>
      <rPr>
        <b/>
        <sz val="8"/>
        <rFont val="Arial"/>
        <family val="2"/>
      </rPr>
      <t>ES</t>
    </r>
    <r>
      <rPr>
        <sz val="8"/>
        <rFont val="Arial"/>
        <family val="2"/>
      </rPr>
      <t xml:space="preserve">, from 2002 in </t>
    </r>
    <r>
      <rPr>
        <b/>
        <sz val="8"/>
        <rFont val="Arial"/>
        <family val="2"/>
      </rPr>
      <t xml:space="preserve">SI </t>
    </r>
    <r>
      <rPr>
        <sz val="8"/>
        <rFont val="Arial"/>
        <family val="2"/>
      </rPr>
      <t xml:space="preserve">and </t>
    </r>
    <r>
      <rPr>
        <b/>
        <sz val="8"/>
        <rFont val="Arial"/>
        <family val="2"/>
      </rPr>
      <t>HR</t>
    </r>
    <r>
      <rPr>
        <sz val="8"/>
        <rFont val="Arial"/>
        <family val="2"/>
      </rPr>
      <t xml:space="preserve">, from 2004 in </t>
    </r>
    <r>
      <rPr>
        <b/>
        <sz val="8"/>
        <rFont val="Arial"/>
        <family val="2"/>
      </rPr>
      <t>LV</t>
    </r>
    <r>
      <rPr>
        <sz val="8"/>
        <rFont val="Arial"/>
        <family val="2"/>
      </rPr>
      <t xml:space="preserve">, from 2005 in </t>
    </r>
    <r>
      <rPr>
        <b/>
        <sz val="8"/>
        <rFont val="Arial"/>
        <family val="2"/>
      </rPr>
      <t>PL</t>
    </r>
    <r>
      <rPr>
        <sz val="8"/>
        <rFont val="Arial"/>
        <family val="2"/>
      </rPr>
      <t xml:space="preserve">, from 2007 in </t>
    </r>
    <r>
      <rPr>
        <b/>
        <sz val="8"/>
        <rFont val="Arial"/>
        <family val="2"/>
      </rPr>
      <t xml:space="preserve">LT, </t>
    </r>
    <r>
      <rPr>
        <sz val="8"/>
        <rFont val="Arial"/>
        <family val="2"/>
      </rPr>
      <t xml:space="preserve">from 2011 in </t>
    </r>
    <r>
      <rPr>
        <b/>
        <sz val="8"/>
        <rFont val="Arial"/>
        <family val="2"/>
      </rPr>
      <t>EE</t>
    </r>
  </si>
  <si>
    <r>
      <t>Source</t>
    </r>
    <r>
      <rPr>
        <sz val="8"/>
        <rFont val="Arial"/>
        <family val="2"/>
      </rPr>
      <t xml:space="preserve">: Association des Constructeurs Européens d'Automobiles (ACEA), national sources, estimates </t>
    </r>
    <r>
      <rPr>
        <i/>
        <sz val="8"/>
        <rFont val="Arial"/>
        <family val="2"/>
      </rPr>
      <t>(italics)</t>
    </r>
  </si>
  <si>
    <t xml:space="preserve">EU-28  </t>
  </si>
  <si>
    <r>
      <t>2.3.4 *</t>
    </r>
    <r>
      <rPr>
        <vertAlign val="superscript"/>
        <sz val="12"/>
        <rFont val="Arial"/>
        <family val="2"/>
      </rPr>
      <t xml:space="preserve"> &amp;</t>
    </r>
  </si>
  <si>
    <r>
      <t xml:space="preserve">2.3.5 * </t>
    </r>
    <r>
      <rPr>
        <vertAlign val="superscript"/>
        <sz val="12"/>
        <rFont val="Arial"/>
        <family val="2"/>
      </rPr>
      <t>&amp;</t>
    </r>
    <r>
      <rPr>
        <sz val="12"/>
        <rFont val="Arial"/>
        <family val="2"/>
      </rPr>
      <t xml:space="preserve"> </t>
    </r>
  </si>
  <si>
    <r>
      <t xml:space="preserve">2.3.6 * </t>
    </r>
    <r>
      <rPr>
        <vertAlign val="superscript"/>
        <sz val="12"/>
        <rFont val="Arial"/>
        <family val="2"/>
      </rPr>
      <t>&amp;</t>
    </r>
  </si>
  <si>
    <r>
      <t xml:space="preserve">2.3.7 * </t>
    </r>
    <r>
      <rPr>
        <vertAlign val="superscript"/>
        <sz val="12"/>
        <rFont val="Arial"/>
        <family val="2"/>
      </rPr>
      <t>&amp;</t>
    </r>
  </si>
  <si>
    <t xml:space="preserve">( # )  ( + )  ( @ )  ( $ )  (^)  ( * )  ( ** )  ( *** )  (&amp;) -  see footnotes </t>
  </si>
  <si>
    <t>(&amp;)</t>
  </si>
  <si>
    <t>National Travel Survey data is only collected for England now. Figures for Scotland and GB are for the last time they were available in 2012.</t>
  </si>
  <si>
    <t>UK figure is for GB only.</t>
  </si>
  <si>
    <r>
      <t xml:space="preserve">Passenger transport </t>
    </r>
    <r>
      <rPr>
        <b/>
        <vertAlign val="superscript"/>
        <sz val="12"/>
        <rFont val="Arial"/>
        <family val="2"/>
      </rPr>
      <t>&amp;</t>
    </r>
  </si>
  <si>
    <r>
      <t xml:space="preserve">Modal shares </t>
    </r>
    <r>
      <rPr>
        <b/>
        <vertAlign val="superscript"/>
        <sz val="12"/>
        <rFont val="Arial"/>
        <family val="2"/>
      </rPr>
      <t>&amp;</t>
    </r>
    <r>
      <rPr>
        <b/>
        <sz val="12"/>
        <rFont val="Arial"/>
        <family val="2"/>
      </rPr>
      <t xml:space="preserve"> </t>
    </r>
    <r>
      <rPr>
        <sz val="12"/>
        <rFont val="Arial"/>
        <family val="2"/>
      </rPr>
      <t>(% of total pass-kms for specified modes)</t>
    </r>
  </si>
  <si>
    <t>Note NTS only covers England nuw.  Scotland and GB figures are those that were published in 2012.</t>
  </si>
  <si>
    <t>SL</t>
  </si>
  <si>
    <t>AL</t>
  </si>
  <si>
    <r>
      <t>IS</t>
    </r>
    <r>
      <rPr>
        <b/>
        <vertAlign val="subscript"/>
        <sz val="8"/>
        <rFont val="Arial"/>
        <family val="2"/>
      </rPr>
      <t>(1)</t>
    </r>
  </si>
  <si>
    <r>
      <t>Source</t>
    </r>
    <r>
      <rPr>
        <sz val="8"/>
        <rFont val="Arial"/>
        <family val="2"/>
      </rPr>
      <t>:</t>
    </r>
    <r>
      <rPr>
        <b/>
        <sz val="8"/>
        <rFont val="Arial"/>
        <family val="2"/>
      </rPr>
      <t xml:space="preserve">  </t>
    </r>
    <r>
      <rPr>
        <sz val="8"/>
        <rFont val="Arial"/>
        <family val="2"/>
      </rPr>
      <t xml:space="preserve">Eurostat, International Transport Forum, national statistics, UNECE, estimates </t>
    </r>
    <r>
      <rPr>
        <i/>
        <sz val="8"/>
        <rFont val="Arial"/>
        <family val="2"/>
      </rPr>
      <t>(in italics)</t>
    </r>
  </si>
  <si>
    <t xml:space="preserve">Data are not harmonised and therefore not fully comparable; in most countries, only pipelines longer than 40km are included. Data refers to oil pipelines. </t>
  </si>
  <si>
    <r>
      <t>FR:</t>
    </r>
    <r>
      <rPr>
        <sz val="8"/>
        <rFont val="Arial"/>
        <family val="2"/>
      </rPr>
      <t xml:space="preserve"> passenger-km include transport activity on the territory of vehicles not registered in France. Includes foreign vans.</t>
    </r>
  </si>
  <si>
    <r>
      <t>Source</t>
    </r>
    <r>
      <rPr>
        <sz val="8"/>
        <rFont val="Arial"/>
        <family val="2"/>
      </rPr>
      <t>: Eurostat, International Road Federation, United Nations Economic Commission for Europe, ASECAP statistical bulletin, national statistics, estimates (</t>
    </r>
    <r>
      <rPr>
        <i/>
        <sz val="8"/>
        <rFont val="Arial"/>
        <family val="2"/>
      </rPr>
      <t>in italics</t>
    </r>
    <r>
      <rPr>
        <sz val="8"/>
        <rFont val="Arial"/>
        <family val="2"/>
      </rPr>
      <t xml:space="preserve">) </t>
    </r>
  </si>
  <si>
    <r>
      <t>UK:</t>
    </r>
    <r>
      <rPr>
        <sz val="8"/>
        <rFont val="Arial"/>
        <family val="2"/>
      </rPr>
      <t xml:space="preserve"> data refers to the 1st of April of the next year.</t>
    </r>
  </si>
  <si>
    <r>
      <t>Source</t>
    </r>
    <r>
      <rPr>
        <sz val="8"/>
        <rFont val="Arial"/>
        <family val="2"/>
      </rPr>
      <t xml:space="preserve">:  Eurostat, International Road Federation, national statistics, estimates </t>
    </r>
    <r>
      <rPr>
        <i/>
        <sz val="8"/>
        <rFont val="Arial"/>
        <family val="2"/>
      </rPr>
      <t>(in italics</t>
    </r>
    <r>
      <rPr>
        <sz val="8"/>
        <rFont val="Arial"/>
        <family val="2"/>
      </rPr>
      <t>)</t>
    </r>
  </si>
  <si>
    <t>Scotland STS table 8.3(a) UK DfT aviation statistics table AV10105</t>
  </si>
  <si>
    <r>
      <t xml:space="preserve">DE: </t>
    </r>
    <r>
      <rPr>
        <sz val="8"/>
        <rFont val="Arial"/>
        <family val="2"/>
      </rPr>
      <t xml:space="preserve">includes </t>
    </r>
    <r>
      <rPr>
        <b/>
        <sz val="8"/>
        <rFont val="Arial"/>
        <family val="2"/>
      </rPr>
      <t>DE-E:</t>
    </r>
    <r>
      <rPr>
        <sz val="8"/>
        <rFont val="Arial"/>
        <family val="2"/>
      </rPr>
      <t xml:space="preserve"> 1970=24.5, 1980=56.0, 1990=90.3</t>
    </r>
  </si>
  <si>
    <r>
      <rPr>
        <b/>
        <sz val="8"/>
        <rFont val="Arial"/>
        <family val="2"/>
      </rPr>
      <t xml:space="preserve">CH: </t>
    </r>
    <r>
      <rPr>
        <sz val="8"/>
        <rFont val="Arial"/>
        <family val="2"/>
      </rPr>
      <t>includes activity of foreign vehicles in the country.</t>
    </r>
  </si>
  <si>
    <r>
      <rPr>
        <b/>
        <sz val="8"/>
        <rFont val="Arial"/>
        <family val="2"/>
      </rPr>
      <t>TR:</t>
    </r>
    <r>
      <rPr>
        <sz val="8"/>
        <rFont val="Arial"/>
        <family val="2"/>
      </rPr>
      <t xml:space="preserve"> excludes urban traffic.</t>
    </r>
  </si>
  <si>
    <r>
      <t xml:space="preserve">DK: </t>
    </r>
    <r>
      <rPr>
        <sz val="8"/>
        <rFont val="Arial"/>
        <family val="2"/>
      </rPr>
      <t>figures exclude activity of vans with a mass higher than 2000 kg.</t>
    </r>
  </si>
  <si>
    <r>
      <t xml:space="preserve">PL: </t>
    </r>
    <r>
      <rPr>
        <sz val="8"/>
        <rFont val="Arial"/>
        <family val="2"/>
      </rPr>
      <t>estimated activity</t>
    </r>
  </si>
  <si>
    <r>
      <t xml:space="preserve">CS: </t>
    </r>
    <r>
      <rPr>
        <sz val="8"/>
        <rFont val="Arial"/>
        <family val="2"/>
      </rPr>
      <t>1990: 43.4 (included in</t>
    </r>
    <r>
      <rPr>
        <b/>
        <sz val="8"/>
        <rFont val="Arial"/>
        <family val="2"/>
      </rPr>
      <t xml:space="preserve"> EU-28</t>
    </r>
    <r>
      <rPr>
        <sz val="8"/>
        <rFont val="Arial"/>
        <family val="2"/>
      </rPr>
      <t xml:space="preserve"> and </t>
    </r>
    <r>
      <rPr>
        <b/>
        <sz val="8"/>
        <rFont val="Arial"/>
        <family val="2"/>
      </rPr>
      <t>EU-13</t>
    </r>
    <r>
      <rPr>
        <sz val="8"/>
        <rFont val="Arial"/>
        <family val="2"/>
      </rPr>
      <t xml:space="preserve"> totals)</t>
    </r>
  </si>
  <si>
    <r>
      <rPr>
        <b/>
        <sz val="8"/>
        <rFont val="Arial"/>
        <family val="2"/>
      </rPr>
      <t>ES:</t>
    </r>
    <r>
      <rPr>
        <sz val="8"/>
        <rFont val="Arial"/>
        <family val="2"/>
      </rPr>
      <t xml:space="preserve"> break in series between 2013 and 2014 due to a change in methodology. The two years are not comparable.</t>
    </r>
  </si>
  <si>
    <r>
      <rPr>
        <b/>
        <sz val="8"/>
        <rFont val="Arial"/>
        <family val="2"/>
      </rPr>
      <t xml:space="preserve">AT: </t>
    </r>
    <r>
      <rPr>
        <sz val="8"/>
        <rFont val="Arial"/>
        <family val="2"/>
      </rPr>
      <t>the times series includes an estimate for trolleybuses.</t>
    </r>
  </si>
  <si>
    <r>
      <rPr>
        <b/>
        <sz val="8"/>
        <rFont val="Arial"/>
        <family val="2"/>
      </rPr>
      <t>PL:</t>
    </r>
    <r>
      <rPr>
        <sz val="8"/>
        <rFont val="Arial"/>
        <family val="2"/>
      </rPr>
      <t xml:space="preserve"> includes long-distance transport and estimated data for urban transport.</t>
    </r>
  </si>
  <si>
    <r>
      <t xml:space="preserve">FR: </t>
    </r>
    <r>
      <rPr>
        <sz val="8"/>
        <rFont val="Arial"/>
        <family val="2"/>
      </rPr>
      <t>data refer to the Paris Metro, RER (Réseau Express Régional) systems, tramways d'Île-de-France (as of 2000) and metros in other French cities.</t>
    </r>
  </si>
  <si>
    <r>
      <t>PT:</t>
    </r>
    <r>
      <rPr>
        <sz val="8"/>
        <rFont val="Arial"/>
        <family val="2"/>
      </rPr>
      <t xml:space="preserve"> data refer to Lisbon, Porto and Sul do Tejo Metro systems (the latter as from 2014).</t>
    </r>
  </si>
  <si>
    <r>
      <rPr>
        <b/>
        <sz val="8"/>
        <rFont val="Arial"/>
        <family val="2"/>
      </rPr>
      <t xml:space="preserve">ES: </t>
    </r>
    <r>
      <rPr>
        <sz val="8"/>
        <rFont val="Arial"/>
        <family val="2"/>
      </rPr>
      <t>including metro of Malaga since 2014.</t>
    </r>
  </si>
  <si>
    <r>
      <t xml:space="preserve">AT: </t>
    </r>
    <r>
      <rPr>
        <sz val="8"/>
        <rFont val="Arial"/>
        <family val="2"/>
      </rPr>
      <t>it includes regional rail transport activity.</t>
    </r>
  </si>
  <si>
    <r>
      <t>Notes:</t>
    </r>
    <r>
      <rPr>
        <sz val="8"/>
        <rFont val="Arial"/>
        <family val="2"/>
      </rPr>
      <t xml:space="preserve">  </t>
    </r>
    <r>
      <rPr>
        <b/>
        <sz val="8"/>
        <rFont val="Arial"/>
        <family val="2"/>
      </rPr>
      <t>BE</t>
    </r>
    <r>
      <rPr>
        <sz val="8"/>
        <rFont val="Arial"/>
        <family val="2"/>
      </rPr>
      <t xml:space="preserve"> 2010 and 2012 pkm values based on quarter data from Eurostat. </t>
    </r>
    <r>
      <rPr>
        <b/>
        <sz val="8"/>
        <rFont val="Arial"/>
        <family val="2"/>
      </rPr>
      <t>UK</t>
    </r>
    <r>
      <rPr>
        <sz val="8"/>
        <rFont val="Arial"/>
        <family val="2"/>
      </rPr>
      <t xml:space="preserve"> share of PSO excludes Northern Ireland. EU-28 shares of PSO estimated on the basis of the available data.</t>
    </r>
  </si>
  <si>
    <t xml:space="preserve">Please note that for some countries the values refer only to the main infrastructure managers which are members of the UIC. </t>
  </si>
  <si>
    <r>
      <rPr>
        <b/>
        <sz val="8"/>
        <rFont val="Arial"/>
        <family val="2"/>
      </rPr>
      <t>EE,  FR:</t>
    </r>
    <r>
      <rPr>
        <sz val="8"/>
        <rFont val="Arial"/>
        <family val="2"/>
      </rPr>
      <t xml:space="preserve"> include special purpose vehicles.</t>
    </r>
  </si>
  <si>
    <r>
      <t>Source:</t>
    </r>
    <r>
      <rPr>
        <sz val="8"/>
        <rFont val="Arial"/>
        <family val="2"/>
      </rPr>
      <t xml:space="preserve"> national statistics, Association des Constructeurs Européens de Motocycles (ACEM) for </t>
    </r>
    <r>
      <rPr>
        <b/>
        <sz val="8"/>
        <rFont val="Arial"/>
        <family val="2"/>
      </rPr>
      <t>FR</t>
    </r>
    <r>
      <rPr>
        <sz val="8"/>
        <rFont val="Arial"/>
        <family val="2"/>
      </rPr>
      <t>.</t>
    </r>
  </si>
  <si>
    <t>GB/ UK figs table TSGB0903 DfT's veh tables http://tinyurl.com/zhrtb5x</t>
  </si>
  <si>
    <t>http://tinyurl.com/zhrtb5x</t>
  </si>
  <si>
    <t>GB/ UK figs table VEH0152 DfT's veh tables http://tinyurl.com/zhrtb5x</t>
  </si>
  <si>
    <t>Km/person</t>
  </si>
  <si>
    <t>(million)</t>
  </si>
  <si>
    <t>change 14/15</t>
  </si>
  <si>
    <t>Data is not harmonised and therefore not fully comparable. 2015 data may be provisional. Data sometimes includes activity of foreign vehicles performed within the country, therefore  EU aggregates might be affected by double-counting. Generally vans are not considered in this table, but there may be exceptions.</t>
  </si>
  <si>
    <t xml:space="preserve">Data is not harmonised and therefore not fully comparable. 2015 data may be provisional. Data sometimes includes activity of foreign vehicles performed within the country, therefore  EU aggregates might be affected by double-counting. </t>
  </si>
  <si>
    <r>
      <rPr>
        <b/>
        <sz val="8"/>
        <rFont val="Arial"/>
        <family val="2"/>
      </rPr>
      <t>FR:</t>
    </r>
    <r>
      <rPr>
        <sz val="8"/>
        <rFont val="Arial"/>
        <family val="2"/>
      </rPr>
      <t xml:space="preserve"> includes tram transport activity at province level, and tram transport in the ile de France until 2000. It also includes occasional bus transport in the territory of France performed by foreign buses. </t>
    </r>
  </si>
  <si>
    <r>
      <t xml:space="preserve">NL: </t>
    </r>
    <r>
      <rPr>
        <sz val="8"/>
        <rFont val="Arial"/>
        <family val="2"/>
      </rPr>
      <t>the time series from 2010 estimates the share of bus transport over the aggregate "bus/tram/metro" published in the OViN Travel Survey. Previous years' estimates have been retrofitted until 2010.</t>
    </r>
  </si>
  <si>
    <t>Data are not harmonised and therefore not fully comparable across countries. Data for 2015 are mostly provisional.</t>
  </si>
  <si>
    <r>
      <t xml:space="preserve">NL: </t>
    </r>
    <r>
      <rPr>
        <sz val="8"/>
        <rFont val="Arial"/>
        <family val="2"/>
      </rPr>
      <t>the time series from 2010 estimates the share of tram &amp; metro over the aggregate "bus/tram/metro" published in the OViN Travel Survey. Previous years' estimates have been retrofitted until 2010.</t>
    </r>
  </si>
  <si>
    <r>
      <t>Source</t>
    </r>
    <r>
      <rPr>
        <sz val="8"/>
        <rFont val="Arial"/>
        <family val="2"/>
      </rPr>
      <t>: Eurostat, International Transport Forum, UNECE, Union Internationale des Chemins de Fer, DG MOVE Rail Market Monitoring (</t>
    </r>
    <r>
      <rPr>
        <b/>
        <sz val="8"/>
        <rFont val="Arial"/>
        <family val="2"/>
      </rPr>
      <t>BE</t>
    </r>
    <r>
      <rPr>
        <sz val="8"/>
        <rFont val="Arial"/>
        <family val="2"/>
      </rPr>
      <t xml:space="preserve"> 2012, 2013, 2014) national statistics, estimates (</t>
    </r>
    <r>
      <rPr>
        <i/>
        <sz val="8"/>
        <rFont val="Arial"/>
        <family val="2"/>
      </rPr>
      <t>in italics</t>
    </r>
    <r>
      <rPr>
        <sz val="8"/>
        <rFont val="Arial"/>
        <family val="2"/>
      </rPr>
      <t>). Shares under PSO from Rail Market Monitoring (DG MOVE) and DG MOVE estimates, based on different volumes than Eurostat.</t>
    </r>
  </si>
  <si>
    <r>
      <t xml:space="preserve">* Public Service Obligation (PSO) </t>
    </r>
    <r>
      <rPr>
        <sz val="8"/>
        <rFont val="Arial"/>
        <family val="2"/>
      </rPr>
      <t>means a requirement defined or 
determined by a competent authority in order to ensure public
passenger transport services in the general interest that an 
operator, if it were considering its own commercial interests,
would not assume or would not assume to the same extent
 or under the same conditions without reward.</t>
    </r>
  </si>
  <si>
    <r>
      <t>BE</t>
    </r>
    <r>
      <rPr>
        <sz val="8"/>
        <rFont val="Arial"/>
        <family val="2"/>
      </rPr>
      <t xml:space="preserve"> end of 2009 </t>
    </r>
    <r>
      <rPr>
        <b/>
        <sz val="8"/>
        <rFont val="Arial"/>
        <family val="2"/>
      </rPr>
      <t xml:space="preserve">EL </t>
    </r>
    <r>
      <rPr>
        <sz val="8"/>
        <rFont val="Arial"/>
        <family val="2"/>
      </rPr>
      <t xml:space="preserve">end of 2010 </t>
    </r>
    <r>
      <rPr>
        <b/>
        <sz val="8"/>
        <rFont val="Arial"/>
        <family val="2"/>
      </rPr>
      <t>IT, LV</t>
    </r>
    <r>
      <rPr>
        <sz val="8"/>
        <rFont val="Arial"/>
        <family val="2"/>
      </rPr>
      <t xml:space="preserve"> end of 2014 </t>
    </r>
    <r>
      <rPr>
        <b/>
        <sz val="8"/>
        <rFont val="Arial"/>
        <family val="2"/>
      </rPr>
      <t>LU</t>
    </r>
    <r>
      <rPr>
        <sz val="8"/>
        <rFont val="Arial"/>
        <family val="2"/>
      </rPr>
      <t xml:space="preserve"> 23rd of September 2015 </t>
    </r>
    <r>
      <rPr>
        <b/>
        <sz val="8"/>
        <rFont val="Arial"/>
        <family val="2"/>
      </rPr>
      <t>UK</t>
    </r>
    <r>
      <rPr>
        <sz val="8"/>
        <rFont val="Arial"/>
        <family val="2"/>
      </rPr>
      <t xml:space="preserve"> 1st of April 2015 </t>
    </r>
    <r>
      <rPr>
        <b/>
        <sz val="8"/>
        <rFont val="Arial"/>
        <family val="2"/>
      </rPr>
      <t>IS</t>
    </r>
    <r>
      <rPr>
        <sz val="8"/>
        <rFont val="Arial"/>
        <family val="2"/>
      </rPr>
      <t xml:space="preserve"> end of 2011 </t>
    </r>
    <r>
      <rPr>
        <b/>
        <sz val="8"/>
        <rFont val="Arial"/>
        <family val="2"/>
      </rPr>
      <t/>
    </r>
  </si>
  <si>
    <r>
      <t>Source</t>
    </r>
    <r>
      <rPr>
        <sz val="8"/>
        <rFont val="Arial"/>
        <family val="2"/>
      </rPr>
      <t>: Union Internationale des Chemins de Fer, IRG-Rail annual reports (</t>
    </r>
    <r>
      <rPr>
        <b/>
        <sz val="8"/>
        <rFont val="Arial"/>
        <family val="2"/>
      </rPr>
      <t>BE, DE, FR, UK, NO</t>
    </r>
    <r>
      <rPr>
        <sz val="8"/>
        <rFont val="Arial"/>
        <family val="2"/>
      </rPr>
      <t>), national statistics, Eurostat, estimates (in italics).</t>
    </r>
  </si>
  <si>
    <r>
      <t xml:space="preserve">DE: </t>
    </r>
    <r>
      <rPr>
        <sz val="8"/>
        <rFont val="Arial"/>
        <family val="2"/>
      </rPr>
      <t xml:space="preserve">includes </t>
    </r>
    <r>
      <rPr>
        <b/>
        <sz val="8"/>
        <rFont val="Arial"/>
        <family val="2"/>
      </rPr>
      <t>DE-E</t>
    </r>
    <r>
      <rPr>
        <sz val="8"/>
        <rFont val="Arial"/>
        <family val="2"/>
      </rPr>
      <t xml:space="preserve">: 1970=14 250,  1980=14 248,  1990=14 031 </t>
    </r>
  </si>
  <si>
    <r>
      <t xml:space="preserve">CS: </t>
    </r>
    <r>
      <rPr>
        <sz val="8"/>
        <rFont val="Arial"/>
        <family val="2"/>
      </rPr>
      <t>1970: 133 08, 1980: 13 131, 1990: 13 111   (these are included in EU-28 and EU-13 totals)</t>
    </r>
  </si>
  <si>
    <r>
      <t>RO</t>
    </r>
    <r>
      <rPr>
        <b/>
        <sz val="8"/>
        <rFont val="Calibri"/>
        <family val="2"/>
      </rPr>
      <t>¹</t>
    </r>
  </si>
  <si>
    <r>
      <t xml:space="preserve">Notes: </t>
    </r>
    <r>
      <rPr>
        <sz val="8"/>
        <rFont val="Arial"/>
        <family val="2"/>
      </rPr>
      <t>2016 figures are provisional. 1. Data for Romania refers to sales (APIA). For registrations, see ACAROM figures at www.acea.be</t>
    </r>
  </si>
  <si>
    <t>change 01/15</t>
  </si>
  <si>
    <r>
      <t>Notes</t>
    </r>
    <r>
      <rPr>
        <sz val="8"/>
        <rFont val="Arial"/>
        <family val="2"/>
      </rPr>
      <t xml:space="preserve">: Persons killed are all persons deceased within 30 days of the accident. Corrective factors have been applied to the figures which did not follow this definition. As of 2015 </t>
    </r>
    <r>
      <rPr>
        <b/>
        <sz val="8"/>
        <rFont val="Arial"/>
        <family val="2"/>
      </rPr>
      <t>TR</t>
    </r>
    <r>
      <rPr>
        <sz val="8"/>
        <rFont val="Arial"/>
        <family val="2"/>
      </rPr>
      <t xml:space="preserve"> includes people deceased within 30 days after the accident (break in series).</t>
    </r>
  </si>
  <si>
    <t>Calcs</t>
  </si>
  <si>
    <t>Sorted</t>
  </si>
  <si>
    <r>
      <t xml:space="preserve">from </t>
    </r>
    <r>
      <rPr>
        <i/>
        <sz val="12"/>
        <rFont val="Arial"/>
        <family val="2"/>
      </rPr>
      <t xml:space="preserve">EU Energy and Transport in Figures    (2017 edition) </t>
    </r>
  </si>
  <si>
    <t>Austria, Belgium, Denmark, Finland, France, Germany, Greece, Ireland, Italy, Luxembourg, Netherlands, Portugal, Spain, Sweden, United Kingdom.</t>
  </si>
  <si>
    <t>EU -15</t>
  </si>
  <si>
    <t>change 15/16</t>
  </si>
  <si>
    <t>change
16/17 (%)</t>
  </si>
  <si>
    <t>GB figures taken from TSGB table TSGB0403 except Inland waterways (UK figure   table port0705)</t>
  </si>
  <si>
    <t>n/a</t>
  </si>
  <si>
    <t>n/a or 0</t>
  </si>
  <si>
    <t>In general, n/a is used where a figure is not available, and 0 is used where a figure is nil.  However, n/a may be treated as if it were 0 for the purpose of some calculations.</t>
  </si>
  <si>
    <t>1.5</t>
  </si>
  <si>
    <r>
      <t>Source</t>
    </r>
    <r>
      <rPr>
        <sz val="8"/>
        <rFont val="Arial"/>
        <family val="2"/>
      </rPr>
      <t>:</t>
    </r>
    <r>
      <rPr>
        <b/>
        <sz val="8"/>
        <rFont val="Arial"/>
        <family val="2"/>
      </rPr>
      <t xml:space="preserve"> </t>
    </r>
    <r>
      <rPr>
        <sz val="8"/>
        <rFont val="Arial"/>
        <family val="2"/>
      </rPr>
      <t>Eurostat</t>
    </r>
  </si>
  <si>
    <r>
      <t>Notes</t>
    </r>
    <r>
      <rPr>
        <sz val="8"/>
        <rFont val="Arial"/>
        <family val="2"/>
      </rPr>
      <t xml:space="preserve">: </t>
    </r>
  </si>
  <si>
    <r>
      <t>DE:</t>
    </r>
    <r>
      <rPr>
        <sz val="8"/>
        <rFont val="Arial"/>
        <family val="2"/>
      </rPr>
      <t xml:space="preserve"> population : includes DE-E: 1970=17.1,   1980=16.7,   1990=16.1 </t>
    </r>
  </si>
  <si>
    <r>
      <t>CY:</t>
    </r>
    <r>
      <rPr>
        <sz val="8"/>
        <rFont val="Arial"/>
        <family val="2"/>
      </rPr>
      <t xml:space="preserve"> from 1975 onwards: government-controlled area only</t>
    </r>
  </si>
  <si>
    <r>
      <t>FR</t>
    </r>
    <r>
      <rPr>
        <sz val="8"/>
        <rFont val="Arial"/>
        <family val="2"/>
      </rPr>
      <t>: as from 1991, it includes the 4 French overseas departments and as from 2015 it includes Mayotte as well.</t>
    </r>
  </si>
  <si>
    <t>change 16/17</t>
  </si>
  <si>
    <r>
      <t>BE</t>
    </r>
    <r>
      <rPr>
        <vertAlign val="subscript"/>
        <sz val="8"/>
        <rFont val="Arial"/>
        <family val="2"/>
      </rPr>
      <t>(1)</t>
    </r>
  </si>
  <si>
    <r>
      <t>SE</t>
    </r>
    <r>
      <rPr>
        <b/>
        <vertAlign val="subscript"/>
        <sz val="8"/>
        <rFont val="Arial"/>
        <family val="2"/>
      </rPr>
      <t>(2)</t>
    </r>
  </si>
  <si>
    <r>
      <t>TR</t>
    </r>
    <r>
      <rPr>
        <b/>
        <vertAlign val="subscript"/>
        <sz val="8"/>
        <rFont val="Arial"/>
        <family val="2"/>
      </rPr>
      <t>(3)</t>
    </r>
  </si>
  <si>
    <r>
      <t>IS</t>
    </r>
    <r>
      <rPr>
        <b/>
        <vertAlign val="subscript"/>
        <sz val="8"/>
        <rFont val="Arial"/>
        <family val="2"/>
      </rPr>
      <t>(3)</t>
    </r>
  </si>
  <si>
    <r>
      <t>CH</t>
    </r>
    <r>
      <rPr>
        <b/>
        <vertAlign val="subscript"/>
        <sz val="8"/>
        <rFont val="Arial"/>
        <family val="2"/>
      </rPr>
      <t>(4)</t>
    </r>
  </si>
  <si>
    <t xml:space="preserve">Source: Eurostat, International Transport Forum (ME, RS, TR), national statistics ( MK), estimates (in italics). </t>
  </si>
  <si>
    <t>(*) Including cross-trade and cabotage</t>
  </si>
  <si>
    <t>(1) BE: data revision from 2015 onwards</t>
  </si>
  <si>
    <t>(2) SE: break in series in 2014 due to a methodological change on the vehicles not in use.</t>
  </si>
  <si>
    <t xml:space="preserve">(3) TR, IS: national transport only. </t>
  </si>
  <si>
    <t>(4) CH: in contrast to the data for other countries, until 2007 the Swiss data do not include that part of international journeys by Swiss hauliers that takes place outside Switzerland.</t>
  </si>
  <si>
    <t>EU 15</t>
  </si>
  <si>
    <r>
      <rPr>
        <b/>
        <sz val="8"/>
        <rFont val="Arial"/>
        <family val="2"/>
      </rPr>
      <t>DE:</t>
    </r>
    <r>
      <rPr>
        <sz val="8"/>
        <rFont val="Arial"/>
        <family val="2"/>
      </rPr>
      <t xml:space="preserve"> includes </t>
    </r>
    <r>
      <rPr>
        <b/>
        <sz val="8"/>
        <rFont val="Arial"/>
        <family val="2"/>
      </rPr>
      <t>DE-E</t>
    </r>
    <r>
      <rPr>
        <sz val="8"/>
        <rFont val="Arial"/>
        <family val="2"/>
      </rPr>
      <t xml:space="preserve"> : 1970=41.5,   1980=56.4,   1990=39.8. </t>
    </r>
    <r>
      <rPr>
        <b/>
        <sz val="8"/>
        <rFont val="Arial"/>
        <family val="2"/>
      </rPr>
      <t>CS:</t>
    </r>
    <r>
      <rPr>
        <sz val="8"/>
        <rFont val="Arial"/>
        <family val="2"/>
      </rPr>
      <t xml:space="preserve"> 1970: 55.9,  1980: 66.2,  1990: 59.4, 1991: 45.8, 1992: 44.0</t>
    </r>
  </si>
  <si>
    <r>
      <rPr>
        <b/>
        <sz val="8"/>
        <rFont val="Arial"/>
        <family val="2"/>
      </rPr>
      <t>CS:</t>
    </r>
    <r>
      <rPr>
        <sz val="8"/>
        <rFont val="Arial"/>
        <family val="2"/>
      </rPr>
      <t xml:space="preserve"> 1970: 2.43,  1980: 3.59,  1990: 4.42, 1991: 3.89, 1992: 2.98  </t>
    </r>
  </si>
  <si>
    <t>Oil Pipelines</t>
  </si>
  <si>
    <r>
      <t xml:space="preserve">DK: </t>
    </r>
    <r>
      <rPr>
        <sz val="8"/>
        <rFont val="Arial"/>
        <family val="2"/>
      </rPr>
      <t xml:space="preserve">crude oil including water. </t>
    </r>
  </si>
  <si>
    <t xml:space="preserve">If powered two-wheelers are included, they account for 2,02 % of the total in EU-28, while the share of the other modes becomes: </t>
  </si>
  <si>
    <t>Population 2017</t>
  </si>
  <si>
    <t>-36,1*</t>
  </si>
  <si>
    <t xml:space="preserve">DK </t>
  </si>
  <si>
    <t>:</t>
  </si>
  <si>
    <r>
      <t xml:space="preserve">km at the end of </t>
    </r>
    <r>
      <rPr>
        <b/>
        <sz val="10"/>
        <rFont val="Arial"/>
        <family val="2"/>
      </rPr>
      <t>2017</t>
    </r>
  </si>
  <si>
    <t>33,7 (*)</t>
  </si>
  <si>
    <t>change 01/17</t>
  </si>
  <si>
    <r>
      <t>1 000 km</t>
    </r>
    <r>
      <rPr>
        <b/>
        <vertAlign val="superscript"/>
        <sz val="7"/>
        <rFont val="Arial"/>
        <family val="2"/>
      </rPr>
      <t>2</t>
    </r>
  </si>
  <si>
    <t>on 1/1/2018</t>
  </si>
  <si>
    <t>GB figure from table RAI0104 (TSGB0604) of TSGB 2017. UK figure is GB figure plus NI figure from NITS 2016-17 Table 6.5</t>
  </si>
  <si>
    <t>Roads excluding other roads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</si>
</sst>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41" formatCode="_-* #,##0_-;\-* #,##0_-;_-* &quot;-&quot;_-;_-@_-"/>
    <numFmt numFmtId="43" formatCode="_-* #,##0.00_-;\-* #,##0.00_-;_-* &quot;-&quot;??_-;_-@_-"/>
    <numFmt numFmtId="164" formatCode="0.0"/>
    <numFmt numFmtId="165" formatCode="#,##0.0"/>
    <numFmt numFmtId="166" formatCode="0.000"/>
    <numFmt numFmtId="167" formatCode="#,##0.000"/>
    <numFmt numFmtId="168" formatCode="0.00000"/>
    <numFmt numFmtId="169" formatCode="_-* #,##0.0_-;\-* #,##0.0_-;_-* &quot;-&quot;??_-;_-@_-"/>
    <numFmt numFmtId="170" formatCode="_-* #,##0_-;\-* #,##0_-;_-* &quot;-&quot;??_-;_-@_-"/>
    <numFmt numFmtId="171" formatCode="#,##0\ "/>
    <numFmt numFmtId="172" formatCode="##0\ "/>
    <numFmt numFmtId="173" formatCode="_-* #,##0.0_-;\-* #,##0.0_-;_-* &quot;-&quot;_-;_-@_-"/>
    <numFmt numFmtId="174" formatCode="[&gt;0.5]#,##0;[&lt;-0.5]\-#,##0;\-"/>
    <numFmt numFmtId="175" formatCode="_-* #,##0.0_-;\-* #,##0.0_-;_-* &quot;-&quot;?_-;_-@_-"/>
    <numFmt numFmtId="176" formatCode="0.0%"/>
    <numFmt numFmtId="177" formatCode="#\ ##0"/>
    <numFmt numFmtId="178" formatCode="0.0\ "/>
    <numFmt numFmtId="181" formatCode="_-* #,##0.00\ _F_t_-;\-* #,##0.00\ _F_t_-;_-* &quot;-&quot;??\ _F_t_-;_-@_-"/>
    <numFmt numFmtId="182" formatCode="#\ ##0.0"/>
    <numFmt numFmtId="183" formatCode="#\ ##0.0"/>
    <numFmt numFmtId="184" formatCode="dd\.mm\.yy"/>
    <numFmt numFmtId="185" formatCode="_-* #,##0.00_L_e_k_-;\-* #,##0.00_L_e_k_-;_-* &quot;-&quot;??_L_e_k_-;_-@_-"/>
    <numFmt numFmtId="186" formatCode="#\ ##0.0"/>
    <numFmt numFmtId="187" formatCode="#\ ##0\ "/>
    <numFmt numFmtId="188" formatCode="########\ ##0.0"/>
    <numFmt numFmtId="189" formatCode="###\ ##0.0"/>
    <numFmt numFmtId="190" formatCode="##############\ ##0.0"/>
    <numFmt numFmtId="191" formatCode="#,##0.0_)"/>
    <numFmt numFmtId="192" formatCode="0.0_)"/>
    <numFmt numFmtId="193" formatCode="###0.00_)"/>
    <numFmt numFmtId="194" formatCode="#,##0_)"/>
    <numFmt numFmtId="195" formatCode="#,##0.000_);[Red]\(#,##0.000\);\-_)"/>
    <numFmt numFmtId="196" formatCode="#,##0.0%;[Red]\(#,##0.0%\);\-"/>
    <numFmt numFmtId="197" formatCode="_(* #,##0.00_);_(* \(#,##0.00\);_(* &quot;-&quot;??_);_(@_)"/>
    <numFmt numFmtId="198" formatCode="_(&quot;$&quot;* #,##0.00_);_(&quot;$&quot;* \(#,##0.00\);_(&quot;$&quot;* &quot;-&quot;??_);_(@_)"/>
    <numFmt numFmtId="199" formatCode="_-* #,##0.00\ &quot;zł&quot;_-;\-* #,##0.00\ &quot;zł&quot;_-;_-* &quot;-&quot;??\ &quot;zł&quot;_-;_-@_-"/>
    <numFmt numFmtId="200" formatCode="_-* #,##0.00\ [$€]_-;\-* #,##0.00\ [$€]_-;_-* &quot;-&quot;??\ [$€]_-;_-@_-"/>
    <numFmt numFmtId="201" formatCode="_-* #,##0.00,&quot;DM&quot;_-;\-* #,##0.00,&quot;DM&quot;_-;_-* \-??&quot; DM&quot;_-;_-@_-"/>
    <numFmt numFmtId="202" formatCode="#,###,##0"/>
    <numFmt numFmtId="203" formatCode="\(##\);\(##\)"/>
    <numFmt numFmtId="204" formatCode="_-* #,##0.00\ _k_r_-;\-* #,##0.00\ _k_r_-;_-* &quot;-&quot;??\ _k_r_-;_-@_-"/>
    <numFmt numFmtId="205" formatCode="####\ ##0.0"/>
    <numFmt numFmtId="206" formatCode="#######\ ##0.0"/>
    <numFmt numFmtId="219" formatCode="[&gt;=0.5]#,##0;[=0]0;&quot;~&quot;"/>
    <numFmt numFmtId="220" formatCode="&quot; &quot;General"/>
    <numFmt numFmtId="222" formatCode="#,##0&quot; &quot;;[Red]&quot;-&quot;#,##0"/>
    <numFmt numFmtId="224" formatCode="#,##0.0_i"/>
  </numFmts>
  <fonts count="142">
    <font>
      <sz val="10"/>
      <name val="Arial"/>
    </font>
    <font>
      <sz val="10"/>
      <name val="Arial"/>
    </font>
    <font>
      <sz val="8"/>
      <name val="Arial"/>
      <family val="2"/>
    </font>
    <font>
      <sz val="14"/>
      <name val="Arial"/>
      <family val="2"/>
    </font>
    <font>
      <sz val="8"/>
      <name val="Arial"/>
      <family val="2"/>
    </font>
    <font>
      <b/>
      <sz val="10"/>
      <color indexed="8"/>
      <name val="Arial"/>
      <family val="2"/>
    </font>
    <font>
      <u/>
      <sz val="7.5"/>
      <color indexed="12"/>
      <name val="Arial"/>
      <family val="2"/>
    </font>
    <font>
      <sz val="14"/>
      <name val="Arial"/>
      <family val="2"/>
    </font>
    <font>
      <i/>
      <sz val="10"/>
      <name val="Arial"/>
      <family val="2"/>
    </font>
    <font>
      <b/>
      <sz val="10"/>
      <color indexed="18"/>
      <name val="Arial"/>
      <family val="2"/>
    </font>
    <font>
      <b/>
      <sz val="12"/>
      <name val="Arial"/>
      <family val="2"/>
    </font>
    <font>
      <sz val="12"/>
      <name val="Arial"/>
      <family val="2"/>
    </font>
    <font>
      <i/>
      <sz val="12"/>
      <name val="Arial"/>
      <family val="2"/>
    </font>
    <font>
      <b/>
      <vertAlign val="superscript"/>
      <sz val="12"/>
      <name val="Arial"/>
      <family val="2"/>
    </font>
    <font>
      <sz val="11"/>
      <name val="Arial"/>
      <family val="2"/>
    </font>
    <font>
      <sz val="12"/>
      <name val="Arial"/>
      <family val="2"/>
    </font>
    <font>
      <b/>
      <sz val="14"/>
      <name val="Arial"/>
      <family val="2"/>
    </font>
    <font>
      <sz val="10"/>
      <name val="Arial"/>
      <family val="2"/>
    </font>
    <font>
      <b/>
      <sz val="10"/>
      <name val="Arial"/>
      <family val="2"/>
    </font>
    <font>
      <b/>
      <sz val="8"/>
      <name val="Arial"/>
      <family val="2"/>
    </font>
    <font>
      <b/>
      <sz val="7"/>
      <name val="Arial"/>
      <family val="2"/>
    </font>
    <font>
      <i/>
      <sz val="8"/>
      <name val="Arial"/>
      <family val="2"/>
    </font>
    <font>
      <b/>
      <i/>
      <sz val="8"/>
      <name val="Arial"/>
      <family val="2"/>
    </font>
    <font>
      <b/>
      <sz val="9"/>
      <name val="Arial"/>
      <family val="2"/>
    </font>
    <font>
      <sz val="8"/>
      <color indexed="10"/>
      <name val="Arial"/>
      <family val="2"/>
    </font>
    <font>
      <sz val="10"/>
      <name val="MS Sans Serif"/>
      <family val="2"/>
    </font>
    <font>
      <sz val="10"/>
      <name val="Times New Roman CE"/>
      <charset val="238"/>
    </font>
    <font>
      <b/>
      <vertAlign val="subscript"/>
      <sz val="8"/>
      <name val="Arial"/>
      <family val="2"/>
    </font>
    <font>
      <b/>
      <sz val="8"/>
      <color indexed="9"/>
      <name val="Arial"/>
      <family val="2"/>
    </font>
    <font>
      <vertAlign val="superscript"/>
      <sz val="12"/>
      <name val="Arial"/>
      <family val="2"/>
    </font>
    <font>
      <u/>
      <sz val="14"/>
      <color indexed="12"/>
      <name val="Arial"/>
      <family val="2"/>
    </font>
    <font>
      <sz val="11.5"/>
      <name val="Arial"/>
      <family val="2"/>
    </font>
    <font>
      <sz val="10"/>
      <color indexed="8"/>
      <name val="Arial"/>
      <family val="2"/>
    </font>
    <font>
      <b/>
      <sz val="12"/>
      <color indexed="8"/>
      <name val="Arial"/>
      <family val="2"/>
    </font>
    <font>
      <sz val="7"/>
      <name val="Arial"/>
      <family val="2"/>
    </font>
    <font>
      <i/>
      <sz val="7"/>
      <name val="Arial"/>
      <family val="2"/>
    </font>
    <font>
      <sz val="12"/>
      <name val="Helv"/>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sz val="11"/>
      <color indexed="9"/>
      <name val="Calibri"/>
      <family val="2"/>
    </font>
    <font>
      <b/>
      <sz val="12"/>
      <name val="Calibri"/>
      <family val="2"/>
    </font>
    <font>
      <sz val="11"/>
      <color indexed="20"/>
      <name val="Calibri"/>
      <family val="2"/>
    </font>
    <font>
      <sz val="10"/>
      <name val="Calibri"/>
      <family val="2"/>
    </font>
    <font>
      <b/>
      <sz val="11"/>
      <color indexed="52"/>
      <name val="Calibri"/>
      <family val="2"/>
    </font>
    <font>
      <b/>
      <sz val="11"/>
      <color indexed="9"/>
      <name val="Calibri"/>
      <family val="2"/>
    </font>
    <font>
      <sz val="10"/>
      <name val="Helv"/>
      <family val="2"/>
    </font>
    <font>
      <sz val="10"/>
      <name val="Times New Roman"/>
      <family val="1"/>
    </font>
    <font>
      <i/>
      <sz val="11"/>
      <color indexed="23"/>
      <name val="Calibri"/>
      <family val="2"/>
    </font>
    <font>
      <sz val="12"/>
      <color indexed="24"/>
      <name val="Arial"/>
      <family val="2"/>
    </font>
    <font>
      <u/>
      <sz val="10"/>
      <color indexed="36"/>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0"/>
      <name val="Helv"/>
      <family val="2"/>
    </font>
    <font>
      <u/>
      <sz val="8"/>
      <color indexed="12"/>
      <name val="Arial"/>
      <family val="2"/>
    </font>
    <font>
      <u/>
      <sz val="10"/>
      <color indexed="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8"/>
      <name val="P-AVGARD"/>
    </font>
    <font>
      <b/>
      <sz val="11"/>
      <color indexed="63"/>
      <name val="Calibri"/>
      <family val="2"/>
    </font>
    <font>
      <i/>
      <sz val="12"/>
      <name val="Times New Roman"/>
      <family val="1"/>
    </font>
    <font>
      <vertAlign val="superscript"/>
      <sz val="12"/>
      <name val="Helv"/>
      <family val="2"/>
    </font>
    <font>
      <sz val="8"/>
      <name val="Helv"/>
      <family val="2"/>
    </font>
    <font>
      <sz val="10"/>
      <color indexed="24"/>
      <name val="Arial"/>
      <family val="2"/>
    </font>
    <font>
      <sz val="9"/>
      <name val="Verdana"/>
      <family val="2"/>
    </font>
    <font>
      <i/>
      <sz val="9"/>
      <color indexed="60"/>
      <name val="Verdana"/>
      <family val="2"/>
    </font>
    <font>
      <b/>
      <sz val="9"/>
      <name val="Verdana"/>
      <family val="2"/>
    </font>
    <font>
      <b/>
      <sz val="18"/>
      <color indexed="56"/>
      <name val="Cambria"/>
      <family val="2"/>
    </font>
    <font>
      <b/>
      <sz val="11"/>
      <color indexed="8"/>
      <name val="Calibri"/>
      <family val="2"/>
    </font>
    <font>
      <sz val="11"/>
      <color indexed="10"/>
      <name val="Calibri"/>
      <family val="2"/>
    </font>
    <font>
      <sz val="16"/>
      <name val="Times New Roman"/>
      <family val="1"/>
      <charset val="238"/>
    </font>
    <font>
      <sz val="10"/>
      <color indexed="56"/>
      <name val="Arial"/>
      <family val="2"/>
    </font>
    <font>
      <b/>
      <sz val="10"/>
      <color indexed="56"/>
      <name val="Arial"/>
      <family val="2"/>
    </font>
    <font>
      <i/>
      <sz val="8"/>
      <color indexed="57"/>
      <name val="Arial"/>
      <family val="2"/>
    </font>
    <font>
      <b/>
      <sz val="6"/>
      <color indexed="18"/>
      <name val="Arial"/>
      <family val="2"/>
    </font>
    <font>
      <b/>
      <sz val="12"/>
      <name val="Times New Roman"/>
      <family val="1"/>
    </font>
    <font>
      <b/>
      <sz val="8"/>
      <color indexed="8"/>
      <name val="Arial"/>
      <family val="2"/>
    </font>
    <font>
      <i/>
      <sz val="9"/>
      <color indexed="8"/>
      <name val="Arial"/>
      <family val="2"/>
    </font>
    <font>
      <b/>
      <vertAlign val="superscript"/>
      <sz val="12"/>
      <color indexed="54"/>
      <name val="Arial"/>
      <family val="2"/>
    </font>
    <font>
      <b/>
      <i/>
      <u/>
      <sz val="10"/>
      <name val="Arial"/>
      <family val="2"/>
    </font>
    <font>
      <b/>
      <sz val="10"/>
      <color indexed="37"/>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b/>
      <sz val="8"/>
      <name val="Calibri"/>
      <family val="2"/>
    </font>
    <font>
      <vertAlign val="subscript"/>
      <sz val="8"/>
      <name val="Arial"/>
      <family val="2"/>
    </font>
    <font>
      <b/>
      <vertAlign val="superscript"/>
      <sz val="7"/>
      <name val="Arial"/>
      <family val="2"/>
    </font>
    <font>
      <b/>
      <sz val="8"/>
      <color indexed="10"/>
      <name val="Arial"/>
      <family val="2"/>
    </font>
    <font>
      <sz val="10"/>
      <color theme="1"/>
      <name val="Arial"/>
      <family val="2"/>
    </font>
    <font>
      <sz val="11"/>
      <color theme="1"/>
      <name val="Calibri"/>
      <family val="2"/>
      <scheme val="minor"/>
    </font>
    <font>
      <sz val="11"/>
      <color theme="0"/>
      <name val="Calibri"/>
      <family val="2"/>
      <scheme val="minor"/>
    </font>
    <font>
      <b/>
      <sz val="13"/>
      <color theme="0"/>
      <name val="Calibri"/>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Calibri"/>
      <family val="2"/>
      <charset val="238"/>
      <scheme val="minor"/>
    </font>
    <font>
      <sz val="11"/>
      <color rgb="FF000000"/>
      <name val="Calibri"/>
      <family val="2"/>
      <charset val="1"/>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6"/>
      <color rgb="FF000000"/>
      <name val="Helvetica"/>
      <family val="2"/>
    </font>
    <font>
      <u/>
      <sz val="8"/>
      <color rgb="FF0000FF"/>
      <name val="Times New Roman"/>
      <family val="1"/>
    </font>
    <font>
      <u/>
      <sz val="7"/>
      <color rgb="FF0000FF"/>
      <name val="Arial"/>
      <family val="2"/>
    </font>
    <font>
      <u/>
      <sz val="11"/>
      <color rgb="FF0563C1"/>
      <name val="Calibri"/>
      <family val="2"/>
      <charset val="1"/>
    </font>
    <font>
      <sz val="11"/>
      <color rgb="FF3F3F76"/>
      <name val="Calibri"/>
      <family val="2"/>
      <scheme val="minor"/>
    </font>
    <font>
      <sz val="10"/>
      <color rgb="FF000000"/>
      <name val="Arial"/>
      <family val="2"/>
    </font>
    <font>
      <sz val="11"/>
      <color rgb="FFFA7D00"/>
      <name val="Calibri"/>
      <family val="2"/>
      <scheme val="minor"/>
    </font>
    <font>
      <sz val="11"/>
      <color rgb="FF9C6500"/>
      <name val="Calibri"/>
      <family val="2"/>
      <scheme val="minor"/>
    </font>
    <font>
      <sz val="11"/>
      <color rgb="FF000000"/>
      <name val="Calibri"/>
      <family val="2"/>
    </font>
    <font>
      <sz val="11"/>
      <color theme="1"/>
      <name val="Czcionka tekstu podstawowego"/>
      <family val="2"/>
      <charset val="238"/>
    </font>
    <font>
      <sz val="8"/>
      <color rgb="FF000000"/>
      <name val="Arial"/>
      <family val="2"/>
    </font>
    <font>
      <sz val="12"/>
      <color rgb="FF000000"/>
      <name val="Helv"/>
    </font>
    <font>
      <sz val="9"/>
      <color theme="1"/>
      <name val="Arial"/>
      <family val="2"/>
    </font>
    <font>
      <b/>
      <sz val="11"/>
      <color rgb="FF3F3F3F"/>
      <name val="Calibri"/>
      <family val="2"/>
      <scheme val="minor"/>
    </font>
    <font>
      <sz val="10"/>
      <color rgb="FF000000"/>
      <name val="Times New Roman"/>
      <family val="1"/>
    </font>
    <font>
      <i/>
      <sz val="12"/>
      <color rgb="FF000000"/>
      <name val="Times New Roman"/>
      <family val="1"/>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2"/>
      <color rgb="FFFF0000"/>
      <name val="Arial"/>
      <family val="2"/>
    </font>
    <font>
      <sz val="12"/>
      <color theme="1"/>
      <name val="Arial"/>
      <family val="2"/>
    </font>
    <font>
      <b/>
      <sz val="12"/>
      <color theme="1"/>
      <name val="Arial"/>
      <family val="2"/>
    </font>
    <font>
      <sz val="10"/>
      <color rgb="FF0000FF"/>
      <name val="Arial"/>
      <family val="2"/>
    </font>
    <font>
      <b/>
      <sz val="8"/>
      <color rgb="FF0000FF"/>
      <name val="Arial"/>
      <family val="2"/>
    </font>
    <font>
      <sz val="8"/>
      <color rgb="FF0000FF"/>
      <name val="Arial"/>
      <family val="2"/>
    </font>
    <font>
      <sz val="8"/>
      <color rgb="FFFF0000"/>
      <name val="Arial"/>
      <family val="2"/>
    </font>
    <font>
      <sz val="12"/>
      <color rgb="FF000000"/>
      <name val="Arial"/>
      <family val="2"/>
    </font>
    <font>
      <sz val="11"/>
      <color theme="1"/>
      <name val="Arial"/>
      <family val="2"/>
    </font>
  </fonts>
  <fills count="87">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30"/>
      </patternFill>
    </fill>
    <fill>
      <patternFill patternType="solid">
        <fgColor indexed="11"/>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43"/>
        <bgColor indexed="64"/>
      </patternFill>
    </fill>
    <fill>
      <patternFill patternType="solid">
        <fgColor indexed="55"/>
      </patternFill>
    </fill>
    <fill>
      <patternFill patternType="solid">
        <fgColor indexed="27"/>
        <bgColor indexed="64"/>
      </patternFill>
    </fill>
    <fill>
      <patternFill patternType="solid">
        <fgColor indexed="44"/>
        <bgColor indexed="64"/>
      </patternFill>
    </fill>
    <fill>
      <patternFill patternType="lightGray">
        <fgColor indexed="9"/>
      </patternFill>
    </fill>
    <fill>
      <patternFill patternType="solid">
        <fgColor indexed="49"/>
        <bgColor indexed="64"/>
      </patternFill>
    </fill>
    <fill>
      <patternFill patternType="solid">
        <fgColor indexed="20"/>
        <bgColor indexed="64"/>
      </patternFill>
    </fill>
    <fill>
      <patternFill patternType="solid">
        <fgColor indexed="42"/>
      </patternFill>
    </fill>
    <fill>
      <patternFill patternType="solid">
        <fgColor indexed="22"/>
        <bgColor indexed="9"/>
      </patternFill>
    </fill>
    <fill>
      <patternFill patternType="gray0625">
        <fgColor indexed="9"/>
      </patternFill>
    </fill>
    <fill>
      <patternFill patternType="gray0625">
        <fgColor indexed="9"/>
        <bgColor indexed="9"/>
      </patternFill>
    </fill>
    <fill>
      <patternFill patternType="solid">
        <fgColor indexed="9"/>
        <bgColor indexed="9"/>
      </patternFill>
    </fill>
    <fill>
      <patternFill patternType="solid">
        <fgColor indexed="22"/>
        <bgColor indexed="55"/>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gray125">
        <fgColor indexed="9"/>
        <bgColor indexed="9"/>
      </patternFill>
    </fill>
    <fill>
      <patternFill patternType="lightGray">
        <fgColor indexed="9"/>
        <bgColor indexed="9"/>
      </patternFill>
    </fill>
    <fill>
      <patternFill patternType="lightGray">
        <fgColor indexed="22"/>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indexed="46"/>
        <bgColor indexed="64"/>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57626E"/>
        <bgColor indexed="64"/>
      </patternFill>
    </fill>
    <fill>
      <patternFill patternType="solid">
        <fgColor rgb="FFA2A5AD"/>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FFFF"/>
        <bgColor rgb="FFFFFFFF"/>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thin">
        <color indexed="30"/>
      </top>
      <bottom style="thin">
        <color indexed="30"/>
      </bottom>
      <diagonal/>
    </border>
    <border>
      <left style="thin">
        <color indexed="64"/>
      </left>
      <right style="thin">
        <color indexed="64"/>
      </right>
      <top/>
      <bottom/>
      <diagonal/>
    </border>
    <border>
      <left/>
      <right/>
      <top/>
      <bottom style="thin">
        <color indexed="22"/>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hair">
        <color indexed="8"/>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n">
        <color indexed="64"/>
      </right>
      <top style="thin">
        <color indexed="64"/>
      </top>
      <bottom/>
      <diagonal/>
    </border>
    <border>
      <left style="thick">
        <color indexed="64"/>
      </left>
      <right/>
      <top style="thin">
        <color indexed="64"/>
      </top>
      <bottom/>
      <diagonal/>
    </border>
    <border>
      <left/>
      <right style="thick">
        <color indexed="64"/>
      </right>
      <top/>
      <bottom style="thin">
        <color indexed="64"/>
      </bottom>
      <diagonal/>
    </border>
    <border>
      <left/>
      <right/>
      <top style="thin">
        <color indexed="47"/>
      </top>
      <bottom style="thin">
        <color indexed="47"/>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diagonal/>
    </border>
    <border>
      <left style="thin">
        <color indexed="64"/>
      </left>
      <right style="thick">
        <color indexed="64"/>
      </right>
      <top/>
      <bottom style="thin">
        <color indexed="64"/>
      </bottom>
      <diagonal/>
    </border>
    <border>
      <left style="hair">
        <color indexed="64"/>
      </left>
      <right/>
      <top/>
      <bottom style="thin">
        <color indexed="64"/>
      </bottom>
      <diagonal/>
    </border>
    <border>
      <left style="thick">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33">
    <xf numFmtId="0" fontId="0" fillId="0" borderId="0"/>
    <xf numFmtId="0" fontId="17" fillId="2" borderId="0" applyNumberFormat="0" applyFon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100" fillId="49" borderId="0" applyNumberFormat="0" applyBorder="0" applyAlignment="0" applyProtection="0"/>
    <xf numFmtId="0" fontId="100" fillId="50" borderId="0" applyNumberFormat="0" applyBorder="0" applyAlignment="0" applyProtection="0"/>
    <xf numFmtId="0" fontId="100" fillId="50" borderId="0" applyNumberFormat="0" applyBorder="0" applyAlignment="0" applyProtection="0"/>
    <xf numFmtId="0" fontId="100" fillId="51" borderId="0" applyNumberFormat="0" applyBorder="0" applyAlignment="0" applyProtection="0"/>
    <xf numFmtId="0" fontId="100" fillId="51" borderId="0" applyNumberFormat="0" applyBorder="0" applyAlignment="0" applyProtection="0"/>
    <xf numFmtId="0" fontId="100" fillId="52" borderId="0" applyNumberFormat="0" applyBorder="0" applyAlignment="0" applyProtection="0"/>
    <xf numFmtId="0" fontId="100" fillId="52" borderId="0" applyNumberFormat="0" applyBorder="0" applyAlignment="0" applyProtection="0"/>
    <xf numFmtId="0" fontId="100" fillId="53" borderId="0" applyNumberFormat="0" applyBorder="0" applyAlignment="0" applyProtection="0"/>
    <xf numFmtId="0" fontId="100" fillId="53" borderId="0" applyNumberFormat="0" applyBorder="0" applyAlignment="0" applyProtection="0"/>
    <xf numFmtId="0" fontId="100" fillId="54" borderId="0" applyNumberFormat="0" applyBorder="0" applyAlignment="0" applyProtection="0"/>
    <xf numFmtId="0" fontId="100" fillId="54" borderId="0" applyNumberFormat="0" applyBorder="0" applyAlignment="0" applyProtection="0"/>
    <xf numFmtId="0" fontId="100" fillId="55" borderId="0" applyNumberFormat="0" applyBorder="0" applyAlignment="0" applyProtection="0"/>
    <xf numFmtId="0" fontId="100" fillId="55" borderId="0" applyNumberFormat="0" applyBorder="0" applyAlignment="0" applyProtection="0"/>
    <xf numFmtId="0" fontId="100" fillId="56" borderId="0" applyNumberFormat="0" applyBorder="0" applyAlignment="0" applyProtection="0"/>
    <xf numFmtId="0" fontId="100" fillId="56" borderId="0" applyNumberFormat="0" applyBorder="0" applyAlignment="0" applyProtection="0"/>
    <xf numFmtId="0" fontId="100" fillId="57" borderId="0" applyNumberFormat="0" applyBorder="0" applyAlignment="0" applyProtection="0"/>
    <xf numFmtId="0" fontId="100" fillId="57" borderId="0" applyNumberFormat="0" applyBorder="0" applyAlignment="0" applyProtection="0"/>
    <xf numFmtId="0" fontId="100" fillId="58" borderId="0" applyNumberFormat="0" applyBorder="0" applyAlignment="0" applyProtection="0"/>
    <xf numFmtId="0" fontId="100" fillId="58" borderId="0" applyNumberFormat="0" applyBorder="0" applyAlignment="0" applyProtection="0"/>
    <xf numFmtId="0" fontId="100" fillId="59" borderId="0" applyNumberFormat="0" applyBorder="0" applyAlignment="0" applyProtection="0"/>
    <xf numFmtId="0" fontId="100" fillId="59" borderId="0" applyNumberFormat="0" applyBorder="0" applyAlignment="0" applyProtection="0"/>
    <xf numFmtId="0" fontId="46" fillId="8" borderId="0" applyNumberFormat="0" applyBorder="0" applyAlignment="0" applyProtection="0"/>
    <xf numFmtId="0" fontId="101" fillId="60" borderId="0" applyNumberFormat="0" applyBorder="0" applyAlignment="0" applyProtection="0"/>
    <xf numFmtId="0" fontId="46" fillId="5" borderId="0" applyNumberFormat="0" applyBorder="0" applyAlignment="0" applyProtection="0"/>
    <xf numFmtId="0" fontId="101" fillId="61" borderId="0" applyNumberFormat="0" applyBorder="0" applyAlignment="0" applyProtection="0"/>
    <xf numFmtId="0" fontId="46" fillId="9" borderId="0" applyNumberFormat="0" applyBorder="0" applyAlignment="0" applyProtection="0"/>
    <xf numFmtId="0" fontId="101" fillId="62" borderId="0" applyNumberFormat="0" applyBorder="0" applyAlignment="0" applyProtection="0"/>
    <xf numFmtId="0" fontId="46" fillId="10" borderId="0" applyNumberFormat="0" applyBorder="0" applyAlignment="0" applyProtection="0"/>
    <xf numFmtId="0" fontId="101" fillId="63" borderId="0" applyNumberFormat="0" applyBorder="0" applyAlignment="0" applyProtection="0"/>
    <xf numFmtId="0" fontId="46" fillId="7" borderId="0" applyNumberFormat="0" applyBorder="0" applyAlignment="0" applyProtection="0"/>
    <xf numFmtId="0" fontId="101" fillId="64" borderId="0" applyNumberFormat="0" applyBorder="0" applyAlignment="0" applyProtection="0"/>
    <xf numFmtId="0" fontId="46" fillId="11" borderId="0" applyNumberFormat="0" applyBorder="0" applyAlignment="0" applyProtection="0"/>
    <xf numFmtId="0" fontId="101" fillId="65" borderId="0" applyNumberFormat="0" applyBorder="0" applyAlignment="0" applyProtection="0"/>
    <xf numFmtId="0" fontId="102" fillId="66" borderId="0" applyProtection="0">
      <alignment vertical="center"/>
    </xf>
    <xf numFmtId="0" fontId="47" fillId="67" borderId="0" applyProtection="0">
      <alignment vertical="center"/>
    </xf>
    <xf numFmtId="0" fontId="46" fillId="12" borderId="0" applyNumberFormat="0" applyBorder="0" applyAlignment="0" applyProtection="0"/>
    <xf numFmtId="0" fontId="101" fillId="68" borderId="0" applyNumberFormat="0" applyBorder="0" applyAlignment="0" applyProtection="0"/>
    <xf numFmtId="0" fontId="46" fillId="13" borderId="0" applyNumberFormat="0" applyBorder="0" applyAlignment="0" applyProtection="0"/>
    <xf numFmtId="0" fontId="101" fillId="69" borderId="0" applyNumberFormat="0" applyBorder="0" applyAlignment="0" applyProtection="0"/>
    <xf numFmtId="0" fontId="46" fillId="14" borderId="0" applyNumberFormat="0" applyBorder="0" applyAlignment="0" applyProtection="0"/>
    <xf numFmtId="0" fontId="101" fillId="70" borderId="0" applyNumberFormat="0" applyBorder="0" applyAlignment="0" applyProtection="0"/>
    <xf numFmtId="0" fontId="46" fillId="10" borderId="0" applyNumberFormat="0" applyBorder="0" applyAlignment="0" applyProtection="0"/>
    <xf numFmtId="0" fontId="101" fillId="71" borderId="0" applyNumberFormat="0" applyBorder="0" applyAlignment="0" applyProtection="0"/>
    <xf numFmtId="0" fontId="46" fillId="7" borderId="0" applyNumberFormat="0" applyBorder="0" applyAlignment="0" applyProtection="0"/>
    <xf numFmtId="0" fontId="101" fillId="72" borderId="0" applyNumberFormat="0" applyBorder="0" applyAlignment="0" applyProtection="0"/>
    <xf numFmtId="0" fontId="46" fillId="15" borderId="0" applyNumberFormat="0" applyBorder="0" applyAlignment="0" applyProtection="0"/>
    <xf numFmtId="0" fontId="101" fillId="73" borderId="0" applyNumberFormat="0" applyBorder="0" applyAlignment="0" applyProtection="0"/>
    <xf numFmtId="191" fontId="34" fillId="0" borderId="0" applyBorder="0" applyProtection="0"/>
    <xf numFmtId="0" fontId="48" fillId="16" borderId="0" applyNumberFormat="0" applyBorder="0" applyAlignment="0" applyProtection="0"/>
    <xf numFmtId="0" fontId="103" fillId="74" borderId="0" applyNumberFormat="0" applyBorder="0" applyAlignment="0" applyProtection="0"/>
    <xf numFmtId="195" fontId="49" fillId="0" borderId="0">
      <alignment vertical="center"/>
    </xf>
    <xf numFmtId="196" fontId="49" fillId="0" borderId="0">
      <alignment horizontal="right" vertical="center"/>
    </xf>
    <xf numFmtId="0" fontId="50" fillId="4" borderId="1" applyNumberFormat="0" applyAlignment="0" applyProtection="0"/>
    <xf numFmtId="0" fontId="104" fillId="75" borderId="44" applyNumberFormat="0" applyAlignment="0" applyProtection="0"/>
    <xf numFmtId="0" fontId="17" fillId="17" borderId="0">
      <protection locked="0"/>
    </xf>
    <xf numFmtId="0" fontId="51" fillId="18" borderId="2" applyNumberFormat="0" applyAlignment="0" applyProtection="0"/>
    <xf numFmtId="0" fontId="105" fillId="76" borderId="45" applyNumberFormat="0" applyAlignment="0" applyProtection="0"/>
    <xf numFmtId="49" fontId="17" fillId="19" borderId="3">
      <alignment vertical="top" wrapText="1"/>
    </xf>
    <xf numFmtId="0" fontId="17" fillId="20" borderId="4">
      <alignment horizontal="center" vertical="center"/>
      <protection locked="0"/>
    </xf>
    <xf numFmtId="0" fontId="36" fillId="0" borderId="0">
      <alignment horizontal="center" vertical="center" wrapText="1"/>
    </xf>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81" fontId="26" fillId="0" borderId="0" applyFont="0" applyFill="0" applyBorder="0" applyAlignment="0" applyProtection="0"/>
    <xf numFmtId="197" fontId="100" fillId="0" borderId="0" applyFont="0" applyFill="0" applyBorder="0" applyAlignment="0" applyProtection="0"/>
    <xf numFmtId="185" fontId="106" fillId="0" borderId="0" applyFont="0" applyFill="0" applyBorder="0" applyAlignment="0" applyProtection="0"/>
    <xf numFmtId="197" fontId="17" fillId="0" borderId="0" applyFont="0" applyFill="0" applyBorder="0" applyAlignment="0" applyProtection="0"/>
    <xf numFmtId="197" fontId="100" fillId="0" borderId="0" applyFont="0" applyFill="0" applyBorder="0" applyAlignment="0" applyProtection="0"/>
    <xf numFmtId="197" fontId="100" fillId="0" borderId="0" applyFont="0" applyFill="0" applyBorder="0" applyAlignment="0" applyProtection="0"/>
    <xf numFmtId="197" fontId="100" fillId="0" borderId="0" applyFont="0" applyFill="0" applyBorder="0" applyAlignment="0" applyProtection="0"/>
    <xf numFmtId="197" fontId="10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9" fontId="17" fillId="0" borderId="0">
      <alignment vertical="top" wrapText="1"/>
    </xf>
    <xf numFmtId="0" fontId="37" fillId="0" borderId="0">
      <alignment horizontal="left" vertical="center" wrapText="1"/>
    </xf>
    <xf numFmtId="198" fontId="100" fillId="0" borderId="0" applyFont="0" applyFill="0" applyBorder="0" applyAlignment="0" applyProtection="0"/>
    <xf numFmtId="198" fontId="100" fillId="0" borderId="0" applyFont="0" applyFill="0" applyBorder="0" applyAlignment="0" applyProtection="0"/>
    <xf numFmtId="198" fontId="17" fillId="0" borderId="0" applyFont="0" applyFill="0" applyBorder="0" applyAlignment="0" applyProtection="0"/>
    <xf numFmtId="199" fontId="107" fillId="0" borderId="0" applyFont="0" applyFill="0" applyBorder="0" applyAlignment="0" applyProtection="0"/>
    <xf numFmtId="193" fontId="38" fillId="0" borderId="5" applyNumberFormat="0" applyFill="0">
      <alignment horizontal="right"/>
    </xf>
    <xf numFmtId="193" fontId="52" fillId="0" borderId="5" applyNumberFormat="0" applyFill="0">
      <alignment horizontal="right"/>
    </xf>
    <xf numFmtId="193" fontId="52" fillId="0" borderId="5" applyNumberFormat="0" applyFill="0">
      <alignment horizontal="right"/>
    </xf>
    <xf numFmtId="193" fontId="38" fillId="0" borderId="5" applyNumberFormat="0" applyFill="0">
      <alignment horizontal="right"/>
    </xf>
    <xf numFmtId="194" fontId="39" fillId="0" borderId="5">
      <alignment horizontal="right" vertical="center"/>
    </xf>
    <xf numFmtId="194" fontId="39" fillId="0" borderId="5">
      <alignment horizontal="right" vertical="center"/>
    </xf>
    <xf numFmtId="49" fontId="40" fillId="0" borderId="5">
      <alignment horizontal="left" vertical="center"/>
    </xf>
    <xf numFmtId="49" fontId="40" fillId="0" borderId="5">
      <alignment horizontal="left" vertical="center"/>
    </xf>
    <xf numFmtId="193" fontId="38" fillId="0" borderId="5" applyNumberFormat="0" applyFill="0">
      <alignment horizontal="right"/>
    </xf>
    <xf numFmtId="202" fontId="32" fillId="21" borderId="0" applyNumberFormat="0" applyBorder="0">
      <protection locked="0"/>
    </xf>
    <xf numFmtId="3" fontId="81" fillId="0" borderId="3">
      <alignment horizontal="right" vertical="top"/>
    </xf>
    <xf numFmtId="165" fontId="81" fillId="0" borderId="6"/>
    <xf numFmtId="165" fontId="82" fillId="0" borderId="6"/>
    <xf numFmtId="0" fontId="18" fillId="22" borderId="7">
      <alignment horizontal="centerContinuous" vertical="top" wrapText="1"/>
    </xf>
    <xf numFmtId="0" fontId="83" fillId="0" borderId="0">
      <alignment horizontal="left" vertical="top"/>
    </xf>
    <xf numFmtId="200" fontId="53" fillId="0" borderId="0" applyFont="0" applyFill="0" applyBorder="0" applyAlignment="0" applyProtection="0"/>
    <xf numFmtId="0" fontId="54" fillId="0" borderId="0" applyNumberFormat="0" applyFill="0" applyBorder="0" applyAlignment="0" applyProtection="0"/>
    <xf numFmtId="201" fontId="107" fillId="0" borderId="0" applyBorder="0" applyProtection="0"/>
    <xf numFmtId="0" fontId="108" fillId="0" borderId="0" applyNumberFormat="0" applyFill="0" applyBorder="0" applyAlignment="0" applyProtection="0"/>
    <xf numFmtId="2" fontId="55" fillId="0" borderId="0" applyFill="0" applyBorder="0" applyAlignment="0" applyProtection="0"/>
    <xf numFmtId="0" fontId="17" fillId="23" borderId="0">
      <protection locked="0"/>
    </xf>
    <xf numFmtId="0" fontId="18" fillId="20" borderId="0">
      <alignment vertical="center"/>
      <protection locked="0"/>
    </xf>
    <xf numFmtId="0" fontId="56" fillId="0" borderId="0" applyNumberFormat="0" applyFill="0" applyBorder="0" applyAlignment="0" applyProtection="0">
      <alignment vertical="top"/>
      <protection locked="0"/>
    </xf>
    <xf numFmtId="0" fontId="18" fillId="0" borderId="0">
      <protection locked="0"/>
    </xf>
    <xf numFmtId="0" fontId="57" fillId="24" borderId="0" applyNumberFormat="0" applyBorder="0" applyAlignment="0" applyProtection="0"/>
    <xf numFmtId="0" fontId="109" fillId="77" borderId="0" applyNumberFormat="0" applyBorder="0" applyAlignment="0" applyProtection="0"/>
    <xf numFmtId="174" fontId="7" fillId="0" borderId="0">
      <alignment horizontal="left" vertical="center"/>
    </xf>
    <xf numFmtId="0" fontId="58" fillId="0" borderId="8" applyNumberFormat="0" applyFill="0" applyAlignment="0" applyProtection="0"/>
    <xf numFmtId="0" fontId="110" fillId="0" borderId="46" applyNumberFormat="0" applyFill="0" applyAlignment="0" applyProtection="0"/>
    <xf numFmtId="0" fontId="59" fillId="0" borderId="9" applyNumberFormat="0" applyFill="0" applyAlignment="0" applyProtection="0"/>
    <xf numFmtId="0" fontId="111" fillId="0" borderId="47" applyNumberFormat="0" applyFill="0" applyAlignment="0" applyProtection="0"/>
    <xf numFmtId="0" fontId="60" fillId="0" borderId="10" applyNumberFormat="0" applyFill="0" applyAlignment="0" applyProtection="0"/>
    <xf numFmtId="0" fontId="112" fillId="0" borderId="48" applyNumberFormat="0" applyFill="0" applyAlignment="0" applyProtection="0"/>
    <xf numFmtId="0" fontId="60" fillId="0" borderId="0" applyNumberFormat="0" applyFill="0" applyBorder="0" applyAlignment="0" applyProtection="0"/>
    <xf numFmtId="0" fontId="112" fillId="0" borderId="0" applyNumberFormat="0" applyFill="0" applyBorder="0" applyAlignment="0" applyProtection="0"/>
    <xf numFmtId="0" fontId="113" fillId="0" borderId="0" applyBorder="0" applyProtection="0">
      <alignment horizontal="left"/>
    </xf>
    <xf numFmtId="0" fontId="41" fillId="0" borderId="5">
      <alignment horizontal="left"/>
    </xf>
    <xf numFmtId="0" fontId="61" fillId="0" borderId="5">
      <alignment horizontal="left"/>
    </xf>
    <xf numFmtId="0" fontId="61" fillId="0" borderId="5">
      <alignment horizontal="left"/>
    </xf>
    <xf numFmtId="0" fontId="41" fillId="0" borderId="5">
      <alignment horizontal="left"/>
    </xf>
    <xf numFmtId="0" fontId="42" fillId="0" borderId="11">
      <alignment horizontal="right" vertical="center"/>
    </xf>
    <xf numFmtId="0" fontId="43" fillId="0" borderId="5">
      <alignment horizontal="left" vertical="center"/>
    </xf>
    <xf numFmtId="0" fontId="43" fillId="0" borderId="5">
      <alignment horizontal="left" vertical="center"/>
    </xf>
    <xf numFmtId="0" fontId="38" fillId="0" borderId="5">
      <alignment horizontal="left" vertical="center"/>
    </xf>
    <xf numFmtId="0" fontId="38" fillId="0" borderId="5">
      <alignment horizontal="left" vertical="center"/>
    </xf>
    <xf numFmtId="0" fontId="41" fillId="0" borderId="5">
      <alignment horizontal="left"/>
    </xf>
    <xf numFmtId="0" fontId="41" fillId="25" borderId="0">
      <alignment horizontal="centerContinuous" wrapText="1"/>
    </xf>
    <xf numFmtId="49" fontId="41" fillId="25" borderId="12">
      <alignment horizontal="left" vertical="center"/>
    </xf>
    <xf numFmtId="49" fontId="41" fillId="25" borderId="12">
      <alignment horizontal="left" vertical="center"/>
    </xf>
    <xf numFmtId="0" fontId="41" fillId="25" borderId="0">
      <alignment horizontal="centerContinuous" vertical="center" wrapText="1"/>
    </xf>
    <xf numFmtId="0" fontId="62"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114" fillId="0" borderId="0" applyFill="0" applyBorder="0" applyAlignment="0" applyProtection="0"/>
    <xf numFmtId="0" fontId="115" fillId="0" borderId="0" applyFill="0" applyBorder="0" applyAlignment="0" applyProtection="0"/>
    <xf numFmtId="0" fontId="116" fillId="0" borderId="0" applyBorder="0" applyProtection="0"/>
    <xf numFmtId="202" fontId="84" fillId="26" borderId="0" applyNumberFormat="0" applyBorder="0">
      <alignment horizontal="left"/>
      <protection locked="0"/>
    </xf>
    <xf numFmtId="0" fontId="65" fillId="2" borderId="1" applyNumberFormat="0" applyAlignment="0" applyProtection="0"/>
    <xf numFmtId="0" fontId="117" fillId="78" borderId="44" applyNumberFormat="0" applyAlignment="0" applyProtection="0"/>
    <xf numFmtId="202" fontId="32" fillId="27" borderId="0" applyNumberFormat="0" applyBorder="0">
      <alignment horizontal="right"/>
      <protection locked="0"/>
    </xf>
    <xf numFmtId="202" fontId="118" fillId="79" borderId="0" applyNumberFormat="0" applyBorder="0">
      <alignment horizontal="right"/>
      <protection locked="0"/>
    </xf>
    <xf numFmtId="0" fontId="85" fillId="0" borderId="0"/>
    <xf numFmtId="0" fontId="66" fillId="0" borderId="13" applyNumberFormat="0" applyFill="0" applyAlignment="0" applyProtection="0"/>
    <xf numFmtId="0" fontId="119" fillId="0" borderId="49" applyNumberFormat="0" applyFill="0" applyAlignment="0" applyProtection="0"/>
    <xf numFmtId="202" fontId="86" fillId="27" borderId="0" applyNumberFormat="0" applyBorder="0">
      <alignment horizontal="right"/>
      <protection locked="0"/>
    </xf>
    <xf numFmtId="202" fontId="87" fillId="27" borderId="0" applyNumberFormat="0" applyBorder="0">
      <alignment horizontal="right"/>
      <protection locked="0"/>
    </xf>
    <xf numFmtId="0" fontId="67" fillId="6" borderId="0" applyNumberFormat="0" applyBorder="0" applyAlignment="0" applyProtection="0"/>
    <xf numFmtId="0" fontId="120" fillId="80" borderId="0" applyNumberFormat="0" applyBorder="0" applyAlignment="0" applyProtection="0"/>
    <xf numFmtId="0" fontId="121" fillId="0" borderId="0" applyNumberFormat="0" applyBorder="0" applyAlignment="0"/>
    <xf numFmtId="0" fontId="14" fillId="0" borderId="0"/>
    <xf numFmtId="0" fontId="100" fillId="0" borderId="0"/>
    <xf numFmtId="0" fontId="14" fillId="0" borderId="0"/>
    <xf numFmtId="0" fontId="107" fillId="0" borderId="0"/>
    <xf numFmtId="0" fontId="122" fillId="0" borderId="0"/>
    <xf numFmtId="0" fontId="100" fillId="0" borderId="0"/>
    <xf numFmtId="0" fontId="100" fillId="0" borderId="0"/>
    <xf numFmtId="0" fontId="99" fillId="0" borderId="0"/>
    <xf numFmtId="0" fontId="14" fillId="0" borderId="0"/>
    <xf numFmtId="0" fontId="17" fillId="0" borderId="0"/>
    <xf numFmtId="0" fontId="14" fillId="0" borderId="0"/>
    <xf numFmtId="0" fontId="68" fillId="0" borderId="0"/>
    <xf numFmtId="0" fontId="123" fillId="0" borderId="0" applyBorder="0" applyProtection="0"/>
    <xf numFmtId="0" fontId="17" fillId="0" borderId="0">
      <alignment vertical="top" wrapText="1"/>
    </xf>
    <xf numFmtId="0" fontId="14" fillId="0" borderId="0"/>
    <xf numFmtId="0" fontId="14" fillId="0" borderId="0"/>
    <xf numFmtId="0" fontId="17"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7" fillId="0" borderId="0"/>
    <xf numFmtId="0" fontId="123" fillId="0" borderId="0" applyBorder="0" applyProtection="0"/>
    <xf numFmtId="0" fontId="17" fillId="0" borderId="0"/>
    <xf numFmtId="0" fontId="17" fillId="0" borderId="0"/>
    <xf numFmtId="0" fontId="25"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26" fillId="0" borderId="0"/>
    <xf numFmtId="0" fontId="100" fillId="0" borderId="0"/>
    <xf numFmtId="0" fontId="100" fillId="0" borderId="0"/>
    <xf numFmtId="0" fontId="100" fillId="0" borderId="0"/>
    <xf numFmtId="0" fontId="17" fillId="0" borderId="0"/>
    <xf numFmtId="0" fontId="14" fillId="0" borderId="0"/>
    <xf numFmtId="0" fontId="17" fillId="0" borderId="0"/>
    <xf numFmtId="0" fontId="17" fillId="0" borderId="0"/>
    <xf numFmtId="0" fontId="17" fillId="0" borderId="0">
      <alignment wrapText="1"/>
    </xf>
    <xf numFmtId="0" fontId="100" fillId="0" borderId="0"/>
    <xf numFmtId="0" fontId="100" fillId="0" borderId="0"/>
    <xf numFmtId="0" fontId="100" fillId="0" borderId="0"/>
    <xf numFmtId="0" fontId="100" fillId="0" borderId="0"/>
    <xf numFmtId="0" fontId="17" fillId="0" borderId="0"/>
    <xf numFmtId="0" fontId="14" fillId="0" borderId="0"/>
    <xf numFmtId="0" fontId="100" fillId="0" borderId="0"/>
    <xf numFmtId="0" fontId="100" fillId="0" borderId="0"/>
    <xf numFmtId="0" fontId="17" fillId="0" borderId="0"/>
    <xf numFmtId="0" fontId="106" fillId="0" borderId="0"/>
    <xf numFmtId="0" fontId="17" fillId="0" borderId="0"/>
    <xf numFmtId="0" fontId="100" fillId="0" borderId="0"/>
    <xf numFmtId="0" fontId="100" fillId="0" borderId="0"/>
    <xf numFmtId="220" fontId="124" fillId="0" borderId="0" applyBorder="0" applyProtection="0"/>
    <xf numFmtId="0" fontId="17" fillId="0" borderId="0"/>
    <xf numFmtId="0" fontId="17" fillId="0" borderId="0"/>
    <xf numFmtId="0" fontId="17" fillId="0" borderId="0"/>
    <xf numFmtId="0" fontId="100" fillId="81" borderId="50" applyNumberFormat="0" applyFont="0" applyAlignment="0" applyProtection="0"/>
    <xf numFmtId="0" fontId="17" fillId="3" borderId="14" applyNumberFormat="0" applyFont="0" applyAlignment="0" applyProtection="0"/>
    <xf numFmtId="0" fontId="100" fillId="81" borderId="50" applyNumberFormat="0" applyFont="0" applyAlignment="0" applyProtection="0"/>
    <xf numFmtId="0" fontId="100" fillId="81" borderId="50" applyNumberFormat="0" applyFont="0" applyAlignment="0" applyProtection="0"/>
    <xf numFmtId="0" fontId="23" fillId="0" borderId="0"/>
    <xf numFmtId="203" fontId="88" fillId="0" borderId="0">
      <alignment horizontal="right"/>
    </xf>
    <xf numFmtId="224" fontId="125" fillId="0" borderId="0" applyFill="0" applyBorder="0" applyProtection="0">
      <alignment horizontal="right"/>
    </xf>
    <xf numFmtId="0" fontId="69" fillId="4" borderId="15" applyNumberFormat="0" applyAlignment="0" applyProtection="0"/>
    <xf numFmtId="0" fontId="126" fillId="75" borderId="51" applyNumberFormat="0" applyAlignment="0" applyProtection="0"/>
    <xf numFmtId="9" fontId="1" fillId="0" borderId="0" applyFont="0" applyFill="0" applyBorder="0" applyAlignment="0" applyProtection="0"/>
    <xf numFmtId="9" fontId="17"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5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0" fillId="0" borderId="0" applyFont="0" applyFill="0" applyBorder="0" applyAlignment="0" applyProtection="0"/>
    <xf numFmtId="9" fontId="127" fillId="0" borderId="0" applyFont="0" applyFill="0" applyBorder="0" applyAlignment="0" applyProtection="0"/>
    <xf numFmtId="9" fontId="100"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174" fontId="53" fillId="0" borderId="0" applyFill="0" applyBorder="0" applyAlignment="0" applyProtection="0"/>
    <xf numFmtId="192" fontId="35" fillId="0" borderId="0" applyFill="0" applyAlignment="0" applyProtection="0"/>
    <xf numFmtId="0" fontId="17" fillId="0" borderId="0"/>
    <xf numFmtId="0" fontId="118" fillId="0" borderId="0" applyBorder="0" applyProtection="0"/>
    <xf numFmtId="3" fontId="39" fillId="0" borderId="0">
      <alignment horizontal="left" vertical="center"/>
    </xf>
    <xf numFmtId="0" fontId="89" fillId="0" borderId="0" applyNumberFormat="0" applyFill="0" applyBorder="0" applyAlignment="0" applyProtection="0"/>
    <xf numFmtId="0" fontId="36" fillId="0" borderId="0">
      <alignment horizontal="left" vertical="center"/>
    </xf>
    <xf numFmtId="0" fontId="118" fillId="0" borderId="0" applyBorder="0" applyProtection="0"/>
    <xf numFmtId="0" fontId="17" fillId="20" borderId="16">
      <alignment vertical="center"/>
      <protection locked="0"/>
    </xf>
    <xf numFmtId="0" fontId="70" fillId="0" borderId="0"/>
    <xf numFmtId="0" fontId="128" fillId="0" borderId="0" applyBorder="0" applyProtection="0"/>
    <xf numFmtId="0" fontId="44" fillId="0" borderId="0">
      <alignment horizontal="right"/>
    </xf>
    <xf numFmtId="49" fontId="44" fillId="0" borderId="0">
      <alignment horizontal="center"/>
    </xf>
    <xf numFmtId="0" fontId="40" fillId="0" borderId="0">
      <alignment horizontal="right"/>
    </xf>
    <xf numFmtId="0" fontId="71" fillId="0" borderId="0">
      <alignment horizontal="right"/>
    </xf>
    <xf numFmtId="0" fontId="44" fillId="0" borderId="0">
      <alignment horizontal="left"/>
    </xf>
    <xf numFmtId="0" fontId="72" fillId="0" borderId="0">
      <alignment horizontal="left"/>
    </xf>
    <xf numFmtId="0" fontId="17" fillId="0" borderId="0"/>
    <xf numFmtId="0" fontId="17" fillId="0" borderId="0"/>
    <xf numFmtId="0" fontId="17" fillId="0" borderId="0"/>
    <xf numFmtId="0" fontId="17" fillId="0" borderId="0"/>
    <xf numFmtId="0" fontId="73" fillId="0" borderId="0"/>
    <xf numFmtId="0" fontId="2" fillId="0" borderId="0"/>
    <xf numFmtId="49" fontId="39" fillId="0" borderId="0">
      <alignment horizontal="left" vertical="center"/>
    </xf>
    <xf numFmtId="49" fontId="40" fillId="0" borderId="5">
      <alignment horizontal="left"/>
    </xf>
    <xf numFmtId="49" fontId="40" fillId="0" borderId="5">
      <alignment horizontal="left"/>
    </xf>
    <xf numFmtId="193" fontId="39" fillId="0" borderId="0" applyNumberFormat="0">
      <alignment horizontal="right"/>
    </xf>
    <xf numFmtId="0" fontId="42" fillId="29" borderId="0">
      <alignment horizontal="centerContinuous" vertical="center" wrapText="1"/>
    </xf>
    <xf numFmtId="0" fontId="42" fillId="0" borderId="17">
      <alignment horizontal="left" vertical="center"/>
    </xf>
    <xf numFmtId="0" fontId="45" fillId="0" borderId="0">
      <alignment horizontal="left" vertical="top"/>
    </xf>
    <xf numFmtId="165" fontId="74" fillId="30" borderId="18">
      <alignment vertical="center"/>
    </xf>
    <xf numFmtId="176" fontId="75" fillId="30" borderId="18">
      <alignment vertical="center"/>
    </xf>
    <xf numFmtId="165" fontId="76" fillId="31" borderId="18">
      <alignment vertical="center"/>
    </xf>
    <xf numFmtId="0" fontId="17" fillId="32" borderId="19" applyBorder="0">
      <alignment horizontal="left" vertical="center"/>
    </xf>
    <xf numFmtId="49" fontId="17" fillId="33" borderId="7">
      <alignment vertical="center" wrapText="1"/>
    </xf>
    <xf numFmtId="0" fontId="17" fillId="34" borderId="20">
      <alignment horizontal="left" vertical="center" wrapText="1"/>
    </xf>
    <xf numFmtId="0" fontId="23" fillId="35" borderId="7">
      <alignment horizontal="left" vertical="center" wrapText="1"/>
    </xf>
    <xf numFmtId="0" fontId="17" fillId="36" borderId="7">
      <alignment horizontal="left" vertical="center" wrapText="1"/>
    </xf>
    <xf numFmtId="0" fontId="17" fillId="37" borderId="7">
      <alignment horizontal="left" vertical="center" wrapText="1"/>
    </xf>
    <xf numFmtId="0" fontId="17" fillId="17" borderId="0">
      <protection locked="0"/>
    </xf>
    <xf numFmtId="0" fontId="129" fillId="0" borderId="0" applyNumberFormat="0" applyFill="0" applyBorder="0" applyAlignment="0" applyProtection="0"/>
    <xf numFmtId="0" fontId="77" fillId="0" borderId="0" applyNumberFormat="0" applyFill="0" applyBorder="0" applyAlignment="0" applyProtection="0"/>
    <xf numFmtId="0" fontId="130" fillId="0" borderId="0" applyNumberFormat="0" applyFill="0" applyBorder="0" applyAlignment="0" applyProtection="0"/>
    <xf numFmtId="0" fontId="41" fillId="0" borderId="0">
      <alignment horizontal="left"/>
    </xf>
    <xf numFmtId="0" fontId="37" fillId="0" borderId="0">
      <alignment horizontal="left"/>
    </xf>
    <xf numFmtId="0" fontId="38" fillId="0" borderId="0">
      <alignment horizontal="left"/>
    </xf>
    <xf numFmtId="0" fontId="45" fillId="0" borderId="0">
      <alignment horizontal="left" vertical="top"/>
    </xf>
    <xf numFmtId="0" fontId="37" fillId="0" borderId="0">
      <alignment horizontal="left"/>
    </xf>
    <xf numFmtId="0" fontId="38" fillId="0" borderId="0">
      <alignment horizontal="left"/>
    </xf>
    <xf numFmtId="202" fontId="90" fillId="38" borderId="0" applyNumberFormat="0" applyBorder="0">
      <alignment horizontal="center"/>
      <protection locked="0"/>
    </xf>
    <xf numFmtId="202" fontId="5" fillId="27" borderId="0" applyNumberFormat="0" applyBorder="0">
      <alignment horizontal="left"/>
      <protection locked="0"/>
    </xf>
    <xf numFmtId="202" fontId="118" fillId="79" borderId="0" applyNumberFormat="0" applyBorder="0">
      <alignment horizontal="left"/>
      <protection locked="0"/>
    </xf>
    <xf numFmtId="202" fontId="33" fillId="21" borderId="0" applyNumberFormat="0" applyBorder="0">
      <alignment horizontal="center"/>
      <protection locked="0"/>
    </xf>
    <xf numFmtId="202" fontId="33" fillId="27" borderId="0" applyNumberFormat="0" applyBorder="0">
      <alignment horizontal="left"/>
      <protection locked="0"/>
    </xf>
    <xf numFmtId="0" fontId="9" fillId="21" borderId="0" applyNumberFormat="0" applyBorder="0">
      <protection locked="0"/>
    </xf>
    <xf numFmtId="202" fontId="9" fillId="21" borderId="0" applyNumberFormat="0" applyBorder="0">
      <protection locked="0"/>
    </xf>
    <xf numFmtId="202" fontId="5" fillId="28" borderId="0" applyNumberFormat="0" applyBorder="0">
      <alignment horizontal="left"/>
      <protection locked="0"/>
    </xf>
    <xf numFmtId="202" fontId="118" fillId="79" borderId="0" applyNumberFormat="0" applyBorder="0">
      <alignment horizontal="left"/>
      <protection locked="0"/>
    </xf>
    <xf numFmtId="202" fontId="91" fillId="21" borderId="0" applyNumberFormat="0" applyBorder="0">
      <protection locked="0"/>
    </xf>
    <xf numFmtId="0" fontId="78" fillId="0" borderId="21" applyNumberFormat="0" applyFill="0" applyAlignment="0" applyProtection="0"/>
    <xf numFmtId="202" fontId="5" fillId="39" borderId="0" applyNumberFormat="0" applyBorder="0">
      <protection locked="0"/>
    </xf>
    <xf numFmtId="202" fontId="5" fillId="39" borderId="0" applyNumberFormat="0" applyBorder="0">
      <protection locked="0"/>
    </xf>
    <xf numFmtId="0" fontId="131" fillId="0" borderId="52" applyNumberFormat="0" applyFill="0" applyAlignment="0" applyProtection="0"/>
    <xf numFmtId="0" fontId="5" fillId="26" borderId="0" applyNumberFormat="0" applyBorder="0">
      <protection locked="0"/>
    </xf>
    <xf numFmtId="202" fontId="92" fillId="40" borderId="0" applyNumberFormat="0" applyBorder="0">
      <protection locked="0"/>
    </xf>
    <xf numFmtId="202" fontId="93" fillId="40" borderId="0" applyNumberFormat="0" applyBorder="0">
      <protection locked="0"/>
    </xf>
    <xf numFmtId="202" fontId="5" fillId="27" borderId="0" applyNumberFormat="0" applyBorder="0">
      <protection locked="0"/>
    </xf>
    <xf numFmtId="202" fontId="5" fillId="27" borderId="0" applyNumberFormat="0" applyBorder="0">
      <protection locked="0"/>
    </xf>
    <xf numFmtId="202" fontId="5" fillId="27" borderId="0" applyNumberFormat="0" applyBorder="0">
      <protection locked="0"/>
    </xf>
    <xf numFmtId="202" fontId="5" fillId="26" borderId="0" applyNumberFormat="0" applyBorder="0">
      <protection locked="0"/>
    </xf>
    <xf numFmtId="202" fontId="94" fillId="41" borderId="0" applyNumberFormat="0" applyBorder="0">
      <protection locked="0"/>
    </xf>
    <xf numFmtId="204" fontId="17" fillId="0" borderId="0" applyFont="0" applyFill="0" applyBorder="0" applyAlignment="0" applyProtection="0"/>
    <xf numFmtId="38" fontId="25" fillId="0" borderId="0" applyFont="0" applyFill="0" applyBorder="0" applyAlignment="0" applyProtection="0"/>
    <xf numFmtId="40" fontId="25" fillId="0" borderId="0" applyFont="0" applyFill="0" applyBorder="0" applyAlignment="0" applyProtection="0"/>
    <xf numFmtId="0" fontId="79" fillId="0" borderId="0" applyNumberFormat="0" applyFill="0" applyBorder="0" applyAlignment="0" applyProtection="0"/>
    <xf numFmtId="0" fontId="132" fillId="0" borderId="0" applyNumberFormat="0" applyFill="0" applyBorder="0" applyAlignment="0" applyProtection="0"/>
    <xf numFmtId="49" fontId="39" fillId="0" borderId="5">
      <alignment horizontal="left"/>
    </xf>
    <xf numFmtId="49" fontId="39" fillId="0" borderId="5">
      <alignment horizontal="left"/>
    </xf>
    <xf numFmtId="0" fontId="42" fillId="0" borderId="11">
      <alignment horizontal="left"/>
    </xf>
    <xf numFmtId="0" fontId="41" fillId="0" borderId="0">
      <alignment horizontal="left" vertical="center"/>
    </xf>
    <xf numFmtId="49" fontId="44" fillId="0" borderId="5">
      <alignment horizontal="left"/>
    </xf>
  </cellStyleXfs>
  <cellXfs count="1188">
    <xf numFmtId="0" fontId="0" fillId="0" borderId="0" xfId="0"/>
    <xf numFmtId="0" fontId="10" fillId="0" borderId="0" xfId="0" applyFont="1" applyFill="1" applyBorder="1"/>
    <xf numFmtId="0" fontId="11" fillId="0" borderId="0" xfId="0" applyFont="1" applyFill="1"/>
    <xf numFmtId="0" fontId="10" fillId="0" borderId="0" xfId="0" applyFont="1" applyFill="1"/>
    <xf numFmtId="0" fontId="11" fillId="0" borderId="0" xfId="0" applyFont="1" applyFill="1" applyAlignment="1">
      <alignment horizontal="left"/>
    </xf>
    <xf numFmtId="0" fontId="10" fillId="0" borderId="12" xfId="0" applyFont="1" applyFill="1" applyBorder="1"/>
    <xf numFmtId="0" fontId="11" fillId="0" borderId="12" xfId="0" applyFont="1" applyFill="1" applyBorder="1"/>
    <xf numFmtId="0" fontId="11" fillId="42" borderId="0" xfId="0" applyFont="1" applyFill="1"/>
    <xf numFmtId="0" fontId="11" fillId="0" borderId="0" xfId="0" applyFont="1" applyFill="1" applyAlignment="1">
      <alignment textRotation="90" wrapText="1"/>
    </xf>
    <xf numFmtId="0" fontId="11" fillId="0" borderId="0" xfId="0" applyFont="1" applyFill="1" applyAlignment="1">
      <alignment vertical="top" textRotation="90" wrapText="1"/>
    </xf>
    <xf numFmtId="0" fontId="10" fillId="0" borderId="0" xfId="0" applyFont="1" applyFill="1" applyAlignment="1">
      <alignment horizontal="center" textRotation="90" wrapText="1"/>
    </xf>
    <xf numFmtId="0" fontId="10" fillId="0" borderId="0" xfId="0" applyFont="1" applyFill="1" applyAlignment="1">
      <alignment textRotation="90" wrapText="1"/>
    </xf>
    <xf numFmtId="0" fontId="10" fillId="0" borderId="0" xfId="0" applyFont="1" applyFill="1" applyAlignment="1">
      <alignment horizontal="center"/>
    </xf>
    <xf numFmtId="0" fontId="11" fillId="0" borderId="0" xfId="0" applyFont="1" applyFill="1" applyAlignment="1">
      <alignment horizontal="center"/>
    </xf>
    <xf numFmtId="0" fontId="11" fillId="0" borderId="0" xfId="0" applyFont="1" applyFill="1" applyBorder="1"/>
    <xf numFmtId="0" fontId="11" fillId="0" borderId="0" xfId="0" applyFont="1" applyFill="1" applyBorder="1" applyAlignment="1">
      <alignment horizontal="left"/>
    </xf>
    <xf numFmtId="1" fontId="11" fillId="0" borderId="0" xfId="0" quotePrefix="1" applyNumberFormat="1" applyFont="1" applyFill="1" applyBorder="1"/>
    <xf numFmtId="2" fontId="11" fillId="0" borderId="0" xfId="0" applyNumberFormat="1" applyFont="1" applyFill="1" applyBorder="1"/>
    <xf numFmtId="2" fontId="11" fillId="0" borderId="0" xfId="0" applyNumberFormat="1" applyFont="1" applyFill="1" applyBorder="1" applyAlignment="1">
      <alignment vertical="center"/>
    </xf>
    <xf numFmtId="4" fontId="11" fillId="0" borderId="0" xfId="0" applyNumberFormat="1" applyFont="1" applyFill="1" applyBorder="1"/>
    <xf numFmtId="165" fontId="11" fillId="0" borderId="0" xfId="0" applyNumberFormat="1" applyFont="1" applyFill="1" applyBorder="1"/>
    <xf numFmtId="0" fontId="11" fillId="0" borderId="0" xfId="0" quotePrefix="1" applyFont="1" applyFill="1" applyBorder="1"/>
    <xf numFmtId="164" fontId="11" fillId="0" borderId="0" xfId="0" applyNumberFormat="1" applyFont="1" applyFill="1" applyBorder="1"/>
    <xf numFmtId="165" fontId="11" fillId="0" borderId="0" xfId="0" applyNumberFormat="1" applyFont="1" applyFill="1" applyBorder="1" applyAlignment="1">
      <alignment horizontal="right" vertical="center"/>
    </xf>
    <xf numFmtId="1" fontId="11" fillId="0" borderId="0" xfId="0" applyNumberFormat="1" applyFont="1" applyFill="1" applyBorder="1"/>
    <xf numFmtId="3" fontId="11" fillId="0" borderId="0" xfId="0" applyNumberFormat="1" applyFont="1" applyFill="1" applyBorder="1"/>
    <xf numFmtId="1" fontId="11" fillId="0" borderId="0" xfId="0" applyNumberFormat="1" applyFont="1" applyFill="1" applyBorder="1" applyAlignment="1">
      <alignment horizontal="right"/>
    </xf>
    <xf numFmtId="172" fontId="11" fillId="0" borderId="0" xfId="0" applyNumberFormat="1" applyFont="1" applyFill="1" applyBorder="1"/>
    <xf numFmtId="3" fontId="11" fillId="0" borderId="0" xfId="0" applyNumberFormat="1" applyFont="1" applyFill="1"/>
    <xf numFmtId="3" fontId="12" fillId="0" borderId="0" xfId="0" applyNumberFormat="1" applyFont="1" applyFill="1" applyBorder="1"/>
    <xf numFmtId="3" fontId="11" fillId="0" borderId="0" xfId="0" quotePrefix="1" applyNumberFormat="1" applyFont="1" applyFill="1" applyAlignment="1">
      <alignment horizontal="right"/>
    </xf>
    <xf numFmtId="0" fontId="11" fillId="0" borderId="0" xfId="0" applyFont="1" applyFill="1" applyBorder="1" applyAlignment="1">
      <alignment horizontal="right"/>
    </xf>
    <xf numFmtId="0" fontId="10" fillId="0" borderId="0" xfId="0" applyFont="1" applyFill="1" applyBorder="1" applyAlignment="1">
      <alignment horizontal="left"/>
    </xf>
    <xf numFmtId="0" fontId="10" fillId="0" borderId="12" xfId="0" applyFont="1" applyFill="1" applyBorder="1" applyAlignment="1">
      <alignment horizontal="center"/>
    </xf>
    <xf numFmtId="0" fontId="10" fillId="0" borderId="12" xfId="0" applyFont="1" applyFill="1" applyBorder="1" applyAlignment="1">
      <alignment horizontal="right"/>
    </xf>
    <xf numFmtId="0" fontId="0" fillId="0" borderId="0" xfId="0" applyFill="1"/>
    <xf numFmtId="3" fontId="11" fillId="0" borderId="0" xfId="0" applyNumberFormat="1" applyFont="1" applyFill="1" applyBorder="1" applyAlignment="1">
      <alignment horizontal="right"/>
    </xf>
    <xf numFmtId="0" fontId="12" fillId="0" borderId="0" xfId="0" applyFont="1" applyFill="1" applyBorder="1" applyAlignment="1">
      <alignment horizontal="left"/>
    </xf>
    <xf numFmtId="0" fontId="12" fillId="0" borderId="0" xfId="0" applyFont="1" applyFill="1" applyBorder="1"/>
    <xf numFmtId="0" fontId="11" fillId="42" borderId="0" xfId="0" applyFont="1" applyFill="1" applyAlignment="1">
      <alignment horizontal="left" textRotation="90" wrapText="1"/>
    </xf>
    <xf numFmtId="0" fontId="10" fillId="42" borderId="12" xfId="0" applyFont="1" applyFill="1" applyBorder="1" applyAlignment="1">
      <alignment horizontal="center"/>
    </xf>
    <xf numFmtId="0" fontId="11" fillId="42" borderId="0" xfId="0" applyFont="1" applyFill="1" applyAlignment="1">
      <alignment horizontal="center"/>
    </xf>
    <xf numFmtId="0" fontId="11" fillId="42" borderId="0" xfId="0" applyFont="1" applyFill="1" applyBorder="1"/>
    <xf numFmtId="0" fontId="11" fillId="42" borderId="0" xfId="0" quotePrefix="1" applyFont="1" applyFill="1" applyBorder="1"/>
    <xf numFmtId="0" fontId="11" fillId="42" borderId="0" xfId="0" applyFont="1" applyFill="1" applyBorder="1" applyAlignment="1">
      <alignment horizontal="left"/>
    </xf>
    <xf numFmtId="0" fontId="10" fillId="42" borderId="0" xfId="0" applyFont="1" applyFill="1" applyAlignment="1">
      <alignment textRotation="90" wrapText="1"/>
    </xf>
    <xf numFmtId="0" fontId="10" fillId="42" borderId="12" xfId="0" applyFont="1" applyFill="1" applyBorder="1" applyAlignment="1">
      <alignment horizontal="right"/>
    </xf>
    <xf numFmtId="2" fontId="11" fillId="42" borderId="0" xfId="0" applyNumberFormat="1" applyFont="1" applyFill="1" applyBorder="1" applyAlignment="1">
      <alignment vertical="center"/>
    </xf>
    <xf numFmtId="165" fontId="11" fillId="42" borderId="0" xfId="0" applyNumberFormat="1" applyFont="1" applyFill="1" applyBorder="1" applyAlignment="1">
      <alignment horizontal="right" vertical="center"/>
    </xf>
    <xf numFmtId="1" fontId="11" fillId="42" borderId="0" xfId="0" applyNumberFormat="1" applyFont="1" applyFill="1" applyBorder="1"/>
    <xf numFmtId="164" fontId="11" fillId="42" borderId="0" xfId="0" applyNumberFormat="1" applyFont="1" applyFill="1" applyBorder="1"/>
    <xf numFmtId="3" fontId="11" fillId="42" borderId="0" xfId="0" applyNumberFormat="1" applyFont="1" applyFill="1" applyBorder="1"/>
    <xf numFmtId="2" fontId="11" fillId="42" borderId="0" xfId="0" applyNumberFormat="1" applyFont="1" applyFill="1" applyBorder="1"/>
    <xf numFmtId="172" fontId="11" fillId="42" borderId="0" xfId="0" applyNumberFormat="1" applyFont="1" applyFill="1" applyBorder="1"/>
    <xf numFmtId="3" fontId="11" fillId="42" borderId="0" xfId="0" applyNumberFormat="1" applyFont="1" applyFill="1"/>
    <xf numFmtId="3" fontId="11" fillId="42" borderId="0" xfId="0" applyNumberFormat="1" applyFont="1" applyFill="1" applyAlignment="1">
      <alignment horizontal="right"/>
    </xf>
    <xf numFmtId="3" fontId="11" fillId="42" borderId="0" xfId="0" quotePrefix="1" applyNumberFormat="1" applyFont="1" applyFill="1" applyAlignment="1">
      <alignment horizontal="right"/>
    </xf>
    <xf numFmtId="0" fontId="10" fillId="42" borderId="0" xfId="0" applyFont="1" applyFill="1" applyAlignment="1">
      <alignment horizontal="center" textRotation="90" wrapText="1"/>
    </xf>
    <xf numFmtId="4" fontId="11" fillId="42" borderId="0" xfId="0" applyNumberFormat="1" applyFont="1" applyFill="1" applyBorder="1"/>
    <xf numFmtId="171" fontId="11" fillId="42" borderId="0" xfId="0" applyNumberFormat="1" applyFont="1" applyFill="1" applyBorder="1"/>
    <xf numFmtId="3" fontId="11" fillId="42" borderId="0" xfId="0" quotePrefix="1" applyNumberFormat="1" applyFont="1" applyFill="1" applyBorder="1" applyAlignment="1">
      <alignment horizontal="right"/>
    </xf>
    <xf numFmtId="0" fontId="2" fillId="0" borderId="0" xfId="0" applyFont="1" applyFill="1" applyBorder="1" applyAlignment="1">
      <alignment horizontal="left" vertical="center"/>
    </xf>
    <xf numFmtId="0" fontId="8" fillId="0" borderId="0" xfId="0" applyFont="1" applyFill="1" applyBorder="1" applyAlignment="1">
      <alignment textRotation="90" wrapText="1"/>
    </xf>
    <xf numFmtId="0" fontId="0" fillId="0" borderId="0" xfId="0" applyFill="1" applyAlignment="1">
      <alignment wrapText="1"/>
    </xf>
    <xf numFmtId="0" fontId="0" fillId="0" borderId="0" xfId="0" applyFill="1" applyAlignment="1">
      <alignment vertical="top"/>
    </xf>
    <xf numFmtId="0" fontId="15" fillId="0" borderId="0" xfId="0" applyFont="1" applyFill="1"/>
    <xf numFmtId="0" fontId="16" fillId="0" borderId="0" xfId="0" applyFont="1" applyFill="1"/>
    <xf numFmtId="0" fontId="11" fillId="0" borderId="12" xfId="0" applyFont="1" applyFill="1" applyBorder="1" applyAlignment="1">
      <alignment horizontal="left"/>
    </xf>
    <xf numFmtId="0" fontId="11" fillId="42" borderId="12" xfId="0" applyFont="1" applyFill="1" applyBorder="1"/>
    <xf numFmtId="164" fontId="11" fillId="0" borderId="12" xfId="0" applyNumberFormat="1" applyFont="1" applyFill="1" applyBorder="1"/>
    <xf numFmtId="164" fontId="11" fillId="42" borderId="12" xfId="0" applyNumberFormat="1" applyFont="1" applyFill="1" applyBorder="1"/>
    <xf numFmtId="170" fontId="11" fillId="42" borderId="0" xfId="65" applyNumberFormat="1" applyFont="1" applyFill="1" applyBorder="1"/>
    <xf numFmtId="3" fontId="11" fillId="43" borderId="0" xfId="0" applyNumberFormat="1" applyFont="1" applyFill="1" applyBorder="1" applyAlignment="1">
      <alignment horizontal="right"/>
    </xf>
    <xf numFmtId="2" fontId="11" fillId="43" borderId="0" xfId="0" applyNumberFormat="1" applyFont="1" applyFill="1" applyBorder="1"/>
    <xf numFmtId="1" fontId="11" fillId="43" borderId="0" xfId="0" applyNumberFormat="1" applyFont="1" applyFill="1" applyBorder="1"/>
    <xf numFmtId="164" fontId="11" fillId="43" borderId="0" xfId="0" applyNumberFormat="1" applyFont="1" applyFill="1" applyBorder="1"/>
    <xf numFmtId="0" fontId="11" fillId="43" borderId="0" xfId="0" applyFont="1" applyFill="1" applyBorder="1"/>
    <xf numFmtId="3" fontId="11" fillId="42" borderId="0" xfId="65" applyNumberFormat="1" applyFont="1" applyFill="1" applyBorder="1"/>
    <xf numFmtId="3" fontId="11" fillId="0" borderId="0" xfId="65" applyNumberFormat="1" applyFont="1" applyFill="1" applyBorder="1"/>
    <xf numFmtId="164" fontId="11" fillId="0" borderId="0" xfId="240" applyNumberFormat="1" applyFont="1" applyFill="1" applyBorder="1" applyAlignment="1">
      <alignment horizontal="right"/>
    </xf>
    <xf numFmtId="164" fontId="11" fillId="42" borderId="0" xfId="240" applyNumberFormat="1" applyFont="1" applyFill="1" applyBorder="1" applyAlignment="1">
      <alignment horizontal="right"/>
    </xf>
    <xf numFmtId="3" fontId="11" fillId="42" borderId="0" xfId="0" applyNumberFormat="1" applyFont="1" applyFill="1" applyBorder="1" applyAlignment="1">
      <alignment horizontal="right"/>
    </xf>
    <xf numFmtId="2" fontId="11" fillId="43" borderId="0" xfId="0" applyNumberFormat="1" applyFont="1" applyFill="1" applyBorder="1" applyAlignment="1">
      <alignment vertical="center"/>
    </xf>
    <xf numFmtId="165" fontId="11" fillId="43" borderId="0" xfId="0" applyNumberFormat="1" applyFont="1" applyFill="1" applyBorder="1" applyAlignment="1">
      <alignment horizontal="right" vertical="center"/>
    </xf>
    <xf numFmtId="3" fontId="11" fillId="43" borderId="0" xfId="0" applyNumberFormat="1" applyFont="1" applyFill="1" applyBorder="1"/>
    <xf numFmtId="172" fontId="11" fillId="43" borderId="0" xfId="0" applyNumberFormat="1" applyFont="1" applyFill="1" applyBorder="1"/>
    <xf numFmtId="1" fontId="11" fillId="43" borderId="0" xfId="0" applyNumberFormat="1" applyFont="1" applyFill="1" applyBorder="1" applyAlignment="1">
      <alignment horizontal="right"/>
    </xf>
    <xf numFmtId="3" fontId="11" fillId="43" borderId="0" xfId="65" applyNumberFormat="1" applyFont="1" applyFill="1" applyBorder="1"/>
    <xf numFmtId="3" fontId="11" fillId="43" borderId="0" xfId="0" applyNumberFormat="1" applyFont="1" applyFill="1"/>
    <xf numFmtId="164" fontId="11" fillId="43" borderId="0" xfId="240" applyNumberFormat="1" applyFont="1" applyFill="1" applyBorder="1" applyAlignment="1">
      <alignment horizontal="right"/>
    </xf>
    <xf numFmtId="2" fontId="11" fillId="43" borderId="0" xfId="0" applyNumberFormat="1" applyFont="1" applyFill="1" applyBorder="1" applyAlignment="1">
      <alignment horizontal="right"/>
    </xf>
    <xf numFmtId="171" fontId="11" fillId="0" borderId="0" xfId="0" applyNumberFormat="1" applyFont="1" applyFill="1" applyBorder="1"/>
    <xf numFmtId="3" fontId="11" fillId="0" borderId="0" xfId="0" applyNumberFormat="1" applyFont="1" applyFill="1" applyAlignment="1">
      <alignment horizontal="right"/>
    </xf>
    <xf numFmtId="0" fontId="2" fillId="0" borderId="0" xfId="0" applyFont="1"/>
    <xf numFmtId="0" fontId="17" fillId="0" borderId="0" xfId="0" applyFont="1"/>
    <xf numFmtId="4" fontId="11" fillId="0" borderId="0" xfId="0" applyNumberFormat="1" applyFont="1" applyFill="1" applyBorder="1" applyAlignment="1">
      <alignment horizontal="right"/>
    </xf>
    <xf numFmtId="0" fontId="19" fillId="44" borderId="19" xfId="0" applyFont="1" applyFill="1" applyBorder="1" applyAlignment="1">
      <alignment horizontal="center" vertical="center"/>
    </xf>
    <xf numFmtId="0" fontId="19" fillId="44" borderId="4" xfId="0" applyFont="1" applyFill="1" applyBorder="1" applyAlignment="1">
      <alignment horizontal="center" vertical="center"/>
    </xf>
    <xf numFmtId="0" fontId="19" fillId="44" borderId="22" xfId="0" applyFont="1" applyFill="1" applyBorder="1" applyAlignment="1">
      <alignment horizontal="center" vertical="center"/>
    </xf>
    <xf numFmtId="43" fontId="11" fillId="0" borderId="0" xfId="0" applyNumberFormat="1" applyFont="1" applyFill="1" applyBorder="1"/>
    <xf numFmtId="0" fontId="2" fillId="0" borderId="0" xfId="0" applyFont="1" applyAlignment="1">
      <alignment vertical="top"/>
    </xf>
    <xf numFmtId="0" fontId="0" fillId="0" borderId="0" xfId="0" applyAlignment="1">
      <alignment vertical="top"/>
    </xf>
    <xf numFmtId="165" fontId="11" fillId="0" borderId="0" xfId="0" quotePrefix="1" applyNumberFormat="1" applyFont="1" applyFill="1" applyAlignment="1">
      <alignment horizontal="right"/>
    </xf>
    <xf numFmtId="0" fontId="10" fillId="0" borderId="0" xfId="0" applyFont="1" applyFill="1" applyBorder="1" applyAlignment="1">
      <alignment horizontal="right"/>
    </xf>
    <xf numFmtId="0" fontId="8" fillId="0" borderId="0" xfId="0" applyFont="1" applyFill="1" applyBorder="1" applyAlignment="1">
      <alignment horizontal="right" textRotation="90" wrapText="1"/>
    </xf>
    <xf numFmtId="0" fontId="133" fillId="0" borderId="0" xfId="0" applyFont="1" applyFill="1" applyBorder="1"/>
    <xf numFmtId="0" fontId="133" fillId="42" borderId="0" xfId="0" applyFont="1" applyFill="1" applyBorder="1"/>
    <xf numFmtId="164" fontId="133" fillId="0" borderId="0" xfId="0" applyNumberFormat="1" applyFont="1" applyFill="1" applyBorder="1"/>
    <xf numFmtId="0" fontId="133" fillId="0" borderId="12" xfId="0" applyFont="1" applyFill="1" applyBorder="1"/>
    <xf numFmtId="3" fontId="133" fillId="0" borderId="0" xfId="0" applyNumberFormat="1" applyFont="1" applyFill="1" applyBorder="1"/>
    <xf numFmtId="0" fontId="133" fillId="0" borderId="0" xfId="0" applyFont="1" applyFill="1" applyBorder="1" applyAlignment="1">
      <alignment horizontal="left"/>
    </xf>
    <xf numFmtId="0" fontId="133" fillId="43" borderId="0" xfId="0" applyFont="1" applyFill="1" applyBorder="1"/>
    <xf numFmtId="3" fontId="134" fillId="43" borderId="0" xfId="0" applyNumberFormat="1" applyFont="1" applyFill="1" applyBorder="1" applyAlignment="1">
      <alignment horizontal="right" vertical="center"/>
    </xf>
    <xf numFmtId="3" fontId="134" fillId="0" borderId="0" xfId="0" applyNumberFormat="1" applyFont="1" applyFill="1" applyBorder="1" applyAlignment="1">
      <alignment horizontal="right" vertical="center"/>
    </xf>
    <xf numFmtId="3" fontId="134" fillId="42" borderId="0" xfId="0" applyNumberFormat="1" applyFont="1" applyFill="1" applyBorder="1" applyAlignment="1">
      <alignment horizontal="right" vertical="center"/>
    </xf>
    <xf numFmtId="3" fontId="134" fillId="0" borderId="0" xfId="0" applyNumberFormat="1" applyFont="1" applyFill="1" applyBorder="1"/>
    <xf numFmtId="164" fontId="134" fillId="43" borderId="0" xfId="0" applyNumberFormat="1" applyFont="1" applyFill="1" applyBorder="1"/>
    <xf numFmtId="164" fontId="134" fillId="0" borderId="0" xfId="0" applyNumberFormat="1" applyFont="1" applyFill="1" applyBorder="1"/>
    <xf numFmtId="164" fontId="134" fillId="42" borderId="0" xfId="0" applyNumberFormat="1" applyFont="1" applyFill="1" applyBorder="1"/>
    <xf numFmtId="0" fontId="134" fillId="0" borderId="0" xfId="0" applyFont="1" applyFill="1" applyBorder="1"/>
    <xf numFmtId="0" fontId="135" fillId="0" borderId="0" xfId="0" quotePrefix="1" applyFont="1" applyFill="1" applyBorder="1"/>
    <xf numFmtId="0" fontId="134" fillId="42" borderId="0" xfId="0" applyFont="1" applyFill="1" applyBorder="1"/>
    <xf numFmtId="0" fontId="134" fillId="42" borderId="0" xfId="0" applyFont="1" applyFill="1" applyBorder="1" applyAlignment="1">
      <alignment horizontal="left"/>
    </xf>
    <xf numFmtId="3" fontId="134" fillId="0" borderId="0" xfId="0" applyNumberFormat="1" applyFont="1" applyFill="1" applyBorder="1" applyAlignment="1">
      <alignment horizontal="right"/>
    </xf>
    <xf numFmtId="0" fontId="17" fillId="0" borderId="0" xfId="0" applyFont="1" applyFill="1"/>
    <xf numFmtId="0" fontId="134" fillId="0" borderId="0" xfId="0" quotePrefix="1" applyFont="1" applyFill="1" applyBorder="1"/>
    <xf numFmtId="164" fontId="134" fillId="0" borderId="0" xfId="0" applyNumberFormat="1" applyFont="1" applyFill="1" applyBorder="1" applyAlignment="1">
      <alignment horizontal="right"/>
    </xf>
    <xf numFmtId="165" fontId="134" fillId="0" borderId="0" xfId="0" applyNumberFormat="1" applyFont="1" applyFill="1" applyBorder="1"/>
    <xf numFmtId="3" fontId="134" fillId="42" borderId="0" xfId="0" applyNumberFormat="1" applyFont="1" applyFill="1" applyBorder="1" applyAlignment="1">
      <alignment horizontal="right"/>
    </xf>
    <xf numFmtId="0" fontId="134" fillId="17" borderId="0" xfId="0" applyFont="1" applyFill="1" applyBorder="1"/>
    <xf numFmtId="3" fontId="134" fillId="43" borderId="0" xfId="0" applyNumberFormat="1" applyFont="1" applyFill="1" applyBorder="1"/>
    <xf numFmtId="3" fontId="134" fillId="42" borderId="0" xfId="0" applyNumberFormat="1" applyFont="1" applyFill="1" applyBorder="1"/>
    <xf numFmtId="170" fontId="11" fillId="0" borderId="0" xfId="65" applyNumberFormat="1" applyFont="1" applyFill="1" applyBorder="1"/>
    <xf numFmtId="175" fontId="11" fillId="42" borderId="0" xfId="0" applyNumberFormat="1" applyFont="1" applyFill="1" applyBorder="1"/>
    <xf numFmtId="164" fontId="12" fillId="0" borderId="0" xfId="0" applyNumberFormat="1" applyFont="1" applyFill="1" applyBorder="1"/>
    <xf numFmtId="175" fontId="11" fillId="0" borderId="0" xfId="0" applyNumberFormat="1" applyFont="1" applyFill="1" applyBorder="1"/>
    <xf numFmtId="173" fontId="11" fillId="0" borderId="0" xfId="0" applyNumberFormat="1" applyFont="1" applyFill="1" applyBorder="1"/>
    <xf numFmtId="175" fontId="11" fillId="0" borderId="0" xfId="0" applyNumberFormat="1" applyFont="1" applyFill="1" applyBorder="1" applyAlignment="1">
      <alignment horizontal="right"/>
    </xf>
    <xf numFmtId="3" fontId="11" fillId="0" borderId="23" xfId="65" applyNumberFormat="1" applyFont="1" applyFill="1" applyBorder="1" applyAlignment="1">
      <alignment horizontal="right"/>
    </xf>
    <xf numFmtId="3" fontId="11" fillId="0" borderId="24" xfId="65" applyNumberFormat="1" applyFont="1" applyFill="1" applyBorder="1" applyAlignment="1">
      <alignment horizontal="right"/>
    </xf>
    <xf numFmtId="175" fontId="11" fillId="0" borderId="12" xfId="0" applyNumberFormat="1" applyFont="1" applyFill="1" applyBorder="1" applyAlignment="1">
      <alignment horizontal="right"/>
    </xf>
    <xf numFmtId="175" fontId="11" fillId="42" borderId="12" xfId="0" applyNumberFormat="1" applyFont="1" applyFill="1" applyBorder="1"/>
    <xf numFmtId="175" fontId="11" fillId="0" borderId="12" xfId="0" applyNumberFormat="1" applyFont="1" applyFill="1" applyBorder="1"/>
    <xf numFmtId="164" fontId="12" fillId="0" borderId="12" xfId="0" applyNumberFormat="1" applyFont="1" applyFill="1" applyBorder="1"/>
    <xf numFmtId="164" fontId="11" fillId="0" borderId="0" xfId="0" applyNumberFormat="1" applyFont="1" applyFill="1" applyBorder="1" applyAlignment="1">
      <alignment horizontal="right"/>
    </xf>
    <xf numFmtId="164" fontId="11" fillId="43" borderId="0" xfId="0" applyNumberFormat="1" applyFont="1" applyFill="1" applyBorder="1" applyAlignment="1">
      <alignment horizontal="right"/>
    </xf>
    <xf numFmtId="164" fontId="11" fillId="42" borderId="0" xfId="0" applyNumberFormat="1" applyFont="1" applyFill="1" applyBorder="1" applyAlignment="1">
      <alignment horizontal="right"/>
    </xf>
    <xf numFmtId="164" fontId="12" fillId="0" borderId="0" xfId="0" applyNumberFormat="1" applyFont="1" applyFill="1" applyBorder="1" applyAlignment="1">
      <alignment horizontal="right"/>
    </xf>
    <xf numFmtId="170" fontId="11" fillId="42" borderId="0" xfId="65" applyNumberFormat="1" applyFont="1" applyFill="1" applyBorder="1" applyAlignment="1">
      <alignment horizontal="right"/>
    </xf>
    <xf numFmtId="170" fontId="11" fillId="0" borderId="0" xfId="65" applyNumberFormat="1" applyFont="1" applyFill="1" applyBorder="1" applyAlignment="1">
      <alignment horizontal="right"/>
    </xf>
    <xf numFmtId="164" fontId="11" fillId="0" borderId="0" xfId="0" applyNumberFormat="1" applyFont="1" applyFill="1" applyBorder="1" applyAlignment="1">
      <alignment horizontal="right" vertical="center"/>
    </xf>
    <xf numFmtId="43" fontId="11" fillId="0" borderId="0" xfId="65" applyNumberFormat="1" applyFont="1" applyFill="1" applyBorder="1"/>
    <xf numFmtId="170" fontId="11" fillId="0" borderId="0" xfId="0" applyNumberFormat="1" applyFont="1" applyFill="1" applyBorder="1"/>
    <xf numFmtId="1" fontId="134" fillId="0" borderId="0" xfId="0" applyNumberFormat="1" applyFont="1" applyFill="1" applyBorder="1" applyAlignment="1">
      <alignment horizontal="right"/>
    </xf>
    <xf numFmtId="175" fontId="133" fillId="0" borderId="0" xfId="0" applyNumberFormat="1" applyFont="1" applyFill="1" applyBorder="1"/>
    <xf numFmtId="175" fontId="133" fillId="0" borderId="12" xfId="0" applyNumberFormat="1" applyFont="1" applyFill="1" applyBorder="1"/>
    <xf numFmtId="169" fontId="11" fillId="42" borderId="0" xfId="65" applyNumberFormat="1" applyFont="1" applyFill="1" applyBorder="1"/>
    <xf numFmtId="0" fontId="19" fillId="43" borderId="25" xfId="0" applyFont="1" applyFill="1" applyBorder="1" applyAlignment="1">
      <alignment horizontal="right" vertical="center"/>
    </xf>
    <xf numFmtId="0" fontId="17" fillId="0" borderId="0" xfId="164" applyNumberFormat="1" applyFont="1" applyFill="1" applyBorder="1" applyAlignment="1"/>
    <xf numFmtId="0" fontId="14" fillId="0" borderId="0" xfId="164"/>
    <xf numFmtId="184" fontId="17" fillId="0" borderId="0" xfId="164" applyNumberFormat="1" applyFont="1" applyFill="1" applyBorder="1" applyAlignment="1"/>
    <xf numFmtId="0" fontId="0" fillId="0" borderId="0" xfId="0" applyFont="1" applyFill="1"/>
    <xf numFmtId="171"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left"/>
    </xf>
    <xf numFmtId="41" fontId="11" fillId="0" borderId="0" xfId="0" applyNumberFormat="1" applyFont="1" applyFill="1" applyBorder="1" applyAlignment="1">
      <alignment horizontal="right"/>
    </xf>
    <xf numFmtId="41" fontId="11" fillId="42" borderId="0" xfId="0" applyNumberFormat="1" applyFont="1" applyFill="1" applyBorder="1" applyAlignment="1">
      <alignment horizontal="right"/>
    </xf>
    <xf numFmtId="41" fontId="134" fillId="0" borderId="0" xfId="0" quotePrefix="1" applyNumberFormat="1" applyFont="1" applyFill="1" applyBorder="1" applyAlignment="1">
      <alignment horizontal="right" vertical="center"/>
    </xf>
    <xf numFmtId="41" fontId="134" fillId="42" borderId="0" xfId="0" quotePrefix="1" applyNumberFormat="1" applyFont="1" applyFill="1" applyBorder="1" applyAlignment="1">
      <alignment horizontal="right" vertical="center"/>
    </xf>
    <xf numFmtId="2" fontId="136" fillId="0" borderId="0" xfId="0" applyNumberFormat="1" applyFont="1"/>
    <xf numFmtId="0" fontId="2" fillId="0" borderId="0" xfId="164" applyFont="1"/>
    <xf numFmtId="164" fontId="2" fillId="0" borderId="0" xfId="164" applyNumberFormat="1" applyFont="1"/>
    <xf numFmtId="3" fontId="2" fillId="82" borderId="26" xfId="274" applyNumberFormat="1" applyFont="1" applyFill="1" applyBorder="1" applyAlignment="1">
      <alignment vertical="center"/>
    </xf>
    <xf numFmtId="3" fontId="2" fillId="82" borderId="22" xfId="274" applyNumberFormat="1" applyFont="1" applyFill="1" applyBorder="1" applyAlignment="1">
      <alignment vertical="center"/>
    </xf>
    <xf numFmtId="187" fontId="2" fillId="82" borderId="26" xfId="274" applyNumberFormat="1" applyFont="1" applyFill="1" applyBorder="1" applyAlignment="1">
      <alignment vertical="center"/>
    </xf>
    <xf numFmtId="187" fontId="2" fillId="82" borderId="12" xfId="274" applyNumberFormat="1" applyFont="1" applyFill="1" applyBorder="1" applyAlignment="1">
      <alignment vertical="center"/>
    </xf>
    <xf numFmtId="0" fontId="2" fillId="0" borderId="0" xfId="0" quotePrefix="1" applyFont="1"/>
    <xf numFmtId="177" fontId="137" fillId="42" borderId="25" xfId="0" applyNumberFormat="1" applyFont="1" applyFill="1" applyBorder="1" applyAlignment="1">
      <alignment horizontal="center" vertical="center" wrapText="1"/>
    </xf>
    <xf numFmtId="164" fontId="136" fillId="0" borderId="0" xfId="0" applyNumberFormat="1" applyFont="1"/>
    <xf numFmtId="2" fontId="134" fillId="0" borderId="0" xfId="0" applyNumberFormat="1" applyFont="1" applyFill="1" applyBorder="1" applyAlignment="1">
      <alignment horizontal="right"/>
    </xf>
    <xf numFmtId="0" fontId="19" fillId="43" borderId="27" xfId="0" applyFont="1" applyFill="1" applyBorder="1" applyAlignment="1">
      <alignment horizontal="center" vertical="center" wrapText="1"/>
    </xf>
    <xf numFmtId="164" fontId="2" fillId="0" borderId="0" xfId="164" applyNumberFormat="1" applyFont="1" applyFill="1"/>
    <xf numFmtId="170" fontId="138" fillId="0" borderId="0" xfId="65" applyNumberFormat="1" applyFont="1"/>
    <xf numFmtId="0" fontId="17" fillId="0" borderId="0" xfId="172"/>
    <xf numFmtId="0" fontId="17" fillId="0" borderId="0" xfId="172" applyAlignment="1">
      <alignment vertical="top"/>
    </xf>
    <xf numFmtId="0" fontId="2" fillId="0" borderId="0" xfId="172" applyFont="1"/>
    <xf numFmtId="0" fontId="2" fillId="0" borderId="0" xfId="172" applyFont="1" applyAlignment="1">
      <alignment vertical="top"/>
    </xf>
    <xf numFmtId="0" fontId="2" fillId="0" borderId="0" xfId="172" applyFont="1" applyBorder="1"/>
    <xf numFmtId="164" fontId="17" fillId="0" borderId="0" xfId="172" applyNumberFormat="1"/>
    <xf numFmtId="9" fontId="2" fillId="0" borderId="0" xfId="165" applyNumberFormat="1" applyFont="1" applyAlignment="1">
      <alignment horizontal="center"/>
    </xf>
    <xf numFmtId="0" fontId="11" fillId="0" borderId="0" xfId="165" applyFont="1" applyBorder="1" applyAlignment="1">
      <alignment vertical="top"/>
    </xf>
    <xf numFmtId="0" fontId="2" fillId="0" borderId="0" xfId="165" applyFont="1"/>
    <xf numFmtId="0" fontId="10" fillId="0" borderId="0" xfId="165" quotePrefix="1" applyFont="1" applyBorder="1" applyAlignment="1">
      <alignment horizontal="right" vertical="top"/>
    </xf>
    <xf numFmtId="9" fontId="2" fillId="0" borderId="0" xfId="165" applyNumberFormat="1" applyFont="1" applyAlignment="1">
      <alignment horizontal="center" vertical="top"/>
    </xf>
    <xf numFmtId="0" fontId="10" fillId="0" borderId="0" xfId="165" applyFont="1" applyBorder="1" applyAlignment="1">
      <alignment horizontal="center" vertical="top"/>
    </xf>
    <xf numFmtId="0" fontId="2" fillId="0" borderId="0" xfId="165" applyFont="1" applyAlignment="1">
      <alignment vertical="top"/>
    </xf>
    <xf numFmtId="0" fontId="2" fillId="0" borderId="0" xfId="165" applyFont="1" applyBorder="1" applyAlignment="1">
      <alignment horizontal="right" vertical="center"/>
    </xf>
    <xf numFmtId="166" fontId="2" fillId="0" borderId="0" xfId="165" applyNumberFormat="1" applyFont="1" applyBorder="1" applyAlignment="1">
      <alignment horizontal="right" vertical="center"/>
    </xf>
    <xf numFmtId="0" fontId="18" fillId="0" borderId="0" xfId="165" applyFont="1"/>
    <xf numFmtId="0" fontId="17" fillId="0" borderId="28" xfId="165" applyFill="1" applyBorder="1"/>
    <xf numFmtId="1" fontId="19" fillId="42" borderId="19" xfId="165" applyNumberFormat="1" applyFont="1" applyFill="1" applyBorder="1" applyAlignment="1">
      <alignment horizontal="center"/>
    </xf>
    <xf numFmtId="1" fontId="19" fillId="42" borderId="29" xfId="165" applyNumberFormat="1" applyFont="1" applyFill="1" applyBorder="1" applyAlignment="1">
      <alignment horizontal="center"/>
    </xf>
    <xf numFmtId="0" fontId="20" fillId="42" borderId="19" xfId="165" applyFont="1" applyFill="1" applyBorder="1" applyAlignment="1">
      <alignment horizontal="center" wrapText="1"/>
    </xf>
    <xf numFmtId="0" fontId="17" fillId="0" borderId="0" xfId="165" applyFill="1" applyBorder="1"/>
    <xf numFmtId="0" fontId="17" fillId="0" borderId="30" xfId="165" applyFill="1" applyBorder="1"/>
    <xf numFmtId="1" fontId="19" fillId="42" borderId="22" xfId="165" applyNumberFormat="1" applyFont="1" applyFill="1" applyBorder="1" applyAlignment="1">
      <alignment horizontal="center" vertical="center"/>
    </xf>
    <xf numFmtId="1" fontId="19" fillId="42" borderId="12" xfId="165" applyNumberFormat="1" applyFont="1" applyFill="1" applyBorder="1" applyAlignment="1">
      <alignment horizontal="center" vertical="center"/>
    </xf>
    <xf numFmtId="1" fontId="19" fillId="42" borderId="0" xfId="165" applyNumberFormat="1" applyFont="1" applyFill="1" applyBorder="1" applyAlignment="1">
      <alignment horizontal="center" vertical="center"/>
    </xf>
    <xf numFmtId="0" fontId="19" fillId="42" borderId="22" xfId="165" applyFont="1" applyFill="1" applyBorder="1" applyAlignment="1">
      <alignment horizontal="center" vertical="top"/>
    </xf>
    <xf numFmtId="0" fontId="19" fillId="44" borderId="19" xfId="165" applyFont="1" applyFill="1" applyBorder="1" applyAlignment="1">
      <alignment horizontal="center" vertical="center"/>
    </xf>
    <xf numFmtId="186" fontId="22" fillId="44" borderId="29" xfId="165" applyNumberFormat="1" applyFont="1" applyFill="1" applyBorder="1" applyAlignment="1">
      <alignment vertical="center"/>
    </xf>
    <xf numFmtId="186" fontId="22" fillId="44" borderId="29" xfId="165" applyNumberFormat="1" applyFont="1" applyFill="1" applyBorder="1" applyAlignment="1">
      <alignment horizontal="right"/>
    </xf>
    <xf numFmtId="164" fontId="22" fillId="44" borderId="19" xfId="165" applyNumberFormat="1" applyFont="1" applyFill="1" applyBorder="1" applyAlignment="1">
      <alignment horizontal="right"/>
    </xf>
    <xf numFmtId="0" fontId="2" fillId="0" borderId="0" xfId="165" applyFont="1" applyAlignment="1">
      <alignment horizontal="center"/>
    </xf>
    <xf numFmtId="0" fontId="19" fillId="82" borderId="4" xfId="165" applyFont="1" applyFill="1" applyBorder="1" applyAlignment="1">
      <alignment horizontal="center" vertical="center"/>
    </xf>
    <xf numFmtId="186" fontId="22" fillId="44" borderId="0" xfId="165" applyNumberFormat="1" applyFont="1" applyFill="1" applyBorder="1" applyAlignment="1">
      <alignment vertical="center"/>
    </xf>
    <xf numFmtId="186" fontId="22" fillId="44" borderId="0" xfId="165" applyNumberFormat="1" applyFont="1" applyFill="1" applyBorder="1" applyAlignment="1">
      <alignment horizontal="right"/>
    </xf>
    <xf numFmtId="164" fontId="22" fillId="44" borderId="4" xfId="165" applyNumberFormat="1" applyFont="1" applyFill="1" applyBorder="1" applyAlignment="1">
      <alignment horizontal="right"/>
    </xf>
    <xf numFmtId="0" fontId="19" fillId="82" borderId="22" xfId="165" applyFont="1" applyFill="1" applyBorder="1" applyAlignment="1">
      <alignment horizontal="center" vertical="center"/>
    </xf>
    <xf numFmtId="186" fontId="22" fillId="44" borderId="12" xfId="165" applyNumberFormat="1" applyFont="1" applyFill="1" applyBorder="1" applyAlignment="1">
      <alignment vertical="center"/>
    </xf>
    <xf numFmtId="186" fontId="22" fillId="44" borderId="12" xfId="165" applyNumberFormat="1" applyFont="1" applyFill="1" applyBorder="1" applyAlignment="1">
      <alignment horizontal="right"/>
    </xf>
    <xf numFmtId="164" fontId="22" fillId="44" borderId="22" xfId="165" applyNumberFormat="1" applyFont="1" applyFill="1" applyBorder="1" applyAlignment="1">
      <alignment horizontal="right"/>
    </xf>
    <xf numFmtId="0" fontId="19" fillId="0" borderId="4" xfId="165" applyFont="1" applyFill="1" applyBorder="1" applyAlignment="1">
      <alignment horizontal="center" vertical="center"/>
    </xf>
    <xf numFmtId="2" fontId="2" fillId="0" borderId="4" xfId="165" applyNumberFormat="1" applyFont="1" applyBorder="1" applyAlignment="1">
      <alignment horizontal="right" vertical="center"/>
    </xf>
    <xf numFmtId="164" fontId="2" fillId="0" borderId="0" xfId="165" applyNumberFormat="1" applyFont="1"/>
    <xf numFmtId="164" fontId="2" fillId="0" borderId="4" xfId="165" applyNumberFormat="1" applyFont="1" applyBorder="1" applyAlignment="1">
      <alignment horizontal="right" vertical="center"/>
    </xf>
    <xf numFmtId="164" fontId="2" fillId="82" borderId="0" xfId="165" applyNumberFormat="1" applyFont="1" applyFill="1" applyBorder="1" applyAlignment="1">
      <alignment horizontal="right" vertical="center"/>
    </xf>
    <xf numFmtId="164" fontId="21" fillId="82" borderId="0" xfId="165" applyNumberFormat="1" applyFont="1" applyFill="1" applyBorder="1" applyAlignment="1">
      <alignment horizontal="right" vertical="center"/>
    </xf>
    <xf numFmtId="164" fontId="21" fillId="82" borderId="4" xfId="165" applyNumberFormat="1" applyFont="1" applyFill="1" applyBorder="1" applyAlignment="1">
      <alignment horizontal="right" vertical="center"/>
    </xf>
    <xf numFmtId="0" fontId="139" fillId="0" borderId="0" xfId="165" applyFont="1"/>
    <xf numFmtId="0" fontId="2" fillId="0" borderId="0" xfId="165" applyFont="1" applyFill="1" applyAlignment="1">
      <alignment horizontal="center"/>
    </xf>
    <xf numFmtId="164" fontId="2" fillId="0" borderId="0" xfId="165" applyNumberFormat="1" applyFont="1" applyFill="1" applyBorder="1" applyAlignment="1">
      <alignment horizontal="right" vertical="center"/>
    </xf>
    <xf numFmtId="164" fontId="21" fillId="0" borderId="0" xfId="165" applyNumberFormat="1" applyFont="1" applyFill="1" applyBorder="1" applyAlignment="1">
      <alignment horizontal="right" vertical="center"/>
    </xf>
    <xf numFmtId="164" fontId="2" fillId="45" borderId="0" xfId="165" applyNumberFormat="1" applyFont="1" applyFill="1" applyBorder="1" applyAlignment="1">
      <alignment horizontal="right" vertical="center"/>
    </xf>
    <xf numFmtId="164" fontId="2" fillId="45" borderId="31" xfId="165" applyNumberFormat="1" applyFont="1" applyFill="1" applyBorder="1" applyAlignment="1">
      <alignment horizontal="right" vertical="center"/>
    </xf>
    <xf numFmtId="164" fontId="2" fillId="45" borderId="4" xfId="165" applyNumberFormat="1" applyFont="1" applyFill="1" applyBorder="1" applyAlignment="1">
      <alignment horizontal="right" vertical="center"/>
    </xf>
    <xf numFmtId="0" fontId="2" fillId="0" borderId="0" xfId="165" applyFont="1" applyFill="1"/>
    <xf numFmtId="164" fontId="2" fillId="82" borderId="0" xfId="165" applyNumberFormat="1" applyFont="1" applyFill="1" applyBorder="1"/>
    <xf numFmtId="164" fontId="2" fillId="44" borderId="4" xfId="165" applyNumberFormat="1" applyFont="1" applyFill="1" applyBorder="1"/>
    <xf numFmtId="2" fontId="2" fillId="0" borderId="4" xfId="165" applyNumberFormat="1" applyFont="1" applyFill="1" applyBorder="1" applyAlignment="1">
      <alignment horizontal="right" vertical="center"/>
    </xf>
    <xf numFmtId="164" fontId="2" fillId="0" borderId="4" xfId="165" applyNumberFormat="1" applyFont="1" applyFill="1" applyBorder="1" applyAlignment="1">
      <alignment horizontal="right" vertical="center"/>
    </xf>
    <xf numFmtId="164" fontId="21" fillId="0" borderId="0" xfId="165" applyNumberFormat="1" applyFont="1" applyFill="1"/>
    <xf numFmtId="164" fontId="21" fillId="0" borderId="4" xfId="165" applyNumberFormat="1" applyFont="1" applyFill="1" applyBorder="1" applyAlignment="1">
      <alignment horizontal="right" vertical="center"/>
    </xf>
    <xf numFmtId="164" fontId="2" fillId="0" borderId="0" xfId="165" applyNumberFormat="1" applyFont="1" applyBorder="1" applyAlignment="1">
      <alignment horizontal="right" vertical="center"/>
    </xf>
    <xf numFmtId="164" fontId="21" fillId="0" borderId="0" xfId="165" applyNumberFormat="1" applyFont="1" applyBorder="1" applyAlignment="1">
      <alignment horizontal="right" vertical="center"/>
    </xf>
    <xf numFmtId="164" fontId="2" fillId="82" borderId="4" xfId="165" applyNumberFormat="1" applyFont="1" applyFill="1" applyBorder="1" applyAlignment="1">
      <alignment horizontal="right" vertical="center"/>
    </xf>
    <xf numFmtId="164" fontId="2" fillId="82" borderId="25" xfId="165" applyNumberFormat="1" applyFont="1" applyFill="1" applyBorder="1" applyAlignment="1">
      <alignment horizontal="right" vertical="center"/>
    </xf>
    <xf numFmtId="164" fontId="2" fillId="82" borderId="32" xfId="165" applyNumberFormat="1" applyFont="1" applyFill="1" applyBorder="1" applyAlignment="1">
      <alignment horizontal="right" vertical="center"/>
    </xf>
    <xf numFmtId="164" fontId="2" fillId="82" borderId="31" xfId="165" applyNumberFormat="1" applyFont="1" applyFill="1" applyBorder="1" applyAlignment="1">
      <alignment horizontal="right" vertical="center"/>
    </xf>
    <xf numFmtId="164" fontId="2" fillId="0" borderId="31" xfId="165" applyNumberFormat="1" applyFont="1" applyFill="1" applyBorder="1" applyAlignment="1">
      <alignment horizontal="right" vertical="center"/>
    </xf>
    <xf numFmtId="164" fontId="2" fillId="0" borderId="28" xfId="165" applyNumberFormat="1" applyFont="1" applyFill="1" applyBorder="1" applyAlignment="1">
      <alignment horizontal="right" vertical="center"/>
    </xf>
    <xf numFmtId="164" fontId="2" fillId="82" borderId="12" xfId="165" applyNumberFormat="1" applyFont="1" applyFill="1" applyBorder="1" applyAlignment="1">
      <alignment horizontal="right" vertical="center"/>
    </xf>
    <xf numFmtId="0" fontId="19" fillId="0" borderId="19" xfId="165" applyFont="1" applyFill="1" applyBorder="1" applyAlignment="1">
      <alignment horizontal="center" vertical="center"/>
    </xf>
    <xf numFmtId="2" fontId="2" fillId="0" borderId="19" xfId="165" applyNumberFormat="1" applyFont="1" applyFill="1" applyBorder="1" applyAlignment="1">
      <alignment horizontal="right" vertical="center"/>
    </xf>
    <xf numFmtId="164" fontId="2" fillId="0" borderId="29" xfId="165" applyNumberFormat="1" applyFont="1" applyFill="1" applyBorder="1" applyAlignment="1">
      <alignment horizontal="right" vertical="center"/>
    </xf>
    <xf numFmtId="164" fontId="21" fillId="0" borderId="29" xfId="165" applyNumberFormat="1" applyFont="1" applyFill="1" applyBorder="1" applyAlignment="1">
      <alignment horizontal="right" vertical="center"/>
    </xf>
    <xf numFmtId="164" fontId="2" fillId="0" borderId="19" xfId="165" applyNumberFormat="1" applyFont="1" applyFill="1" applyBorder="1" applyAlignment="1">
      <alignment horizontal="right" vertical="center"/>
    </xf>
    <xf numFmtId="0" fontId="19" fillId="0" borderId="22" xfId="165" applyFont="1" applyFill="1" applyBorder="1" applyAlignment="1">
      <alignment horizontal="center" vertical="center"/>
    </xf>
    <xf numFmtId="2" fontId="2" fillId="0" borderId="22" xfId="165" applyNumberFormat="1" applyFont="1" applyFill="1" applyBorder="1" applyAlignment="1">
      <alignment horizontal="right" vertical="center"/>
    </xf>
    <xf numFmtId="164" fontId="2" fillId="0" borderId="12" xfId="165" applyNumberFormat="1" applyFont="1" applyFill="1" applyBorder="1" applyAlignment="1">
      <alignment horizontal="right" vertical="center"/>
    </xf>
    <xf numFmtId="164" fontId="21" fillId="0" borderId="12" xfId="165" applyNumberFormat="1" applyFont="1" applyFill="1" applyBorder="1" applyAlignment="1">
      <alignment horizontal="right" vertical="center"/>
    </xf>
    <xf numFmtId="164" fontId="2" fillId="0" borderId="33" xfId="165" applyNumberFormat="1" applyFont="1" applyFill="1" applyBorder="1" applyAlignment="1">
      <alignment horizontal="right" vertical="center"/>
    </xf>
    <xf numFmtId="164" fontId="2" fillId="0" borderId="22" xfId="165" applyNumberFormat="1" applyFont="1" applyFill="1" applyBorder="1" applyAlignment="1">
      <alignment horizontal="right" vertical="center"/>
    </xf>
    <xf numFmtId="164" fontId="2" fillId="82" borderId="29" xfId="165" applyNumberFormat="1" applyFont="1" applyFill="1" applyBorder="1" applyAlignment="1">
      <alignment horizontal="right" vertical="center"/>
    </xf>
    <xf numFmtId="164" fontId="2" fillId="82" borderId="19" xfId="165" applyNumberFormat="1" applyFont="1" applyFill="1" applyBorder="1" applyAlignment="1">
      <alignment horizontal="right" vertical="center"/>
    </xf>
    <xf numFmtId="164" fontId="2" fillId="82" borderId="22" xfId="165" applyNumberFormat="1" applyFont="1" applyFill="1" applyBorder="1" applyAlignment="1">
      <alignment horizontal="right" vertical="center"/>
    </xf>
    <xf numFmtId="0" fontId="19" fillId="0" borderId="0" xfId="165" applyFont="1" applyBorder="1"/>
    <xf numFmtId="0" fontId="19" fillId="0" borderId="0" xfId="165" applyFont="1" applyBorder="1" applyAlignment="1">
      <alignment horizontal="left" wrapText="1"/>
    </xf>
    <xf numFmtId="0" fontId="19" fillId="0" borderId="0" xfId="165" applyFont="1" applyAlignment="1">
      <alignment horizontal="left"/>
    </xf>
    <xf numFmtId="164" fontId="23" fillId="0" borderId="0" xfId="165" applyNumberFormat="1" applyFont="1" applyBorder="1" applyAlignment="1">
      <alignment horizontal="left" vertical="center"/>
    </xf>
    <xf numFmtId="0" fontId="19" fillId="0" borderId="0" xfId="165" applyFont="1" applyBorder="1" applyAlignment="1">
      <alignment vertical="top"/>
    </xf>
    <xf numFmtId="0" fontId="19" fillId="0" borderId="0" xfId="165" applyFont="1"/>
    <xf numFmtId="0" fontId="2" fillId="0" borderId="0" xfId="165" applyFont="1" applyBorder="1"/>
    <xf numFmtId="1" fontId="19" fillId="0" borderId="0" xfId="165" applyNumberFormat="1" applyFont="1" applyFill="1" applyBorder="1" applyAlignment="1">
      <alignment horizontal="center" vertical="center"/>
    </xf>
    <xf numFmtId="1" fontId="19" fillId="42" borderId="4" xfId="165" applyNumberFormat="1" applyFont="1" applyFill="1" applyBorder="1" applyAlignment="1">
      <alignment horizontal="center" vertical="center"/>
    </xf>
    <xf numFmtId="0" fontId="19" fillId="42" borderId="4" xfId="165" applyFont="1" applyFill="1" applyBorder="1" applyAlignment="1">
      <alignment horizontal="center" vertical="top"/>
    </xf>
    <xf numFmtId="164" fontId="22" fillId="44" borderId="29" xfId="165" applyNumberFormat="1" applyFont="1" applyFill="1" applyBorder="1" applyAlignment="1">
      <alignment horizontal="right"/>
    </xf>
    <xf numFmtId="164" fontId="22" fillId="44" borderId="34" xfId="165" applyNumberFormat="1" applyFont="1" applyFill="1" applyBorder="1" applyAlignment="1">
      <alignment horizontal="right"/>
    </xf>
    <xf numFmtId="164" fontId="22" fillId="44" borderId="0" xfId="165" applyNumberFormat="1" applyFont="1" applyFill="1" applyBorder="1" applyAlignment="1">
      <alignment horizontal="right"/>
    </xf>
    <xf numFmtId="164" fontId="22" fillId="44" borderId="28" xfId="165" applyNumberFormat="1" applyFont="1" applyFill="1" applyBorder="1" applyAlignment="1">
      <alignment horizontal="right"/>
    </xf>
    <xf numFmtId="164" fontId="22" fillId="44" borderId="12" xfId="165" applyNumberFormat="1" applyFont="1" applyFill="1" applyBorder="1" applyAlignment="1">
      <alignment horizontal="right"/>
    </xf>
    <xf numFmtId="164" fontId="22" fillId="44" borderId="30" xfId="165" applyNumberFormat="1" applyFont="1" applyFill="1" applyBorder="1" applyAlignment="1">
      <alignment horizontal="right"/>
    </xf>
    <xf numFmtId="164" fontId="2" fillId="0" borderId="28" xfId="165" applyNumberFormat="1" applyFont="1" applyBorder="1" applyAlignment="1">
      <alignment horizontal="right" vertical="center"/>
    </xf>
    <xf numFmtId="164" fontId="2" fillId="44" borderId="28" xfId="165" applyNumberFormat="1" applyFont="1" applyFill="1" applyBorder="1" applyAlignment="1">
      <alignment horizontal="right" vertical="center"/>
    </xf>
    <xf numFmtId="164" fontId="2" fillId="45" borderId="28" xfId="165" applyNumberFormat="1" applyFont="1" applyFill="1" applyBorder="1" applyAlignment="1">
      <alignment horizontal="right" vertical="center"/>
    </xf>
    <xf numFmtId="164" fontId="2" fillId="44" borderId="4" xfId="165" applyNumberFormat="1" applyFont="1" applyFill="1" applyBorder="1" applyAlignment="1">
      <alignment horizontal="right"/>
    </xf>
    <xf numFmtId="164" fontId="21" fillId="0" borderId="28" xfId="165" applyNumberFormat="1" applyFont="1" applyBorder="1" applyAlignment="1">
      <alignment horizontal="right" vertical="center"/>
    </xf>
    <xf numFmtId="164" fontId="21" fillId="82" borderId="28" xfId="165" applyNumberFormat="1" applyFont="1" applyFill="1" applyBorder="1" applyAlignment="1">
      <alignment horizontal="right" vertical="center"/>
    </xf>
    <xf numFmtId="164" fontId="2" fillId="0" borderId="31" xfId="165" applyNumberFormat="1" applyFont="1" applyBorder="1" applyAlignment="1">
      <alignment horizontal="right" vertical="center"/>
    </xf>
    <xf numFmtId="164" fontId="2" fillId="82" borderId="28" xfId="165" applyNumberFormat="1" applyFont="1" applyFill="1" applyBorder="1" applyAlignment="1">
      <alignment horizontal="right" vertical="center"/>
    </xf>
    <xf numFmtId="164" fontId="21" fillId="0" borderId="28" xfId="165" applyNumberFormat="1" applyFont="1" applyFill="1" applyBorder="1" applyAlignment="1">
      <alignment horizontal="right" vertical="center"/>
    </xf>
    <xf numFmtId="0" fontId="2" fillId="82" borderId="0" xfId="165" applyFont="1" applyFill="1" applyAlignment="1">
      <alignment horizontal="center"/>
    </xf>
    <xf numFmtId="164" fontId="21" fillId="82" borderId="31" xfId="165" applyNumberFormat="1" applyFont="1" applyFill="1" applyBorder="1" applyAlignment="1">
      <alignment horizontal="right" vertical="center"/>
    </xf>
    <xf numFmtId="164" fontId="21" fillId="82" borderId="12" xfId="165" applyNumberFormat="1" applyFont="1" applyFill="1" applyBorder="1" applyAlignment="1">
      <alignment horizontal="right" vertical="center"/>
    </xf>
    <xf numFmtId="164" fontId="21" fillId="82" borderId="30" xfId="165" applyNumberFormat="1" applyFont="1" applyFill="1" applyBorder="1" applyAlignment="1">
      <alignment horizontal="right" vertical="center"/>
    </xf>
    <xf numFmtId="164" fontId="21" fillId="82" borderId="22" xfId="165" applyNumberFormat="1" applyFont="1" applyFill="1" applyBorder="1" applyAlignment="1">
      <alignment horizontal="right" vertical="center"/>
    </xf>
    <xf numFmtId="164" fontId="2" fillId="0" borderId="0" xfId="165" applyNumberFormat="1" applyFont="1" applyBorder="1" applyAlignment="1">
      <alignment vertical="top"/>
    </xf>
    <xf numFmtId="164" fontId="21" fillId="0" borderId="0" xfId="165" applyNumberFormat="1" applyFont="1" applyBorder="1" applyAlignment="1">
      <alignment vertical="top"/>
    </xf>
    <xf numFmtId="164" fontId="21" fillId="0" borderId="28" xfId="165" applyNumberFormat="1" applyFont="1" applyBorder="1" applyAlignment="1">
      <alignment vertical="top"/>
    </xf>
    <xf numFmtId="164" fontId="2" fillId="82" borderId="0" xfId="165" quotePrefix="1" applyNumberFormat="1" applyFont="1" applyFill="1" applyBorder="1" applyAlignment="1">
      <alignment horizontal="right" vertical="center"/>
    </xf>
    <xf numFmtId="164" fontId="2" fillId="82" borderId="34" xfId="165" applyNumberFormat="1" applyFont="1" applyFill="1" applyBorder="1" applyAlignment="1">
      <alignment horizontal="right" vertical="center"/>
    </xf>
    <xf numFmtId="164" fontId="2" fillId="82" borderId="30" xfId="165" applyNumberFormat="1" applyFont="1" applyFill="1" applyBorder="1" applyAlignment="1">
      <alignment horizontal="right" vertical="center"/>
    </xf>
    <xf numFmtId="49" fontId="19" fillId="0" borderId="29" xfId="165" applyNumberFormat="1" applyFont="1" applyBorder="1" applyAlignment="1">
      <alignment horizontal="left"/>
    </xf>
    <xf numFmtId="49" fontId="19" fillId="0" borderId="29" xfId="165" applyNumberFormat="1" applyFont="1" applyBorder="1" applyAlignment="1">
      <alignment horizontal="left" wrapText="1"/>
    </xf>
    <xf numFmtId="0" fontId="19" fillId="0" borderId="0" xfId="165" applyFont="1" applyBorder="1" applyAlignment="1">
      <alignment horizontal="left"/>
    </xf>
    <xf numFmtId="0" fontId="2" fillId="0" borderId="0" xfId="165" applyFont="1" applyAlignment="1"/>
    <xf numFmtId="49" fontId="2" fillId="0" borderId="0" xfId="165" applyNumberFormat="1" applyFont="1" applyAlignment="1">
      <alignment vertical="top"/>
    </xf>
    <xf numFmtId="166" fontId="2" fillId="0" borderId="0" xfId="165" applyNumberFormat="1" applyFont="1" applyAlignment="1">
      <alignment vertical="top"/>
    </xf>
    <xf numFmtId="49" fontId="19" fillId="0" borderId="0" xfId="165" applyNumberFormat="1" applyFont="1" applyAlignment="1">
      <alignment vertical="top"/>
    </xf>
    <xf numFmtId="168" fontId="2" fillId="0" borderId="0" xfId="165" applyNumberFormat="1" applyFont="1"/>
    <xf numFmtId="1" fontId="2" fillId="0" borderId="0" xfId="165" applyNumberFormat="1" applyFont="1"/>
    <xf numFmtId="0" fontId="2" fillId="0" borderId="0" xfId="165" applyFont="1" applyAlignment="1">
      <alignment horizontal="center" vertical="top"/>
    </xf>
    <xf numFmtId="164" fontId="22" fillId="44" borderId="19" xfId="165" applyNumberFormat="1" applyFont="1" applyFill="1" applyBorder="1" applyAlignment="1">
      <alignment horizontal="right" vertical="center"/>
    </xf>
    <xf numFmtId="0" fontId="19" fillId="44" borderId="34" xfId="165" applyFont="1" applyFill="1" applyBorder="1" applyAlignment="1">
      <alignment horizontal="center" vertical="center"/>
    </xf>
    <xf numFmtId="164" fontId="22" fillId="44" borderId="4" xfId="165" applyNumberFormat="1" applyFont="1" applyFill="1" applyBorder="1" applyAlignment="1">
      <alignment horizontal="right" vertical="center"/>
    </xf>
    <xf numFmtId="0" fontId="19" fillId="44" borderId="28" xfId="165" applyFont="1" applyFill="1" applyBorder="1" applyAlignment="1">
      <alignment horizontal="center" vertical="center"/>
    </xf>
    <xf numFmtId="164" fontId="22" fillId="44" borderId="22" xfId="165" applyNumberFormat="1" applyFont="1" applyFill="1" applyBorder="1" applyAlignment="1">
      <alignment vertical="center"/>
    </xf>
    <xf numFmtId="164" fontId="21" fillId="0" borderId="4" xfId="165" applyNumberFormat="1" applyFont="1" applyBorder="1" applyAlignment="1">
      <alignment horizontal="right" vertical="center"/>
    </xf>
    <xf numFmtId="164" fontId="2" fillId="82" borderId="0" xfId="165" applyNumberFormat="1" applyFont="1" applyFill="1" applyBorder="1" applyAlignment="1">
      <alignment horizontal="center" vertical="center"/>
    </xf>
    <xf numFmtId="164" fontId="2" fillId="0" borderId="0" xfId="165" applyNumberFormat="1" applyFont="1" applyFill="1" applyBorder="1" applyAlignment="1">
      <alignment horizontal="center" vertical="center"/>
    </xf>
    <xf numFmtId="164" fontId="2" fillId="0" borderId="4" xfId="165" applyNumberFormat="1" applyFont="1" applyFill="1" applyBorder="1" applyAlignment="1">
      <alignment horizontal="center" vertical="center"/>
    </xf>
    <xf numFmtId="164" fontId="2" fillId="82" borderId="4" xfId="165" applyNumberFormat="1" applyFont="1" applyFill="1" applyBorder="1" applyAlignment="1">
      <alignment horizontal="center" vertical="center"/>
    </xf>
    <xf numFmtId="164" fontId="21" fillId="82" borderId="4" xfId="165" applyNumberFormat="1" applyFont="1" applyFill="1" applyBorder="1" applyAlignment="1">
      <alignment horizontal="center" vertical="center"/>
    </xf>
    <xf numFmtId="164" fontId="2" fillId="82" borderId="0" xfId="165" applyNumberFormat="1" applyFont="1" applyFill="1" applyBorder="1" applyAlignment="1">
      <alignment horizontal="right" vertical="center" wrapText="1"/>
    </xf>
    <xf numFmtId="164" fontId="2" fillId="0" borderId="29" xfId="165" applyNumberFormat="1" applyFont="1" applyFill="1" applyBorder="1" applyAlignment="1">
      <alignment horizontal="center" vertical="center"/>
    </xf>
    <xf numFmtId="164" fontId="2" fillId="0" borderId="19" xfId="165" applyNumberFormat="1" applyFont="1" applyFill="1" applyBorder="1" applyAlignment="1">
      <alignment horizontal="center" vertical="center"/>
    </xf>
    <xf numFmtId="164" fontId="21" fillId="82" borderId="0" xfId="165" applyNumberFormat="1" applyFont="1" applyFill="1" applyBorder="1" applyAlignment="1">
      <alignment horizontal="center" vertical="center"/>
    </xf>
    <xf numFmtId="164" fontId="2" fillId="0" borderId="22" xfId="165" applyNumberFormat="1" applyFont="1" applyFill="1" applyBorder="1" applyAlignment="1">
      <alignment horizontal="center" vertical="center"/>
    </xf>
    <xf numFmtId="164" fontId="2" fillId="82" borderId="29" xfId="165" applyNumberFormat="1" applyFont="1" applyFill="1" applyBorder="1" applyAlignment="1">
      <alignment horizontal="center" vertical="center"/>
    </xf>
    <xf numFmtId="164" fontId="2" fillId="82" borderId="19" xfId="165" applyNumberFormat="1" applyFont="1" applyFill="1" applyBorder="1" applyAlignment="1">
      <alignment horizontal="center" vertical="center"/>
    </xf>
    <xf numFmtId="0" fontId="2" fillId="0" borderId="0" xfId="165" applyFont="1" applyBorder="1" applyAlignment="1"/>
    <xf numFmtId="0" fontId="19" fillId="0" borderId="0" xfId="165" applyFont="1" applyBorder="1" applyAlignment="1">
      <alignment horizontal="left" vertical="top"/>
    </xf>
    <xf numFmtId="0" fontId="19" fillId="0" borderId="0" xfId="165" applyFont="1" applyAlignment="1">
      <alignment vertical="top"/>
    </xf>
    <xf numFmtId="168" fontId="2" fillId="0" borderId="0" xfId="165" applyNumberFormat="1" applyFont="1" applyAlignment="1">
      <alignment horizontal="left" vertical="top" wrapText="1"/>
    </xf>
    <xf numFmtId="0" fontId="17" fillId="0" borderId="0" xfId="165"/>
    <xf numFmtId="0" fontId="19" fillId="0" borderId="0" xfId="165" applyFont="1" applyBorder="1" applyAlignment="1">
      <alignment horizontal="center" vertical="top"/>
    </xf>
    <xf numFmtId="164" fontId="19" fillId="0" borderId="0" xfId="165" applyNumberFormat="1" applyFont="1" applyBorder="1" applyAlignment="1">
      <alignment horizontal="center" vertical="top"/>
    </xf>
    <xf numFmtId="2" fontId="2" fillId="0" borderId="0" xfId="165" applyNumberFormat="1" applyFont="1"/>
    <xf numFmtId="0" fontId="11" fillId="0" borderId="0" xfId="165" applyFont="1"/>
    <xf numFmtId="1" fontId="19" fillId="83" borderId="29" xfId="165" applyNumberFormat="1" applyFont="1" applyFill="1" applyBorder="1" applyAlignment="1">
      <alignment horizontal="center" wrapText="1"/>
    </xf>
    <xf numFmtId="1" fontId="19" fillId="83" borderId="12" xfId="165" applyNumberFormat="1" applyFont="1" applyFill="1" applyBorder="1" applyAlignment="1">
      <alignment horizontal="center" wrapText="1"/>
    </xf>
    <xf numFmtId="1" fontId="19" fillId="83" borderId="0" xfId="165" applyNumberFormat="1" applyFont="1" applyFill="1" applyBorder="1" applyAlignment="1">
      <alignment horizontal="center" wrapText="1"/>
    </xf>
    <xf numFmtId="164" fontId="19" fillId="44" borderId="27" xfId="165" applyNumberFormat="1" applyFont="1" applyFill="1" applyBorder="1" applyAlignment="1">
      <alignment horizontal="right" vertical="center"/>
    </xf>
    <xf numFmtId="164" fontId="22" fillId="44" borderId="29" xfId="165" applyNumberFormat="1" applyFont="1" applyFill="1" applyBorder="1" applyAlignment="1">
      <alignment horizontal="right" vertical="center"/>
    </xf>
    <xf numFmtId="164" fontId="19" fillId="44" borderId="29" xfId="165" applyNumberFormat="1" applyFont="1" applyFill="1" applyBorder="1" applyAlignment="1">
      <alignment horizontal="right" vertical="center"/>
    </xf>
    <xf numFmtId="164" fontId="22" fillId="83" borderId="29" xfId="165" applyNumberFormat="1" applyFont="1" applyFill="1" applyBorder="1" applyAlignment="1">
      <alignment horizontal="center" vertical="center"/>
    </xf>
    <xf numFmtId="164" fontId="22" fillId="83" borderId="34" xfId="165" applyNumberFormat="1" applyFont="1" applyFill="1" applyBorder="1" applyAlignment="1">
      <alignment horizontal="center" vertical="center"/>
    </xf>
    <xf numFmtId="164" fontId="19" fillId="44" borderId="19" xfId="165" applyNumberFormat="1" applyFont="1" applyFill="1" applyBorder="1" applyAlignment="1">
      <alignment horizontal="right" vertical="center"/>
    </xf>
    <xf numFmtId="164" fontId="19" fillId="44" borderId="25" xfId="165" applyNumberFormat="1" applyFont="1" applyFill="1" applyBorder="1" applyAlignment="1">
      <alignment horizontal="right" vertical="center"/>
    </xf>
    <xf numFmtId="164" fontId="19" fillId="44" borderId="0" xfId="165" applyNumberFormat="1" applyFont="1" applyFill="1" applyBorder="1" applyAlignment="1">
      <alignment horizontal="right" vertical="center"/>
    </xf>
    <xf numFmtId="164" fontId="19" fillId="83" borderId="0" xfId="165" applyNumberFormat="1" applyFont="1" applyFill="1" applyBorder="1" applyAlignment="1">
      <alignment horizontal="center" vertical="center"/>
    </xf>
    <xf numFmtId="164" fontId="19" fillId="83" borderId="28" xfId="165" applyNumberFormat="1" applyFont="1" applyFill="1" applyBorder="1" applyAlignment="1">
      <alignment horizontal="center" vertical="center"/>
    </xf>
    <xf numFmtId="164" fontId="19" fillId="44" borderId="4" xfId="165" applyNumberFormat="1" applyFont="1" applyFill="1" applyBorder="1" applyAlignment="1">
      <alignment horizontal="right" vertical="center"/>
    </xf>
    <xf numFmtId="164" fontId="19" fillId="44" borderId="12" xfId="165" applyNumberFormat="1" applyFont="1" applyFill="1" applyBorder="1" applyAlignment="1">
      <alignment vertical="center"/>
    </xf>
    <xf numFmtId="164" fontId="19" fillId="83" borderId="12" xfId="165" applyNumberFormat="1" applyFont="1" applyFill="1" applyBorder="1" applyAlignment="1">
      <alignment horizontal="center" vertical="center"/>
    </xf>
    <xf numFmtId="164" fontId="19" fillId="83" borderId="30" xfId="165" applyNumberFormat="1" applyFont="1" applyFill="1" applyBorder="1" applyAlignment="1">
      <alignment horizontal="center" vertical="center"/>
    </xf>
    <xf numFmtId="164" fontId="19" fillId="44" borderId="22" xfId="165" applyNumberFormat="1" applyFont="1" applyFill="1" applyBorder="1" applyAlignment="1">
      <alignment vertical="center"/>
    </xf>
    <xf numFmtId="164" fontId="2" fillId="83" borderId="29" xfId="165" applyNumberFormat="1" applyFont="1" applyFill="1" applyBorder="1" applyAlignment="1">
      <alignment horizontal="center" vertical="center"/>
    </xf>
    <xf numFmtId="164" fontId="2" fillId="83" borderId="0" xfId="165" applyNumberFormat="1" applyFont="1" applyFill="1" applyBorder="1" applyAlignment="1">
      <alignment horizontal="center" vertical="center"/>
    </xf>
    <xf numFmtId="164" fontId="2" fillId="83" borderId="28" xfId="165" applyNumberFormat="1" applyFont="1" applyFill="1" applyBorder="1" applyAlignment="1">
      <alignment horizontal="center" vertical="center"/>
    </xf>
    <xf numFmtId="164" fontId="2" fillId="83" borderId="31" xfId="165" applyNumberFormat="1" applyFont="1" applyFill="1" applyBorder="1" applyAlignment="1">
      <alignment horizontal="center" vertical="center"/>
    </xf>
    <xf numFmtId="164" fontId="21" fillId="83" borderId="0" xfId="165" applyNumberFormat="1" applyFont="1" applyFill="1" applyBorder="1" applyAlignment="1">
      <alignment horizontal="center" vertical="center"/>
    </xf>
    <xf numFmtId="164" fontId="2" fillId="82" borderId="26" xfId="165" applyNumberFormat="1" applyFont="1" applyFill="1" applyBorder="1" applyAlignment="1">
      <alignment horizontal="right" vertical="center"/>
    </xf>
    <xf numFmtId="164" fontId="2" fillId="83" borderId="12" xfId="165" applyNumberFormat="1" applyFont="1" applyFill="1" applyBorder="1" applyAlignment="1">
      <alignment horizontal="center" vertical="center"/>
    </xf>
    <xf numFmtId="164" fontId="2" fillId="83" borderId="30" xfId="165" applyNumberFormat="1" applyFont="1" applyFill="1" applyBorder="1" applyAlignment="1">
      <alignment horizontal="center" vertical="center"/>
    </xf>
    <xf numFmtId="164" fontId="2" fillId="83" borderId="0" xfId="165" applyNumberFormat="1" applyFont="1" applyFill="1" applyBorder="1" applyAlignment="1">
      <alignment horizontal="right" vertical="center"/>
    </xf>
    <xf numFmtId="164" fontId="2" fillId="83" borderId="28" xfId="165" applyNumberFormat="1" applyFont="1" applyFill="1" applyBorder="1" applyAlignment="1">
      <alignment horizontal="right" vertical="center"/>
    </xf>
    <xf numFmtId="164" fontId="2" fillId="83" borderId="34" xfId="165" applyNumberFormat="1" applyFont="1" applyFill="1" applyBorder="1" applyAlignment="1">
      <alignment horizontal="center" vertical="center"/>
    </xf>
    <xf numFmtId="164" fontId="2" fillId="83" borderId="12" xfId="165" applyNumberFormat="1" applyFont="1" applyFill="1" applyBorder="1" applyAlignment="1">
      <alignment horizontal="right" vertical="center"/>
    </xf>
    <xf numFmtId="164" fontId="2" fillId="83" borderId="30" xfId="165" applyNumberFormat="1" applyFont="1" applyFill="1" applyBorder="1" applyAlignment="1">
      <alignment horizontal="right" vertical="center"/>
    </xf>
    <xf numFmtId="49" fontId="19" fillId="0" borderId="0" xfId="165" applyNumberFormat="1" applyFont="1" applyBorder="1" applyAlignment="1">
      <alignment horizontal="left" wrapText="1"/>
    </xf>
    <xf numFmtId="49" fontId="19" fillId="0" borderId="0" xfId="165" applyNumberFormat="1" applyFont="1" applyBorder="1" applyAlignment="1">
      <alignment horizontal="left"/>
    </xf>
    <xf numFmtId="3" fontId="80" fillId="0" borderId="0" xfId="159" applyNumberFormat="1" applyFont="1" applyBorder="1" applyAlignment="1">
      <alignment horizontal="right"/>
    </xf>
    <xf numFmtId="3" fontId="80" fillId="0" borderId="0" xfId="159" applyNumberFormat="1" applyFont="1" applyFill="1" applyBorder="1" applyAlignment="1">
      <alignment horizontal="right"/>
    </xf>
    <xf numFmtId="164" fontId="19" fillId="0" borderId="0" xfId="165" applyNumberFormat="1" applyFont="1"/>
    <xf numFmtId="2" fontId="2" fillId="82" borderId="32" xfId="165" applyNumberFormat="1" applyFont="1" applyFill="1" applyBorder="1" applyAlignment="1">
      <alignment horizontal="right" vertical="center"/>
    </xf>
    <xf numFmtId="164" fontId="21" fillId="82" borderId="25" xfId="165" applyNumberFormat="1" applyFont="1" applyFill="1" applyBorder="1" applyAlignment="1">
      <alignment horizontal="right" vertical="center"/>
    </xf>
    <xf numFmtId="164" fontId="2" fillId="0" borderId="0" xfId="165" applyNumberFormat="1" applyFont="1" applyBorder="1"/>
    <xf numFmtId="164" fontId="21" fillId="82" borderId="35" xfId="165" applyNumberFormat="1" applyFont="1" applyFill="1" applyBorder="1" applyAlignment="1">
      <alignment horizontal="right" vertical="center"/>
    </xf>
    <xf numFmtId="0" fontId="19" fillId="82" borderId="19" xfId="165" applyFont="1" applyFill="1" applyBorder="1" applyAlignment="1">
      <alignment horizontal="center" vertical="center"/>
    </xf>
    <xf numFmtId="0" fontId="18" fillId="0" borderId="27" xfId="165" applyFont="1" applyBorder="1" applyAlignment="1">
      <alignment vertical="center"/>
    </xf>
    <xf numFmtId="0" fontId="17" fillId="0" borderId="29" xfId="165" applyBorder="1"/>
    <xf numFmtId="0" fontId="17" fillId="0" borderId="34" xfId="165" applyBorder="1"/>
    <xf numFmtId="2" fontId="17" fillId="0" borderId="0" xfId="165" applyNumberFormat="1"/>
    <xf numFmtId="177" fontId="2" fillId="0" borderId="0" xfId="165" applyNumberFormat="1" applyFont="1"/>
    <xf numFmtId="1" fontId="19" fillId="0" borderId="0" xfId="165" applyNumberFormat="1" applyFont="1" applyAlignment="1">
      <alignment vertical="top"/>
    </xf>
    <xf numFmtId="0" fontId="19" fillId="82" borderId="30" xfId="165" applyFont="1" applyFill="1" applyBorder="1" applyAlignment="1">
      <alignment horizontal="center" vertical="center"/>
    </xf>
    <xf numFmtId="177" fontId="2" fillId="82" borderId="30" xfId="165" applyNumberFormat="1" applyFont="1" applyFill="1" applyBorder="1" applyAlignment="1">
      <alignment horizontal="right" vertical="center"/>
    </xf>
    <xf numFmtId="177" fontId="2" fillId="82" borderId="12" xfId="165" applyNumberFormat="1" applyFont="1" applyFill="1" applyBorder="1" applyAlignment="1">
      <alignment horizontal="right" vertical="center"/>
    </xf>
    <xf numFmtId="171" fontId="2" fillId="82" borderId="12" xfId="165" applyNumberFormat="1" applyFont="1" applyFill="1" applyBorder="1" applyAlignment="1">
      <alignment horizontal="right" vertical="center"/>
    </xf>
    <xf numFmtId="177" fontId="2" fillId="82" borderId="26" xfId="165" applyNumberFormat="1" applyFont="1" applyFill="1" applyBorder="1" applyAlignment="1">
      <alignment horizontal="right" vertical="center"/>
    </xf>
    <xf numFmtId="177" fontId="21" fillId="0" borderId="0" xfId="165" applyNumberFormat="1" applyFont="1" applyFill="1" applyBorder="1" applyAlignment="1">
      <alignment horizontal="right" vertical="center"/>
    </xf>
    <xf numFmtId="177" fontId="2" fillId="0" borderId="0" xfId="165" applyNumberFormat="1" applyFont="1" applyFill="1" applyBorder="1" applyAlignment="1">
      <alignment horizontal="right" vertical="center"/>
    </xf>
    <xf numFmtId="171" fontId="2" fillId="0" borderId="0" xfId="165" applyNumberFormat="1" applyFont="1" applyFill="1" applyBorder="1" applyAlignment="1">
      <alignment horizontal="right" vertical="center"/>
    </xf>
    <xf numFmtId="177" fontId="2" fillId="0" borderId="25" xfId="165" applyNumberFormat="1" applyFont="1" applyFill="1" applyBorder="1" applyAlignment="1">
      <alignment horizontal="right" vertical="center"/>
    </xf>
    <xf numFmtId="177" fontId="21" fillId="82" borderId="29" xfId="165" applyNumberFormat="1" applyFont="1" applyFill="1" applyBorder="1" applyAlignment="1">
      <alignment horizontal="right" vertical="center"/>
    </xf>
    <xf numFmtId="177" fontId="21" fillId="82" borderId="0" xfId="165" applyNumberFormat="1" applyFont="1" applyFill="1" applyBorder="1" applyAlignment="1">
      <alignment horizontal="right" vertical="center"/>
    </xf>
    <xf numFmtId="177" fontId="2" fillId="82" borderId="0" xfId="165" applyNumberFormat="1" applyFont="1" applyFill="1" applyBorder="1" applyAlignment="1">
      <alignment horizontal="right" vertical="center"/>
    </xf>
    <xf numFmtId="171" fontId="2" fillId="82" borderId="0" xfId="165" applyNumberFormat="1" applyFont="1" applyFill="1" applyBorder="1" applyAlignment="1">
      <alignment horizontal="right" vertical="center"/>
    </xf>
    <xf numFmtId="177" fontId="2" fillId="82" borderId="0" xfId="165" quotePrefix="1" applyNumberFormat="1" applyFont="1" applyFill="1" applyBorder="1" applyAlignment="1">
      <alignment horizontal="right" vertical="center"/>
    </xf>
    <xf numFmtId="177" fontId="2" fillId="82" borderId="25" xfId="165" quotePrefix="1" applyNumberFormat="1" applyFont="1" applyFill="1" applyBorder="1" applyAlignment="1">
      <alignment horizontal="right" vertical="center"/>
    </xf>
    <xf numFmtId="0" fontId="19" fillId="0" borderId="30" xfId="165" applyFont="1" applyFill="1" applyBorder="1" applyAlignment="1">
      <alignment horizontal="center" vertical="center"/>
    </xf>
    <xf numFmtId="177" fontId="2" fillId="0" borderId="30" xfId="165" applyNumberFormat="1" applyFont="1" applyFill="1" applyBorder="1" applyAlignment="1">
      <alignment horizontal="right" vertical="center"/>
    </xf>
    <xf numFmtId="177" fontId="2" fillId="0" borderId="12" xfId="165" applyNumberFormat="1" applyFont="1" applyFill="1" applyBorder="1" applyAlignment="1">
      <alignment horizontal="right" vertical="center"/>
    </xf>
    <xf numFmtId="171" fontId="2" fillId="0" borderId="12" xfId="165" applyNumberFormat="1" applyFont="1" applyFill="1" applyBorder="1" applyAlignment="1">
      <alignment horizontal="right" vertical="center"/>
    </xf>
    <xf numFmtId="177" fontId="2" fillId="0" borderId="26" xfId="165" applyNumberFormat="1" applyFont="1" applyFill="1" applyBorder="1" applyAlignment="1">
      <alignment horizontal="right" vertical="center"/>
    </xf>
    <xf numFmtId="0" fontId="19" fillId="82" borderId="28" xfId="165" applyFont="1" applyFill="1" applyBorder="1" applyAlignment="1">
      <alignment horizontal="center" vertical="center"/>
    </xf>
    <xf numFmtId="177" fontId="2" fillId="82" borderId="28" xfId="165" applyNumberFormat="1" applyFont="1" applyFill="1" applyBorder="1" applyAlignment="1">
      <alignment horizontal="right" vertical="center"/>
    </xf>
    <xf numFmtId="177" fontId="2" fillId="82" borderId="25" xfId="165" applyNumberFormat="1" applyFont="1" applyFill="1" applyBorder="1" applyAlignment="1">
      <alignment horizontal="right" vertical="center"/>
    </xf>
    <xf numFmtId="0" fontId="19" fillId="0" borderId="28" xfId="165" applyFont="1" applyFill="1" applyBorder="1" applyAlignment="1">
      <alignment horizontal="center" vertical="center"/>
    </xf>
    <xf numFmtId="177" fontId="2" fillId="0" borderId="28" xfId="165" applyNumberFormat="1" applyFont="1" applyFill="1" applyBorder="1" applyAlignment="1">
      <alignment horizontal="right" vertical="center"/>
    </xf>
    <xf numFmtId="177" fontId="21" fillId="0" borderId="28" xfId="165" applyNumberFormat="1" applyFont="1" applyFill="1" applyBorder="1" applyAlignment="1">
      <alignment horizontal="right" vertical="center"/>
    </xf>
    <xf numFmtId="177" fontId="2" fillId="0" borderId="29" xfId="165" applyNumberFormat="1" applyFont="1" applyFill="1" applyBorder="1" applyAlignment="1">
      <alignment horizontal="right" vertical="center"/>
    </xf>
    <xf numFmtId="177" fontId="21" fillId="82" borderId="30" xfId="165" applyNumberFormat="1" applyFont="1" applyFill="1" applyBorder="1" applyAlignment="1">
      <alignment horizontal="right" vertical="center"/>
    </xf>
    <xf numFmtId="177" fontId="2" fillId="0" borderId="0" xfId="165" quotePrefix="1" applyNumberFormat="1" applyFont="1" applyFill="1" applyBorder="1" applyAlignment="1">
      <alignment horizontal="right" vertical="center"/>
    </xf>
    <xf numFmtId="177" fontId="2" fillId="0" borderId="25" xfId="165" quotePrefix="1" applyNumberFormat="1" applyFont="1" applyFill="1" applyBorder="1" applyAlignment="1">
      <alignment horizontal="right" vertical="center"/>
    </xf>
    <xf numFmtId="171" fontId="21" fillId="44" borderId="0" xfId="165" applyNumberFormat="1" applyFont="1" applyFill="1" applyBorder="1" applyAlignment="1">
      <alignment horizontal="right" vertical="center"/>
    </xf>
    <xf numFmtId="171" fontId="2" fillId="0" borderId="32" xfId="165" applyNumberFormat="1" applyFont="1" applyFill="1" applyBorder="1" applyAlignment="1">
      <alignment horizontal="right" vertical="center"/>
    </xf>
    <xf numFmtId="177" fontId="21" fillId="0" borderId="29" xfId="165" applyNumberFormat="1" applyFont="1" applyFill="1" applyBorder="1" applyAlignment="1">
      <alignment horizontal="right" vertical="center"/>
    </xf>
    <xf numFmtId="177" fontId="19" fillId="44" borderId="30" xfId="165" applyNumberFormat="1" applyFont="1" applyFill="1" applyBorder="1" applyAlignment="1">
      <alignment horizontal="right" vertical="center"/>
    </xf>
    <xf numFmtId="177" fontId="19" fillId="44" borderId="12" xfId="165" applyNumberFormat="1" applyFont="1" applyFill="1" applyBorder="1" applyAlignment="1">
      <alignment horizontal="right" vertical="center"/>
    </xf>
    <xf numFmtId="177" fontId="19" fillId="44" borderId="26" xfId="165" applyNumberFormat="1" applyFont="1" applyFill="1" applyBorder="1" applyAlignment="1">
      <alignment horizontal="right" vertical="center"/>
    </xf>
    <xf numFmtId="177" fontId="22" fillId="44" borderId="28" xfId="165" applyNumberFormat="1" applyFont="1" applyFill="1" applyBorder="1" applyAlignment="1">
      <alignment horizontal="right" vertical="center"/>
    </xf>
    <xf numFmtId="177" fontId="22" fillId="44" borderId="0" xfId="165" applyNumberFormat="1" applyFont="1" applyFill="1" applyBorder="1" applyAlignment="1">
      <alignment horizontal="right" vertical="center"/>
    </xf>
    <xf numFmtId="177" fontId="19" fillId="44" borderId="0" xfId="165" applyNumberFormat="1" applyFont="1" applyFill="1" applyBorder="1" applyAlignment="1">
      <alignment horizontal="right" vertical="center"/>
    </xf>
    <xf numFmtId="177" fontId="19" fillId="44" borderId="25" xfId="165" applyNumberFormat="1" applyFont="1" applyFill="1" applyBorder="1" applyAlignment="1">
      <alignment horizontal="right" vertical="center"/>
    </xf>
    <xf numFmtId="177" fontId="22" fillId="44" borderId="34" xfId="165" applyNumberFormat="1" applyFont="1" applyFill="1" applyBorder="1" applyAlignment="1">
      <alignment horizontal="right" vertical="center"/>
    </xf>
    <xf numFmtId="177" fontId="22" fillId="44" borderId="29" xfId="165" applyNumberFormat="1" applyFont="1" applyFill="1" applyBorder="1" applyAlignment="1">
      <alignment horizontal="right" vertical="center"/>
    </xf>
    <xf numFmtId="177" fontId="19" fillId="44" borderId="29" xfId="165" applyNumberFormat="1" applyFont="1" applyFill="1" applyBorder="1" applyAlignment="1">
      <alignment horizontal="right" vertical="center"/>
    </xf>
    <xf numFmtId="177" fontId="19" fillId="44" borderId="27" xfId="165" applyNumberFormat="1" applyFont="1" applyFill="1" applyBorder="1" applyAlignment="1">
      <alignment horizontal="right" vertical="center"/>
    </xf>
    <xf numFmtId="1" fontId="19" fillId="42" borderId="34" xfId="165" applyNumberFormat="1" applyFont="1" applyFill="1" applyBorder="1" applyAlignment="1">
      <alignment horizontal="center" vertical="center"/>
    </xf>
    <xf numFmtId="1" fontId="19" fillId="42" borderId="29" xfId="165" applyNumberFormat="1" applyFont="1" applyFill="1" applyBorder="1" applyAlignment="1">
      <alignment horizontal="center" vertical="center"/>
    </xf>
    <xf numFmtId="1" fontId="19" fillId="42" borderId="16" xfId="165" applyNumberFormat="1" applyFont="1" applyFill="1" applyBorder="1" applyAlignment="1">
      <alignment horizontal="center" vertical="center"/>
    </xf>
    <xf numFmtId="1" fontId="19" fillId="42" borderId="20" xfId="165" applyNumberFormat="1" applyFont="1" applyFill="1" applyBorder="1" applyAlignment="1">
      <alignment horizontal="center" vertical="center"/>
    </xf>
    <xf numFmtId="0" fontId="17" fillId="0" borderId="0" xfId="165" applyFont="1" applyBorder="1" applyAlignment="1">
      <alignment horizontal="right" vertical="top"/>
    </xf>
    <xf numFmtId="0" fontId="17" fillId="0" borderId="12" xfId="165" applyFont="1" applyBorder="1" applyAlignment="1">
      <alignment horizontal="right" vertical="top"/>
    </xf>
    <xf numFmtId="0" fontId="2" fillId="0" borderId="0" xfId="165" applyFont="1" applyFill="1" applyBorder="1"/>
    <xf numFmtId="0" fontId="17" fillId="0" borderId="0" xfId="165" applyFont="1" applyBorder="1" applyAlignment="1">
      <alignment horizontal="center" vertical="center"/>
    </xf>
    <xf numFmtId="0" fontId="11" fillId="0" borderId="0" xfId="165" applyFont="1" applyAlignment="1">
      <alignment vertical="top" wrapText="1"/>
    </xf>
    <xf numFmtId="177" fontId="2" fillId="44" borderId="29" xfId="165" applyNumberFormat="1" applyFont="1" applyFill="1" applyBorder="1" applyAlignment="1">
      <alignment horizontal="right" vertical="center"/>
    </xf>
    <xf numFmtId="0" fontId="3" fillId="0" borderId="0" xfId="165" applyFont="1"/>
    <xf numFmtId="0" fontId="17" fillId="0" borderId="0" xfId="165" applyFill="1"/>
    <xf numFmtId="0" fontId="19" fillId="0" borderId="0" xfId="165" applyFont="1" applyFill="1" applyBorder="1" applyAlignment="1">
      <alignment horizontal="center" vertical="center" wrapText="1"/>
    </xf>
    <xf numFmtId="177" fontId="21" fillId="0" borderId="27" xfId="165" applyNumberFormat="1" applyFont="1" applyFill="1" applyBorder="1" applyAlignment="1">
      <alignment horizontal="right" vertical="center"/>
    </xf>
    <xf numFmtId="177" fontId="2" fillId="0" borderId="34" xfId="165" applyNumberFormat="1" applyFont="1" applyFill="1" applyBorder="1" applyAlignment="1">
      <alignment horizontal="right" vertical="center"/>
    </xf>
    <xf numFmtId="177" fontId="2" fillId="44" borderId="0" xfId="165" applyNumberFormat="1" applyFont="1" applyFill="1" applyBorder="1" applyAlignment="1">
      <alignment vertical="center"/>
    </xf>
    <xf numFmtId="177" fontId="2" fillId="44" borderId="28" xfId="165" applyNumberFormat="1" applyFont="1" applyFill="1" applyBorder="1" applyAlignment="1">
      <alignment vertical="center"/>
    </xf>
    <xf numFmtId="177" fontId="2" fillId="0" borderId="0" xfId="165" applyNumberFormat="1" applyFont="1" applyFill="1" applyBorder="1" applyAlignment="1">
      <alignment vertical="center"/>
    </xf>
    <xf numFmtId="177" fontId="2" fillId="0" borderId="28" xfId="165" applyNumberFormat="1" applyFont="1" applyFill="1" applyBorder="1" applyAlignment="1">
      <alignment vertical="center"/>
    </xf>
    <xf numFmtId="171" fontId="17" fillId="0" borderId="0" xfId="165" applyNumberFormat="1"/>
    <xf numFmtId="177" fontId="21" fillId="82" borderId="28" xfId="165" applyNumberFormat="1" applyFont="1" applyFill="1" applyBorder="1" applyAlignment="1">
      <alignment horizontal="right" vertical="center"/>
    </xf>
    <xf numFmtId="0" fontId="100" fillId="0" borderId="0" xfId="165" applyFont="1" applyAlignment="1" applyProtection="1">
      <alignment horizontal="left"/>
      <protection locked="0"/>
    </xf>
    <xf numFmtId="177" fontId="2" fillId="82" borderId="0" xfId="165" applyNumberFormat="1" applyFont="1" applyFill="1" applyBorder="1" applyAlignment="1">
      <alignment horizontal="center" vertical="center"/>
    </xf>
    <xf numFmtId="177" fontId="2" fillId="82" borderId="28" xfId="165" applyNumberFormat="1" applyFont="1" applyFill="1" applyBorder="1" applyAlignment="1">
      <alignment horizontal="center" vertical="center"/>
    </xf>
    <xf numFmtId="177" fontId="2" fillId="0" borderId="0" xfId="165" applyNumberFormat="1" applyFont="1" applyFill="1" applyBorder="1" applyAlignment="1">
      <alignment horizontal="center" vertical="center"/>
    </xf>
    <xf numFmtId="177" fontId="21" fillId="0" borderId="25" xfId="165" applyNumberFormat="1" applyFont="1" applyFill="1" applyBorder="1" applyAlignment="1">
      <alignment horizontal="right" vertical="center"/>
    </xf>
    <xf numFmtId="177" fontId="2" fillId="82" borderId="29" xfId="165" applyNumberFormat="1" applyFont="1" applyFill="1" applyBorder="1" applyAlignment="1">
      <alignment horizontal="right" vertical="center"/>
    </xf>
    <xf numFmtId="177" fontId="2" fillId="82" borderId="34" xfId="165" applyNumberFormat="1" applyFont="1" applyFill="1" applyBorder="1" applyAlignment="1">
      <alignment horizontal="right" vertical="center"/>
    </xf>
    <xf numFmtId="3" fontId="17" fillId="0" borderId="0" xfId="165" applyNumberFormat="1" applyAlignment="1">
      <alignment wrapText="1"/>
    </xf>
    <xf numFmtId="1" fontId="19" fillId="42" borderId="27" xfId="165" applyNumberFormat="1" applyFont="1" applyFill="1" applyBorder="1" applyAlignment="1">
      <alignment horizontal="center"/>
    </xf>
    <xf numFmtId="1" fontId="19" fillId="42" borderId="26" xfId="165" applyNumberFormat="1" applyFont="1" applyFill="1" applyBorder="1" applyAlignment="1">
      <alignment horizontal="center" vertical="center"/>
    </xf>
    <xf numFmtId="177" fontId="19" fillId="44" borderId="27" xfId="165" applyNumberFormat="1" applyFont="1" applyFill="1" applyBorder="1" applyAlignment="1">
      <alignment vertical="center"/>
    </xf>
    <xf numFmtId="177" fontId="19" fillId="44" borderId="29" xfId="165" applyNumberFormat="1" applyFont="1" applyFill="1" applyBorder="1" applyAlignment="1">
      <alignment vertical="center"/>
    </xf>
    <xf numFmtId="177" fontId="19" fillId="44" borderId="35" xfId="165" applyNumberFormat="1" applyFont="1" applyFill="1" applyBorder="1" applyAlignment="1">
      <alignment horizontal="right" vertical="center"/>
    </xf>
    <xf numFmtId="177" fontId="22" fillId="44" borderId="29" xfId="165" applyNumberFormat="1" applyFont="1" applyFill="1" applyBorder="1" applyAlignment="1">
      <alignment vertical="center"/>
    </xf>
    <xf numFmtId="177" fontId="22" fillId="44" borderId="35" xfId="165" applyNumberFormat="1" applyFont="1" applyFill="1" applyBorder="1" applyAlignment="1">
      <alignment vertical="center"/>
    </xf>
    <xf numFmtId="177" fontId="19" fillId="44" borderId="25" xfId="165" applyNumberFormat="1" applyFont="1" applyFill="1" applyBorder="1" applyAlignment="1">
      <alignment vertical="center"/>
    </xf>
    <xf numFmtId="177" fontId="19" fillId="44" borderId="0" xfId="165" applyNumberFormat="1" applyFont="1" applyFill="1" applyBorder="1" applyAlignment="1">
      <alignment vertical="center"/>
    </xf>
    <xf numFmtId="177" fontId="19" fillId="44" borderId="31" xfId="165" applyNumberFormat="1" applyFont="1" applyFill="1" applyBorder="1" applyAlignment="1">
      <alignment horizontal="right" vertical="center"/>
    </xf>
    <xf numFmtId="177" fontId="22" fillId="44" borderId="0" xfId="165" applyNumberFormat="1" applyFont="1" applyFill="1" applyBorder="1" applyAlignment="1">
      <alignment vertical="center"/>
    </xf>
    <xf numFmtId="177" fontId="22" fillId="44" borderId="31" xfId="165" applyNumberFormat="1" applyFont="1" applyFill="1" applyBorder="1" applyAlignment="1">
      <alignment vertical="center"/>
    </xf>
    <xf numFmtId="177" fontId="19" fillId="44" borderId="26" xfId="165" applyNumberFormat="1" applyFont="1" applyFill="1" applyBorder="1" applyAlignment="1">
      <alignment vertical="center"/>
    </xf>
    <xf numFmtId="177" fontId="19" fillId="44" borderId="12" xfId="165" applyNumberFormat="1" applyFont="1" applyFill="1" applyBorder="1" applyAlignment="1">
      <alignment vertical="center"/>
    </xf>
    <xf numFmtId="164" fontId="19" fillId="44" borderId="12" xfId="165" applyNumberFormat="1" applyFont="1" applyFill="1" applyBorder="1" applyAlignment="1">
      <alignment horizontal="right" vertical="center"/>
    </xf>
    <xf numFmtId="177" fontId="2" fillId="0" borderId="27" xfId="165" applyNumberFormat="1" applyFont="1" applyFill="1" applyBorder="1" applyAlignment="1">
      <alignment vertical="center"/>
    </xf>
    <xf numFmtId="177" fontId="2" fillId="0" borderId="29" xfId="165" applyNumberFormat="1" applyFont="1" applyFill="1" applyBorder="1" applyAlignment="1">
      <alignment vertical="center"/>
    </xf>
    <xf numFmtId="177" fontId="2" fillId="0" borderId="25" xfId="165" applyNumberFormat="1" applyFont="1" applyBorder="1" applyAlignment="1">
      <alignment vertical="center"/>
    </xf>
    <xf numFmtId="177" fontId="2" fillId="0" borderId="0" xfId="165" applyNumberFormat="1" applyFont="1" applyBorder="1" applyAlignment="1">
      <alignment vertical="center"/>
    </xf>
    <xf numFmtId="177" fontId="21" fillId="0" borderId="0" xfId="165" applyNumberFormat="1" applyFont="1" applyBorder="1" applyAlignment="1">
      <alignment vertical="center"/>
    </xf>
    <xf numFmtId="164" fontId="2" fillId="0" borderId="0" xfId="165" applyNumberFormat="1" applyFont="1" applyFill="1" applyBorder="1" applyAlignment="1">
      <alignment vertical="center"/>
    </xf>
    <xf numFmtId="177" fontId="2" fillId="44" borderId="25" xfId="165" applyNumberFormat="1" applyFont="1" applyFill="1" applyBorder="1" applyAlignment="1">
      <alignment vertical="center"/>
    </xf>
    <xf numFmtId="177" fontId="2" fillId="0" borderId="25" xfId="165" applyNumberFormat="1" applyFont="1" applyFill="1" applyBorder="1" applyAlignment="1">
      <alignment vertical="center"/>
    </xf>
    <xf numFmtId="177" fontId="2" fillId="0" borderId="31" xfId="165" applyNumberFormat="1" applyFont="1" applyFill="1" applyBorder="1" applyAlignment="1">
      <alignment horizontal="right" vertical="center"/>
    </xf>
    <xf numFmtId="177" fontId="2" fillId="0" borderId="31" xfId="165" applyNumberFormat="1" applyFont="1" applyBorder="1" applyAlignment="1">
      <alignment vertical="center"/>
    </xf>
    <xf numFmtId="177" fontId="2" fillId="44" borderId="31" xfId="165" applyNumberFormat="1" applyFont="1" applyFill="1" applyBorder="1" applyAlignment="1">
      <alignment horizontal="right" vertical="center"/>
    </xf>
    <xf numFmtId="164" fontId="2" fillId="44" borderId="0" xfId="165" applyNumberFormat="1" applyFont="1" applyFill="1" applyBorder="1" applyAlignment="1">
      <alignment vertical="center"/>
    </xf>
    <xf numFmtId="177" fontId="2" fillId="0" borderId="25" xfId="165" applyNumberFormat="1" applyFont="1" applyBorder="1" applyAlignment="1">
      <alignment horizontal="right" vertical="center"/>
    </xf>
    <xf numFmtId="177" fontId="2" fillId="0" borderId="0" xfId="165" applyNumberFormat="1" applyFont="1" applyBorder="1" applyAlignment="1">
      <alignment horizontal="right" vertical="center"/>
    </xf>
    <xf numFmtId="177" fontId="2" fillId="0" borderId="25" xfId="165" quotePrefix="1" applyNumberFormat="1" applyFont="1" applyBorder="1" applyAlignment="1">
      <alignment horizontal="right" vertical="center"/>
    </xf>
    <xf numFmtId="177" fontId="2" fillId="0" borderId="0" xfId="165" quotePrefix="1" applyNumberFormat="1" applyFont="1" applyBorder="1" applyAlignment="1">
      <alignment horizontal="right" vertical="center"/>
    </xf>
    <xf numFmtId="164" fontId="2" fillId="0" borderId="0" xfId="165" quotePrefix="1" applyNumberFormat="1" applyFont="1" applyBorder="1" applyAlignment="1">
      <alignment horizontal="right" vertical="center"/>
    </xf>
    <xf numFmtId="177" fontId="2" fillId="0" borderId="0" xfId="165" applyNumberFormat="1" applyFont="1" applyFill="1" applyBorder="1" applyAlignment="1">
      <alignment horizontal="right"/>
    </xf>
    <xf numFmtId="177" fontId="2" fillId="82" borderId="25" xfId="165" applyNumberFormat="1" applyFont="1" applyFill="1" applyBorder="1" applyAlignment="1">
      <alignment vertical="center"/>
    </xf>
    <xf numFmtId="177" fontId="2" fillId="82" borderId="0" xfId="165" applyNumberFormat="1" applyFont="1" applyFill="1" applyBorder="1" applyAlignment="1">
      <alignment vertical="center"/>
    </xf>
    <xf numFmtId="164" fontId="2" fillId="82" borderId="0" xfId="165" applyNumberFormat="1" applyFont="1" applyFill="1" applyBorder="1" applyAlignment="1">
      <alignment vertical="center"/>
    </xf>
    <xf numFmtId="177" fontId="21" fillId="0" borderId="29" xfId="165" applyNumberFormat="1" applyFont="1" applyFill="1" applyBorder="1" applyAlignment="1">
      <alignment vertical="center"/>
    </xf>
    <xf numFmtId="164" fontId="21" fillId="0" borderId="29" xfId="165" applyNumberFormat="1" applyFont="1" applyFill="1" applyBorder="1" applyAlignment="1">
      <alignment vertical="center"/>
    </xf>
    <xf numFmtId="177" fontId="2" fillId="0" borderId="26" xfId="165" applyNumberFormat="1" applyFont="1" applyFill="1" applyBorder="1" applyAlignment="1">
      <alignment vertical="center"/>
    </xf>
    <xf numFmtId="177" fontId="2" fillId="0" borderId="12" xfId="165" applyNumberFormat="1" applyFont="1" applyFill="1" applyBorder="1" applyAlignment="1">
      <alignment vertical="center"/>
    </xf>
    <xf numFmtId="177" fontId="2" fillId="82" borderId="29" xfId="165" quotePrefix="1" applyNumberFormat="1" applyFont="1" applyFill="1" applyBorder="1" applyAlignment="1">
      <alignment horizontal="right" vertical="center"/>
    </xf>
    <xf numFmtId="177" fontId="2" fillId="82" borderId="27" xfId="165" quotePrefix="1" applyNumberFormat="1" applyFont="1" applyFill="1" applyBorder="1" applyAlignment="1">
      <alignment horizontal="right" vertical="center"/>
    </xf>
    <xf numFmtId="3" fontId="2" fillId="82" borderId="29" xfId="165" quotePrefix="1" applyNumberFormat="1" applyFont="1" applyFill="1" applyBorder="1" applyAlignment="1">
      <alignment horizontal="right" vertical="center"/>
    </xf>
    <xf numFmtId="177" fontId="2" fillId="82" borderId="26" xfId="165" applyNumberFormat="1" applyFont="1" applyFill="1" applyBorder="1" applyAlignment="1">
      <alignment vertical="center"/>
    </xf>
    <xf numFmtId="177" fontId="2" fillId="82" borderId="12" xfId="165" applyNumberFormat="1" applyFont="1" applyFill="1" applyBorder="1" applyAlignment="1">
      <alignment vertical="center"/>
    </xf>
    <xf numFmtId="164" fontId="2" fillId="82" borderId="12" xfId="165" applyNumberFormat="1" applyFont="1" applyFill="1" applyBorder="1" applyAlignment="1">
      <alignment vertical="center"/>
    </xf>
    <xf numFmtId="177" fontId="2" fillId="44" borderId="27" xfId="165" applyNumberFormat="1" applyFont="1" applyFill="1" applyBorder="1" applyAlignment="1">
      <alignment vertical="center"/>
    </xf>
    <xf numFmtId="177" fontId="2" fillId="44" borderId="29" xfId="165" applyNumberFormat="1" applyFont="1" applyFill="1" applyBorder="1" applyAlignment="1">
      <alignment vertical="center"/>
    </xf>
    <xf numFmtId="177" fontId="2" fillId="44" borderId="32" xfId="165" applyNumberFormat="1" applyFont="1" applyFill="1" applyBorder="1" applyAlignment="1">
      <alignment vertical="center"/>
    </xf>
    <xf numFmtId="177" fontId="2" fillId="82" borderId="31" xfId="165" applyNumberFormat="1" applyFont="1" applyFill="1" applyBorder="1" applyAlignment="1">
      <alignment horizontal="right" vertical="center"/>
    </xf>
    <xf numFmtId="0" fontId="10" fillId="0" borderId="0" xfId="165" applyFont="1" applyAlignment="1">
      <alignment horizontal="center"/>
    </xf>
    <xf numFmtId="1" fontId="11" fillId="0" borderId="0" xfId="165" applyNumberFormat="1" applyFont="1" applyAlignment="1">
      <alignment horizontal="center"/>
    </xf>
    <xf numFmtId="9" fontId="11" fillId="0" borderId="0" xfId="165" applyNumberFormat="1" applyFont="1" applyAlignment="1">
      <alignment horizontal="center"/>
    </xf>
    <xf numFmtId="0" fontId="19" fillId="0" borderId="0" xfId="165" applyFont="1" applyAlignment="1">
      <alignment horizontal="center"/>
    </xf>
    <xf numFmtId="1" fontId="2" fillId="0" borderId="0" xfId="165" applyNumberFormat="1" applyFont="1" applyAlignment="1">
      <alignment horizontal="center"/>
    </xf>
    <xf numFmtId="0" fontId="2" fillId="0" borderId="0" xfId="165" applyFont="1" applyBorder="1" applyAlignment="1" applyProtection="1">
      <alignment horizontal="right" vertical="center"/>
    </xf>
    <xf numFmtId="0" fontId="20" fillId="42" borderId="34" xfId="165" applyFont="1" applyFill="1" applyBorder="1" applyAlignment="1">
      <alignment horizontal="center" wrapText="1"/>
    </xf>
    <xf numFmtId="1" fontId="19" fillId="42" borderId="25" xfId="165" applyNumberFormat="1" applyFont="1" applyFill="1" applyBorder="1" applyAlignment="1">
      <alignment horizontal="center" vertical="center"/>
    </xf>
    <xf numFmtId="0" fontId="19" fillId="42" borderId="0" xfId="165" applyFont="1" applyFill="1" applyBorder="1" applyAlignment="1">
      <alignment horizontal="center" vertical="top"/>
    </xf>
    <xf numFmtId="0" fontId="19" fillId="42" borderId="12" xfId="165" applyFont="1" applyFill="1" applyBorder="1" applyAlignment="1">
      <alignment horizontal="center" vertical="top"/>
    </xf>
    <xf numFmtId="0" fontId="19" fillId="42" borderId="30" xfId="165" applyFont="1" applyFill="1" applyBorder="1" applyAlignment="1">
      <alignment horizontal="center" vertical="top"/>
    </xf>
    <xf numFmtId="177" fontId="19" fillId="82" borderId="19" xfId="165" applyNumberFormat="1" applyFont="1" applyFill="1" applyBorder="1" applyAlignment="1">
      <alignment horizontal="right"/>
    </xf>
    <xf numFmtId="177" fontId="22" fillId="82" borderId="29" xfId="165" applyNumberFormat="1" applyFont="1" applyFill="1" applyBorder="1" applyAlignment="1">
      <alignment horizontal="right"/>
    </xf>
    <xf numFmtId="177" fontId="19" fillId="82" borderId="29" xfId="165" applyNumberFormat="1" applyFont="1" applyFill="1" applyBorder="1" applyAlignment="1">
      <alignment horizontal="right"/>
    </xf>
    <xf numFmtId="164" fontId="19" fillId="82" borderId="19" xfId="165" applyNumberFormat="1" applyFont="1" applyFill="1" applyBorder="1" applyAlignment="1">
      <alignment horizontal="right"/>
    </xf>
    <xf numFmtId="177" fontId="19" fillId="82" borderId="4" xfId="165" applyNumberFormat="1" applyFont="1" applyFill="1" applyBorder="1" applyAlignment="1">
      <alignment horizontal="right"/>
    </xf>
    <xf numFmtId="177" fontId="22" fillId="82" borderId="0" xfId="165" applyNumberFormat="1" applyFont="1" applyFill="1" applyBorder="1" applyAlignment="1">
      <alignment horizontal="right"/>
    </xf>
    <xf numFmtId="177" fontId="19" fillId="82" borderId="0" xfId="165" applyNumberFormat="1" applyFont="1" applyFill="1" applyBorder="1" applyAlignment="1">
      <alignment horizontal="right"/>
    </xf>
    <xf numFmtId="164" fontId="19" fillId="82" borderId="4" xfId="165" applyNumberFormat="1" applyFont="1" applyFill="1" applyBorder="1" applyAlignment="1">
      <alignment horizontal="right"/>
    </xf>
    <xf numFmtId="177" fontId="19" fillId="82" borderId="22" xfId="165" applyNumberFormat="1" applyFont="1" applyFill="1" applyBorder="1" applyAlignment="1">
      <alignment horizontal="right"/>
    </xf>
    <xf numFmtId="177" fontId="22" fillId="82" borderId="12" xfId="165" applyNumberFormat="1" applyFont="1" applyFill="1" applyBorder="1" applyAlignment="1">
      <alignment horizontal="right"/>
    </xf>
    <xf numFmtId="177" fontId="19" fillId="82" borderId="12" xfId="165" applyNumberFormat="1" applyFont="1" applyFill="1" applyBorder="1" applyAlignment="1">
      <alignment horizontal="right"/>
    </xf>
    <xf numFmtId="164" fontId="19" fillId="82" borderId="22" xfId="165" applyNumberFormat="1" applyFont="1" applyFill="1" applyBorder="1" applyAlignment="1">
      <alignment horizontal="right"/>
    </xf>
    <xf numFmtId="177" fontId="2" fillId="0" borderId="4" xfId="165" applyNumberFormat="1" applyFont="1" applyFill="1" applyBorder="1" applyAlignment="1">
      <alignment horizontal="right" vertical="center"/>
    </xf>
    <xf numFmtId="177" fontId="2" fillId="82" borderId="4" xfId="165" applyNumberFormat="1" applyFont="1" applyFill="1" applyBorder="1" applyAlignment="1">
      <alignment horizontal="right" vertical="center"/>
    </xf>
    <xf numFmtId="177" fontId="2" fillId="82" borderId="32" xfId="165" applyNumberFormat="1" applyFont="1" applyFill="1" applyBorder="1" applyAlignment="1">
      <alignment horizontal="right" vertical="center"/>
    </xf>
    <xf numFmtId="177" fontId="2" fillId="0" borderId="32" xfId="165" applyNumberFormat="1" applyFont="1" applyFill="1" applyBorder="1" applyAlignment="1">
      <alignment horizontal="right" vertical="center"/>
    </xf>
    <xf numFmtId="177" fontId="2" fillId="0" borderId="0" xfId="165" applyNumberFormat="1" applyFont="1" applyFill="1" applyBorder="1" applyAlignment="1">
      <alignment horizontal="right" vertical="center" wrapText="1"/>
    </xf>
    <xf numFmtId="164" fontId="2" fillId="0" borderId="4" xfId="165" applyNumberFormat="1" applyFont="1" applyFill="1" applyBorder="1" applyAlignment="1">
      <alignment horizontal="right" vertical="center" wrapText="1"/>
    </xf>
    <xf numFmtId="177" fontId="2" fillId="82" borderId="22" xfId="165" applyNumberFormat="1" applyFont="1" applyFill="1" applyBorder="1" applyAlignment="1">
      <alignment horizontal="right" vertical="center"/>
    </xf>
    <xf numFmtId="177" fontId="2" fillId="0" borderId="28" xfId="165" applyNumberFormat="1" applyFont="1" applyFill="1" applyBorder="1" applyAlignment="1">
      <alignment horizontal="right" vertical="center" wrapText="1"/>
    </xf>
    <xf numFmtId="177" fontId="2" fillId="0" borderId="22" xfId="165" applyNumberFormat="1" applyFont="1" applyFill="1" applyBorder="1" applyAlignment="1">
      <alignment horizontal="right" vertical="center"/>
    </xf>
    <xf numFmtId="164" fontId="2" fillId="0" borderId="30" xfId="165" applyNumberFormat="1" applyFont="1" applyFill="1" applyBorder="1" applyAlignment="1">
      <alignment horizontal="right" vertical="center"/>
    </xf>
    <xf numFmtId="177" fontId="2" fillId="82" borderId="19" xfId="165" applyNumberFormat="1" applyFont="1" applyFill="1" applyBorder="1" applyAlignment="1">
      <alignment horizontal="right" vertical="center"/>
    </xf>
    <xf numFmtId="0" fontId="138" fillId="0" borderId="0" xfId="0" applyFont="1"/>
    <xf numFmtId="0" fontId="11" fillId="0" borderId="0" xfId="165" applyFont="1" applyBorder="1" applyAlignment="1">
      <alignment vertical="top" wrapText="1"/>
    </xf>
    <xf numFmtId="0" fontId="11" fillId="0" borderId="0" xfId="165" applyFont="1" applyBorder="1"/>
    <xf numFmtId="0" fontId="17" fillId="0" borderId="0" xfId="165" applyFont="1"/>
    <xf numFmtId="0" fontId="2" fillId="0" borderId="12" xfId="165" applyFont="1" applyBorder="1" applyAlignment="1">
      <alignment horizontal="right" vertical="center"/>
    </xf>
    <xf numFmtId="0" fontId="19" fillId="42" borderId="22" xfId="165" applyFont="1" applyFill="1" applyBorder="1" applyAlignment="1">
      <alignment horizontal="center" vertical="center"/>
    </xf>
    <xf numFmtId="186" fontId="19" fillId="44" borderId="27" xfId="165" quotePrefix="1" applyNumberFormat="1" applyFont="1" applyFill="1" applyBorder="1" applyAlignment="1">
      <alignment horizontal="right" vertical="center"/>
    </xf>
    <xf numFmtId="186" fontId="19" fillId="44" borderId="19" xfId="165" quotePrefix="1" applyNumberFormat="1" applyFont="1" applyFill="1" applyBorder="1" applyAlignment="1">
      <alignment horizontal="right" vertical="center"/>
    </xf>
    <xf numFmtId="186" fontId="19" fillId="44" borderId="29" xfId="165" quotePrefix="1" applyNumberFormat="1" applyFont="1" applyFill="1" applyBorder="1" applyAlignment="1">
      <alignment horizontal="right" vertical="center"/>
    </xf>
    <xf numFmtId="186" fontId="19" fillId="44" borderId="29" xfId="165" applyNumberFormat="1" applyFont="1" applyFill="1" applyBorder="1" applyAlignment="1">
      <alignment horizontal="right" vertical="center"/>
    </xf>
    <xf numFmtId="186" fontId="22" fillId="44" borderId="29" xfId="165" applyNumberFormat="1" applyFont="1" applyFill="1" applyBorder="1" applyAlignment="1">
      <alignment horizontal="right" vertical="center"/>
    </xf>
    <xf numFmtId="186" fontId="19" fillId="44" borderId="19" xfId="165" applyNumberFormat="1" applyFont="1" applyFill="1" applyBorder="1" applyAlignment="1">
      <alignment horizontal="right" vertical="center"/>
    </xf>
    <xf numFmtId="186" fontId="19" fillId="44" borderId="0" xfId="165" quotePrefix="1" applyNumberFormat="1" applyFont="1" applyFill="1" applyBorder="1" applyAlignment="1">
      <alignment horizontal="right" vertical="center"/>
    </xf>
    <xf numFmtId="186" fontId="19" fillId="44" borderId="4" xfId="165" quotePrefix="1" applyNumberFormat="1" applyFont="1" applyFill="1" applyBorder="1" applyAlignment="1">
      <alignment horizontal="right" vertical="center"/>
    </xf>
    <xf numFmtId="186" fontId="22" fillId="44" borderId="0" xfId="165" quotePrefix="1" applyNumberFormat="1" applyFont="1" applyFill="1" applyBorder="1" applyAlignment="1">
      <alignment horizontal="right" vertical="center"/>
    </xf>
    <xf numFmtId="186" fontId="19" fillId="44" borderId="26" xfId="165" quotePrefix="1" applyNumberFormat="1" applyFont="1" applyFill="1" applyBorder="1" applyAlignment="1">
      <alignment horizontal="right" vertical="center"/>
    </xf>
    <xf numFmtId="186" fontId="19" fillId="44" borderId="22" xfId="165" quotePrefix="1" applyNumberFormat="1" applyFont="1" applyFill="1" applyBorder="1" applyAlignment="1">
      <alignment horizontal="right" vertical="center"/>
    </xf>
    <xf numFmtId="186" fontId="2" fillId="0" borderId="19" xfId="165" applyNumberFormat="1" applyFont="1" applyFill="1" applyBorder="1" applyAlignment="1">
      <alignment horizontal="right" vertical="center"/>
    </xf>
    <xf numFmtId="186" fontId="2" fillId="44" borderId="25" xfId="165" applyNumberFormat="1" applyFont="1" applyFill="1" applyBorder="1" applyAlignment="1">
      <alignment horizontal="right" vertical="center"/>
    </xf>
    <xf numFmtId="186" fontId="2" fillId="44" borderId="4" xfId="165" applyNumberFormat="1" applyFont="1" applyFill="1" applyBorder="1" applyAlignment="1">
      <alignment horizontal="right" vertical="center"/>
    </xf>
    <xf numFmtId="186" fontId="2" fillId="44" borderId="0" xfId="165" applyNumberFormat="1" applyFont="1" applyFill="1" applyBorder="1" applyAlignment="1">
      <alignment horizontal="right" vertical="center"/>
    </xf>
    <xf numFmtId="186" fontId="2" fillId="44" borderId="32" xfId="165" applyNumberFormat="1" applyFont="1" applyFill="1" applyBorder="1" applyAlignment="1">
      <alignment horizontal="right" vertical="center"/>
    </xf>
    <xf numFmtId="186" fontId="2" fillId="0" borderId="25" xfId="165" quotePrefix="1" applyNumberFormat="1" applyFont="1" applyFill="1" applyBorder="1" applyAlignment="1">
      <alignment horizontal="right" vertical="center"/>
    </xf>
    <xf numFmtId="186" fontId="2" fillId="0" borderId="4" xfId="165" quotePrefix="1" applyNumberFormat="1" applyFont="1" applyFill="1" applyBorder="1" applyAlignment="1">
      <alignment horizontal="right" vertical="center"/>
    </xf>
    <xf numFmtId="186" fontId="2" fillId="0" borderId="0" xfId="165" quotePrefix="1" applyNumberFormat="1" applyFont="1" applyFill="1" applyBorder="1" applyAlignment="1">
      <alignment horizontal="right" vertical="center"/>
    </xf>
    <xf numFmtId="186" fontId="2" fillId="0" borderId="0" xfId="165" applyNumberFormat="1" applyFont="1" applyFill="1" applyBorder="1" applyAlignment="1">
      <alignment horizontal="right" vertical="center"/>
    </xf>
    <xf numFmtId="186" fontId="2" fillId="0" borderId="0" xfId="165" applyNumberFormat="1" applyFont="1" applyBorder="1" applyAlignment="1">
      <alignment vertical="top" wrapText="1"/>
    </xf>
    <xf numFmtId="186" fontId="2" fillId="0" borderId="4" xfId="165" applyNumberFormat="1" applyFont="1" applyBorder="1" applyAlignment="1">
      <alignment vertical="top" wrapText="1"/>
    </xf>
    <xf numFmtId="186" fontId="2" fillId="0" borderId="25" xfId="165" applyNumberFormat="1" applyFont="1" applyFill="1" applyBorder="1" applyAlignment="1">
      <alignment horizontal="right" vertical="center"/>
    </xf>
    <xf numFmtId="186" fontId="2" fillId="0" borderId="4" xfId="165" applyNumberFormat="1" applyFont="1" applyFill="1" applyBorder="1" applyAlignment="1">
      <alignment horizontal="right" vertical="center"/>
    </xf>
    <xf numFmtId="186" fontId="2" fillId="0" borderId="32" xfId="165" applyNumberFormat="1" applyFont="1" applyFill="1" applyBorder="1" applyAlignment="1">
      <alignment horizontal="right" vertical="center"/>
    </xf>
    <xf numFmtId="186" fontId="2" fillId="0" borderId="31" xfId="165" applyNumberFormat="1" applyFont="1" applyFill="1" applyBorder="1" applyAlignment="1">
      <alignment horizontal="right" vertical="center"/>
    </xf>
    <xf numFmtId="186" fontId="2" fillId="0" borderId="28" xfId="165" applyNumberFormat="1" applyFont="1" applyFill="1" applyBorder="1" applyAlignment="1">
      <alignment horizontal="right" vertical="center"/>
    </xf>
    <xf numFmtId="186" fontId="2" fillId="82" borderId="4" xfId="165" applyNumberFormat="1" applyFont="1" applyFill="1" applyBorder="1" applyAlignment="1">
      <alignment horizontal="right" vertical="center"/>
    </xf>
    <xf numFmtId="186" fontId="2" fillId="82" borderId="25" xfId="165" applyNumberFormat="1" applyFont="1" applyFill="1" applyBorder="1" applyAlignment="1">
      <alignment horizontal="right" vertical="center"/>
    </xf>
    <xf numFmtId="186" fontId="2" fillId="82" borderId="0" xfId="165" applyNumberFormat="1" applyFont="1" applyFill="1" applyBorder="1" applyAlignment="1">
      <alignment horizontal="right" vertical="center"/>
    </xf>
    <xf numFmtId="186" fontId="2" fillId="82" borderId="31" xfId="165" applyNumberFormat="1" applyFont="1" applyFill="1" applyBorder="1" applyAlignment="1">
      <alignment horizontal="right" vertical="center"/>
    </xf>
    <xf numFmtId="186" fontId="21" fillId="0" borderId="0" xfId="165" applyNumberFormat="1" applyFont="1" applyFill="1" applyBorder="1" applyAlignment="1">
      <alignment horizontal="right" vertical="center"/>
    </xf>
    <xf numFmtId="186" fontId="2" fillId="0" borderId="31" xfId="165" applyNumberFormat="1" applyFont="1" applyBorder="1"/>
    <xf numFmtId="186" fontId="2" fillId="0" borderId="0" xfId="165" applyNumberFormat="1" applyFont="1"/>
    <xf numFmtId="186" fontId="2" fillId="0" borderId="0" xfId="165" applyNumberFormat="1" applyFont="1" applyBorder="1"/>
    <xf numFmtId="186" fontId="2" fillId="82" borderId="32" xfId="165" applyNumberFormat="1" applyFont="1" applyFill="1" applyBorder="1" applyAlignment="1">
      <alignment horizontal="right" vertical="center"/>
    </xf>
    <xf numFmtId="186" fontId="21" fillId="82" borderId="0" xfId="165" applyNumberFormat="1" applyFont="1" applyFill="1" applyBorder="1" applyAlignment="1">
      <alignment horizontal="right" vertical="center"/>
    </xf>
    <xf numFmtId="188" fontId="2" fillId="82" borderId="0" xfId="165" applyNumberFormat="1" applyFont="1" applyFill="1" applyBorder="1" applyAlignment="1">
      <alignment horizontal="right" vertical="center"/>
    </xf>
    <xf numFmtId="189" fontId="2" fillId="82" borderId="0" xfId="165" applyNumberFormat="1" applyFont="1" applyFill="1" applyBorder="1" applyAlignment="1">
      <alignment horizontal="right" vertical="center"/>
    </xf>
    <xf numFmtId="186" fontId="2" fillId="82" borderId="26" xfId="165" applyNumberFormat="1" applyFont="1" applyFill="1" applyBorder="1" applyAlignment="1">
      <alignment horizontal="right" vertical="center"/>
    </xf>
    <xf numFmtId="186" fontId="2" fillId="82" borderId="22" xfId="165" applyNumberFormat="1" applyFont="1" applyFill="1" applyBorder="1" applyAlignment="1">
      <alignment horizontal="right" vertical="center"/>
    </xf>
    <xf numFmtId="186" fontId="2" fillId="82" borderId="12" xfId="165" applyNumberFormat="1" applyFont="1" applyFill="1" applyBorder="1" applyAlignment="1">
      <alignment horizontal="right" vertical="center"/>
    </xf>
    <xf numFmtId="186" fontId="2" fillId="82" borderId="36" xfId="165" applyNumberFormat="1" applyFont="1" applyFill="1" applyBorder="1" applyAlignment="1">
      <alignment horizontal="right" vertical="center"/>
    </xf>
    <xf numFmtId="186" fontId="2" fillId="0" borderId="27" xfId="165" applyNumberFormat="1" applyFont="1" applyFill="1" applyBorder="1" applyAlignment="1">
      <alignment horizontal="right" vertical="center"/>
    </xf>
    <xf numFmtId="186" fontId="2" fillId="0" borderId="26" xfId="165" applyNumberFormat="1" applyFont="1" applyFill="1" applyBorder="1" applyAlignment="1">
      <alignment horizontal="right" vertical="center"/>
    </xf>
    <xf numFmtId="186" fontId="2" fillId="0" borderId="22" xfId="165" applyNumberFormat="1" applyFont="1" applyFill="1" applyBorder="1" applyAlignment="1">
      <alignment horizontal="right" vertical="center"/>
    </xf>
    <xf numFmtId="186" fontId="2" fillId="0" borderId="12" xfId="165" applyNumberFormat="1" applyFont="1" applyFill="1" applyBorder="1" applyAlignment="1">
      <alignment horizontal="right" vertical="center"/>
    </xf>
    <xf numFmtId="186" fontId="2" fillId="82" borderId="27" xfId="165" applyNumberFormat="1" applyFont="1" applyFill="1" applyBorder="1" applyAlignment="1">
      <alignment horizontal="right" vertical="center"/>
    </xf>
    <xf numFmtId="186" fontId="2" fillId="82" borderId="19" xfId="165" applyNumberFormat="1" applyFont="1" applyFill="1" applyBorder="1" applyAlignment="1">
      <alignment horizontal="right" vertical="center"/>
    </xf>
    <xf numFmtId="186" fontId="2" fillId="82" borderId="29" xfId="165" applyNumberFormat="1" applyFont="1" applyFill="1" applyBorder="1" applyAlignment="1">
      <alignment horizontal="right" vertical="center"/>
    </xf>
    <xf numFmtId="205" fontId="2" fillId="0" borderId="12" xfId="165" applyNumberFormat="1" applyFont="1" applyFill="1" applyBorder="1" applyAlignment="1">
      <alignment horizontal="right" vertical="center"/>
    </xf>
    <xf numFmtId="165" fontId="2" fillId="0" borderId="0" xfId="165" applyNumberFormat="1" applyFont="1"/>
    <xf numFmtId="165" fontId="2" fillId="0" borderId="0" xfId="165" applyNumberFormat="1" applyFont="1" applyBorder="1"/>
    <xf numFmtId="3" fontId="2" fillId="0" borderId="37" xfId="165" applyNumberFormat="1" applyFont="1" applyFill="1" applyBorder="1" applyAlignment="1"/>
    <xf numFmtId="3" fontId="2" fillId="0" borderId="0" xfId="165" applyNumberFormat="1" applyFont="1" applyBorder="1"/>
    <xf numFmtId="186" fontId="2" fillId="0" borderId="32" xfId="165" applyNumberFormat="1" applyFont="1" applyBorder="1" applyAlignment="1">
      <alignment vertical="top" wrapText="1"/>
    </xf>
    <xf numFmtId="186" fontId="2" fillId="82" borderId="35" xfId="165" applyNumberFormat="1" applyFont="1" applyFill="1" applyBorder="1" applyAlignment="1">
      <alignment horizontal="right" vertical="center"/>
    </xf>
    <xf numFmtId="186" fontId="2" fillId="0" borderId="31" xfId="165" applyNumberFormat="1" applyFont="1" applyBorder="1" applyAlignment="1">
      <alignment vertical="top" wrapText="1"/>
    </xf>
    <xf numFmtId="186" fontId="2" fillId="0" borderId="28" xfId="165" applyNumberFormat="1" applyFont="1" applyBorder="1" applyAlignment="1">
      <alignment vertical="top" wrapText="1"/>
    </xf>
    <xf numFmtId="0" fontId="17" fillId="0" borderId="0" xfId="165" applyBorder="1"/>
    <xf numFmtId="0" fontId="17" fillId="0" borderId="0" xfId="165" applyAlignment="1">
      <alignment vertical="top"/>
    </xf>
    <xf numFmtId="186" fontId="19" fillId="44" borderId="27" xfId="165" applyNumberFormat="1" applyFont="1" applyFill="1" applyBorder="1" applyAlignment="1">
      <alignment horizontal="center" vertical="center"/>
    </xf>
    <xf numFmtId="186" fontId="19" fillId="44" borderId="29" xfId="165" applyNumberFormat="1" applyFont="1" applyFill="1" applyBorder="1" applyAlignment="1">
      <alignment horizontal="center" vertical="center"/>
    </xf>
    <xf numFmtId="186" fontId="19" fillId="44" borderId="25" xfId="165" applyNumberFormat="1" applyFont="1" applyFill="1" applyBorder="1" applyAlignment="1">
      <alignment horizontal="center" vertical="center"/>
    </xf>
    <xf numFmtId="186" fontId="19" fillId="44" borderId="0" xfId="165" applyNumberFormat="1" applyFont="1" applyFill="1" applyBorder="1" applyAlignment="1">
      <alignment horizontal="right" vertical="center"/>
    </xf>
    <xf numFmtId="186" fontId="19" fillId="44" borderId="26" xfId="165" applyNumberFormat="1" applyFont="1" applyFill="1" applyBorder="1" applyAlignment="1">
      <alignment horizontal="center" vertical="center"/>
    </xf>
    <xf numFmtId="186" fontId="19" fillId="44" borderId="12" xfId="165" applyNumberFormat="1" applyFont="1" applyFill="1" applyBorder="1" applyAlignment="1">
      <alignment horizontal="right" vertical="center"/>
    </xf>
    <xf numFmtId="164" fontId="19" fillId="44" borderId="22" xfId="165" applyNumberFormat="1" applyFont="1" applyFill="1" applyBorder="1" applyAlignment="1">
      <alignment horizontal="right" vertical="center"/>
    </xf>
    <xf numFmtId="188" fontId="2" fillId="0" borderId="0" xfId="165" applyNumberFormat="1" applyFont="1" applyFill="1" applyBorder="1" applyAlignment="1">
      <alignment horizontal="right" vertical="center"/>
    </xf>
    <xf numFmtId="186" fontId="21" fillId="82" borderId="25" xfId="165" applyNumberFormat="1" applyFont="1" applyFill="1" applyBorder="1" applyAlignment="1">
      <alignment horizontal="right" vertical="center"/>
    </xf>
    <xf numFmtId="186" fontId="2" fillId="82" borderId="28" xfId="165" applyNumberFormat="1" applyFont="1" applyFill="1" applyBorder="1" applyAlignment="1">
      <alignment horizontal="right" vertical="center"/>
    </xf>
    <xf numFmtId="0" fontId="19" fillId="82" borderId="34" xfId="165" applyFont="1" applyFill="1" applyBorder="1" applyAlignment="1">
      <alignment horizontal="center" vertical="center"/>
    </xf>
    <xf numFmtId="186" fontId="17" fillId="0" borderId="0" xfId="164" applyNumberFormat="1" applyFont="1" applyFill="1" applyBorder="1" applyAlignment="1"/>
    <xf numFmtId="165" fontId="14" fillId="0" borderId="0" xfId="164" applyNumberFormat="1"/>
    <xf numFmtId="165" fontId="14" fillId="0" borderId="0" xfId="164" applyNumberFormat="1" applyBorder="1"/>
    <xf numFmtId="0" fontId="14" fillId="0" borderId="0" xfId="164" applyBorder="1"/>
    <xf numFmtId="164" fontId="11" fillId="0" borderId="0" xfId="165" applyNumberFormat="1" applyFont="1"/>
    <xf numFmtId="164" fontId="17" fillId="0" borderId="0" xfId="165" applyNumberFormat="1"/>
    <xf numFmtId="164" fontId="10" fillId="0" borderId="0" xfId="165" quotePrefix="1" applyNumberFormat="1" applyFont="1" applyAlignment="1">
      <alignment horizontal="right" vertical="top"/>
    </xf>
    <xf numFmtId="0" fontId="10" fillId="0" borderId="0" xfId="165" quotePrefix="1" applyFont="1" applyAlignment="1">
      <alignment horizontal="right" vertical="top"/>
    </xf>
    <xf numFmtId="0" fontId="10" fillId="0" borderId="0" xfId="165" applyFont="1" applyAlignment="1">
      <alignment horizontal="center" vertical="top"/>
    </xf>
    <xf numFmtId="0" fontId="18" fillId="0" borderId="0" xfId="165" applyFont="1" applyAlignment="1">
      <alignment horizontal="center" vertical="center"/>
    </xf>
    <xf numFmtId="164" fontId="2" fillId="0" borderId="0" xfId="165" applyNumberFormat="1" applyFont="1" applyFill="1" applyBorder="1"/>
    <xf numFmtId="164" fontId="2" fillId="0" borderId="0" xfId="165" applyNumberFormat="1" applyFont="1" applyBorder="1" applyAlignment="1">
      <alignment horizontal="right" vertical="top"/>
    </xf>
    <xf numFmtId="0" fontId="2" fillId="0" borderId="0" xfId="165" applyFont="1" applyBorder="1" applyAlignment="1">
      <alignment horizontal="right" vertical="top"/>
    </xf>
    <xf numFmtId="1" fontId="19" fillId="42" borderId="38" xfId="165" applyNumberFormat="1" applyFont="1" applyFill="1" applyBorder="1" applyAlignment="1">
      <alignment horizontal="center" vertical="center"/>
    </xf>
    <xf numFmtId="186" fontId="19" fillId="44" borderId="27" xfId="165" applyNumberFormat="1" applyFont="1" applyFill="1" applyBorder="1" applyAlignment="1">
      <alignment horizontal="right" vertical="center"/>
    </xf>
    <xf numFmtId="186" fontId="19" fillId="44" borderId="34" xfId="165" applyNumberFormat="1" applyFont="1" applyFill="1" applyBorder="1" applyAlignment="1">
      <alignment horizontal="right" vertical="center"/>
    </xf>
    <xf numFmtId="164" fontId="19" fillId="82" borderId="0" xfId="165" applyNumberFormat="1" applyFont="1" applyFill="1" applyBorder="1" applyAlignment="1">
      <alignment horizontal="right" vertical="center"/>
    </xf>
    <xf numFmtId="186" fontId="19" fillId="44" borderId="25" xfId="165" applyNumberFormat="1" applyFont="1" applyFill="1" applyBorder="1" applyAlignment="1">
      <alignment horizontal="right" vertical="center"/>
    </xf>
    <xf numFmtId="186" fontId="19" fillId="82" borderId="0" xfId="165" applyNumberFormat="1" applyFont="1" applyFill="1" applyBorder="1" applyAlignment="1">
      <alignment horizontal="right" vertical="center"/>
    </xf>
    <xf numFmtId="186" fontId="19" fillId="44" borderId="28" xfId="165" applyNumberFormat="1" applyFont="1" applyFill="1" applyBorder="1" applyAlignment="1">
      <alignment horizontal="right" vertical="center"/>
    </xf>
    <xf numFmtId="186" fontId="19" fillId="44" borderId="4" xfId="165" applyNumberFormat="1" applyFont="1" applyFill="1" applyBorder="1" applyAlignment="1">
      <alignment horizontal="right" vertical="center"/>
    </xf>
    <xf numFmtId="164" fontId="19" fillId="44" borderId="26" xfId="165" applyNumberFormat="1" applyFont="1" applyFill="1" applyBorder="1" applyAlignment="1">
      <alignment horizontal="right" vertical="center"/>
    </xf>
    <xf numFmtId="186" fontId="19" fillId="44" borderId="26" xfId="165" applyNumberFormat="1" applyFont="1" applyFill="1" applyBorder="1" applyAlignment="1">
      <alignment horizontal="right" vertical="center"/>
    </xf>
    <xf numFmtId="186" fontId="19" fillId="44" borderId="30" xfId="165" applyNumberFormat="1" applyFont="1" applyFill="1" applyBorder="1" applyAlignment="1">
      <alignment horizontal="right" vertical="center"/>
    </xf>
    <xf numFmtId="186" fontId="19" fillId="44" borderId="22" xfId="165" applyNumberFormat="1" applyFont="1" applyFill="1" applyBorder="1" applyAlignment="1">
      <alignment horizontal="right" vertical="center"/>
    </xf>
    <xf numFmtId="164" fontId="2" fillId="0" borderId="25" xfId="165" applyNumberFormat="1" applyFont="1" applyFill="1" applyBorder="1" applyAlignment="1">
      <alignment horizontal="right" vertical="center"/>
    </xf>
    <xf numFmtId="186" fontId="2" fillId="0" borderId="0" xfId="165" applyNumberFormat="1" applyFont="1" applyFill="1" applyAlignment="1">
      <alignment horizontal="center" vertical="center"/>
    </xf>
    <xf numFmtId="186" fontId="2" fillId="82" borderId="30" xfId="165" applyNumberFormat="1" applyFont="1" applyFill="1" applyBorder="1" applyAlignment="1">
      <alignment horizontal="right" vertical="center"/>
    </xf>
    <xf numFmtId="190" fontId="2" fillId="82" borderId="0" xfId="165" applyNumberFormat="1" applyFont="1" applyFill="1" applyBorder="1" applyAlignment="1">
      <alignment horizontal="right" vertical="center"/>
    </xf>
    <xf numFmtId="186" fontId="21" fillId="0" borderId="28" xfId="165" applyNumberFormat="1" applyFont="1" applyFill="1" applyBorder="1" applyAlignment="1">
      <alignment horizontal="right" vertical="center"/>
    </xf>
    <xf numFmtId="186" fontId="21" fillId="0" borderId="4" xfId="165" applyNumberFormat="1" applyFont="1" applyFill="1" applyBorder="1" applyAlignment="1">
      <alignment horizontal="right" vertical="center"/>
    </xf>
    <xf numFmtId="164" fontId="24" fillId="0" borderId="26" xfId="165" applyNumberFormat="1" applyFont="1" applyFill="1" applyBorder="1" applyAlignment="1">
      <alignment horizontal="right" vertical="center"/>
    </xf>
    <xf numFmtId="164" fontId="24" fillId="0" borderId="12" xfId="165" applyNumberFormat="1" applyFont="1" applyFill="1" applyBorder="1" applyAlignment="1">
      <alignment horizontal="right" vertical="center"/>
    </xf>
    <xf numFmtId="186" fontId="24" fillId="0" borderId="12" xfId="165" applyNumberFormat="1" applyFont="1" applyFill="1" applyBorder="1" applyAlignment="1">
      <alignment horizontal="right" vertical="center"/>
    </xf>
    <xf numFmtId="186" fontId="2" fillId="0" borderId="30" xfId="165" applyNumberFormat="1" applyFont="1" applyFill="1" applyBorder="1" applyAlignment="1">
      <alignment horizontal="right" vertical="center"/>
    </xf>
    <xf numFmtId="206" fontId="2" fillId="0" borderId="22" xfId="165" applyNumberFormat="1" applyFont="1" applyFill="1" applyBorder="1" applyAlignment="1">
      <alignment horizontal="right" vertical="center"/>
    </xf>
    <xf numFmtId="164" fontId="2" fillId="82" borderId="27" xfId="165" applyNumberFormat="1" applyFont="1" applyFill="1" applyBorder="1" applyAlignment="1">
      <alignment horizontal="right" vertical="center"/>
    </xf>
    <xf numFmtId="186" fontId="2" fillId="82" borderId="34" xfId="165" applyNumberFormat="1" applyFont="1" applyFill="1" applyBorder="1" applyAlignment="1">
      <alignment horizontal="right" vertical="center"/>
    </xf>
    <xf numFmtId="0" fontId="10" fillId="0" borderId="0" xfId="165" applyFont="1" applyAlignment="1">
      <alignment horizontal="left"/>
    </xf>
    <xf numFmtId="0" fontId="20" fillId="42" borderId="22" xfId="165" applyFont="1" applyFill="1" applyBorder="1" applyAlignment="1">
      <alignment horizontal="center" vertical="top" wrapText="1"/>
    </xf>
    <xf numFmtId="3" fontId="19" fillId="44" borderId="27" xfId="165" applyNumberFormat="1" applyFont="1" applyFill="1" applyBorder="1" applyAlignment="1">
      <alignment horizontal="right"/>
    </xf>
    <xf numFmtId="3" fontId="19" fillId="44" borderId="19" xfId="165" applyNumberFormat="1" applyFont="1" applyFill="1" applyBorder="1" applyAlignment="1">
      <alignment horizontal="right"/>
    </xf>
    <xf numFmtId="187" fontId="19" fillId="44" borderId="27" xfId="165" applyNumberFormat="1" applyFont="1" applyFill="1" applyBorder="1" applyAlignment="1">
      <alignment horizontal="right"/>
    </xf>
    <xf numFmtId="187" fontId="19" fillId="44" borderId="29" xfId="165" applyNumberFormat="1" applyFont="1" applyFill="1" applyBorder="1" applyAlignment="1">
      <alignment horizontal="right" vertical="center"/>
    </xf>
    <xf numFmtId="187" fontId="19" fillId="44" borderId="0" xfId="165" applyNumberFormat="1" applyFont="1" applyFill="1" applyBorder="1" applyAlignment="1">
      <alignment horizontal="right" vertical="center"/>
    </xf>
    <xf numFmtId="178" fontId="19" fillId="44" borderId="4" xfId="165" applyNumberFormat="1" applyFont="1" applyFill="1" applyBorder="1" applyAlignment="1">
      <alignment vertical="center"/>
    </xf>
    <xf numFmtId="3" fontId="19" fillId="44" borderId="25" xfId="165" applyNumberFormat="1" applyFont="1" applyFill="1" applyBorder="1" applyAlignment="1">
      <alignment horizontal="right"/>
    </xf>
    <xf numFmtId="3" fontId="19" fillId="44" borderId="4" xfId="165" applyNumberFormat="1" applyFont="1" applyFill="1" applyBorder="1" applyAlignment="1">
      <alignment horizontal="right"/>
    </xf>
    <xf numFmtId="187" fontId="19" fillId="44" borderId="25" xfId="165" applyNumberFormat="1" applyFont="1" applyFill="1" applyBorder="1" applyAlignment="1">
      <alignment horizontal="right"/>
    </xf>
    <xf numFmtId="3" fontId="19" fillId="44" borderId="12" xfId="165" applyNumberFormat="1" applyFont="1" applyFill="1" applyBorder="1" applyAlignment="1">
      <alignment horizontal="right" vertical="center"/>
    </xf>
    <xf numFmtId="3" fontId="19" fillId="44" borderId="22" xfId="165" applyNumberFormat="1" applyFont="1" applyFill="1" applyBorder="1" applyAlignment="1">
      <alignment horizontal="right" vertical="center"/>
    </xf>
    <xf numFmtId="187" fontId="19" fillId="44" borderId="26" xfId="165" applyNumberFormat="1" applyFont="1" applyFill="1" applyBorder="1" applyAlignment="1">
      <alignment horizontal="right" vertical="center"/>
    </xf>
    <xf numFmtId="187" fontId="19" fillId="44" borderId="12" xfId="165" applyNumberFormat="1" applyFont="1" applyFill="1" applyBorder="1" applyAlignment="1">
      <alignment horizontal="right" vertical="center"/>
    </xf>
    <xf numFmtId="178" fontId="19" fillId="44" borderId="22" xfId="165" applyNumberFormat="1" applyFont="1" applyFill="1" applyBorder="1" applyAlignment="1">
      <alignment vertical="center"/>
    </xf>
    <xf numFmtId="3" fontId="2" fillId="0" borderId="27" xfId="165" applyNumberFormat="1" applyFont="1" applyFill="1" applyBorder="1" applyAlignment="1">
      <alignment horizontal="right" vertical="center"/>
    </xf>
    <xf numFmtId="3" fontId="2" fillId="0" borderId="19" xfId="165" applyNumberFormat="1" applyFont="1" applyFill="1" applyBorder="1" applyAlignment="1">
      <alignment horizontal="right" vertical="center"/>
    </xf>
    <xf numFmtId="187" fontId="2" fillId="0" borderId="27" xfId="165" applyNumberFormat="1" applyFont="1" applyFill="1" applyBorder="1" applyAlignment="1">
      <alignment horizontal="right" vertical="center"/>
    </xf>
    <xf numFmtId="187" fontId="2" fillId="0" borderId="29" xfId="165" applyNumberFormat="1" applyFont="1" applyFill="1" applyBorder="1" applyAlignment="1">
      <alignment horizontal="right" vertical="center"/>
    </xf>
    <xf numFmtId="187" fontId="2" fillId="0" borderId="29" xfId="165" applyNumberFormat="1" applyFont="1" applyFill="1" applyBorder="1" applyAlignment="1">
      <alignment vertical="center"/>
    </xf>
    <xf numFmtId="187" fontId="2" fillId="0" borderId="0" xfId="165" applyNumberFormat="1" applyFont="1" applyFill="1" applyBorder="1" applyAlignment="1">
      <alignment vertical="center"/>
    </xf>
    <xf numFmtId="187" fontId="2" fillId="0" borderId="0" xfId="204" applyNumberFormat="1" applyFont="1" applyFill="1" applyBorder="1" applyAlignment="1">
      <alignment vertical="center"/>
    </xf>
    <xf numFmtId="178" fontId="2" fillId="0" borderId="4" xfId="165" applyNumberFormat="1" applyFont="1" applyFill="1" applyBorder="1" applyAlignment="1">
      <alignment vertical="center"/>
    </xf>
    <xf numFmtId="3" fontId="19" fillId="44" borderId="25" xfId="165" applyNumberFormat="1" applyFont="1" applyFill="1" applyBorder="1" applyAlignment="1">
      <alignment horizontal="right" vertical="center"/>
    </xf>
    <xf numFmtId="3" fontId="19" fillId="44" borderId="4" xfId="165" applyNumberFormat="1" applyFont="1" applyFill="1" applyBorder="1" applyAlignment="1">
      <alignment horizontal="right" vertical="center"/>
    </xf>
    <xf numFmtId="187" fontId="2" fillId="44" borderId="25" xfId="165" applyNumberFormat="1" applyFont="1" applyFill="1" applyBorder="1" applyAlignment="1">
      <alignment horizontal="right" vertical="center"/>
    </xf>
    <xf numFmtId="187" fontId="2" fillId="44" borderId="0" xfId="165" applyNumberFormat="1" applyFont="1" applyFill="1" applyBorder="1" applyAlignment="1">
      <alignment horizontal="right" vertical="center"/>
    </xf>
    <xf numFmtId="187" fontId="2" fillId="44" borderId="0" xfId="204" applyNumberFormat="1" applyFont="1" applyFill="1" applyBorder="1" applyAlignment="1">
      <alignment horizontal="right" vertical="center"/>
    </xf>
    <xf numFmtId="178" fontId="2" fillId="82" borderId="4" xfId="165" applyNumberFormat="1" applyFont="1" applyFill="1" applyBorder="1" applyAlignment="1">
      <alignment vertical="center"/>
    </xf>
    <xf numFmtId="3" fontId="2" fillId="0" borderId="25" xfId="165" quotePrefix="1" applyNumberFormat="1" applyFont="1" applyFill="1" applyBorder="1" applyAlignment="1">
      <alignment horizontal="right" vertical="center"/>
    </xf>
    <xf numFmtId="3" fontId="2" fillId="0" borderId="4" xfId="165" quotePrefix="1" applyNumberFormat="1" applyFont="1" applyFill="1" applyBorder="1" applyAlignment="1">
      <alignment horizontal="right" vertical="center"/>
    </xf>
    <xf numFmtId="187" fontId="2" fillId="0" borderId="25" xfId="165" quotePrefix="1" applyNumberFormat="1" applyFont="1" applyFill="1" applyBorder="1" applyAlignment="1">
      <alignment horizontal="right" vertical="center"/>
    </xf>
    <xf numFmtId="187" fontId="2" fillId="0" borderId="0" xfId="165" applyNumberFormat="1" applyFont="1" applyFill="1" applyBorder="1" applyAlignment="1">
      <alignment horizontal="right" vertical="center"/>
    </xf>
    <xf numFmtId="187" fontId="2" fillId="0" borderId="0" xfId="165" applyNumberFormat="1" applyFont="1" applyFill="1" applyAlignment="1">
      <alignment horizontal="right" vertical="center"/>
    </xf>
    <xf numFmtId="3" fontId="2" fillId="44" borderId="25" xfId="165" applyNumberFormat="1" applyFont="1" applyFill="1" applyBorder="1" applyAlignment="1">
      <alignment horizontal="right" vertical="center"/>
    </xf>
    <xf numFmtId="3" fontId="2" fillId="44" borderId="4" xfId="165" applyNumberFormat="1" applyFont="1" applyFill="1" applyBorder="1" applyAlignment="1">
      <alignment horizontal="right" vertical="center"/>
    </xf>
    <xf numFmtId="187" fontId="2" fillId="44" borderId="0" xfId="165" applyNumberFormat="1" applyFont="1" applyFill="1" applyAlignment="1">
      <alignment horizontal="right" vertical="center"/>
    </xf>
    <xf numFmtId="187" fontId="2" fillId="44" borderId="0" xfId="165" applyNumberFormat="1" applyFont="1" applyFill="1" applyBorder="1" applyAlignment="1">
      <alignment vertical="center"/>
    </xf>
    <xf numFmtId="187" fontId="2" fillId="44" borderId="0" xfId="204" applyNumberFormat="1" applyFont="1" applyFill="1" applyBorder="1" applyAlignment="1">
      <alignment vertical="center"/>
    </xf>
    <xf numFmtId="3" fontId="2" fillId="0" borderId="25" xfId="165" applyNumberFormat="1" applyFont="1" applyFill="1" applyBorder="1" applyAlignment="1">
      <alignment horizontal="right" vertical="center"/>
    </xf>
    <xf numFmtId="3" fontId="2" fillId="0" borderId="4" xfId="165" applyNumberFormat="1" applyFont="1" applyFill="1" applyBorder="1" applyAlignment="1">
      <alignment horizontal="right" vertical="center"/>
    </xf>
    <xf numFmtId="187" fontId="2" fillId="0" borderId="25" xfId="165" applyNumberFormat="1" applyFont="1" applyFill="1" applyBorder="1" applyAlignment="1">
      <alignment horizontal="right" vertical="center"/>
    </xf>
    <xf numFmtId="3" fontId="19" fillId="0" borderId="25" xfId="165" applyNumberFormat="1" applyFont="1" applyFill="1" applyBorder="1" applyAlignment="1">
      <alignment horizontal="right" vertical="center"/>
    </xf>
    <xf numFmtId="3" fontId="19" fillId="0" borderId="4" xfId="165" applyNumberFormat="1" applyFont="1" applyFill="1" applyBorder="1" applyAlignment="1">
      <alignment horizontal="right" vertical="center"/>
    </xf>
    <xf numFmtId="187" fontId="2" fillId="0" borderId="0" xfId="204" applyNumberFormat="1" applyFont="1" applyFill="1" applyBorder="1" applyAlignment="1">
      <alignment horizontal="right" vertical="center"/>
    </xf>
    <xf numFmtId="3" fontId="2" fillId="82" borderId="25" xfId="165" applyNumberFormat="1" applyFont="1" applyFill="1" applyBorder="1" applyAlignment="1">
      <alignment horizontal="right" vertical="center"/>
    </xf>
    <xf numFmtId="3" fontId="2" fillId="82" borderId="4" xfId="165" applyNumberFormat="1" applyFont="1" applyFill="1" applyBorder="1" applyAlignment="1">
      <alignment horizontal="right" vertical="center"/>
    </xf>
    <xf numFmtId="187" fontId="2" fillId="82" borderId="25" xfId="165" applyNumberFormat="1" applyFont="1" applyFill="1" applyBorder="1" applyAlignment="1">
      <alignment horizontal="right" vertical="center"/>
    </xf>
    <xf numFmtId="187" fontId="2" fillId="82" borderId="0" xfId="165" applyNumberFormat="1" applyFont="1" applyFill="1" applyBorder="1" applyAlignment="1">
      <alignment horizontal="right" vertical="center"/>
    </xf>
    <xf numFmtId="187" fontId="2" fillId="82" borderId="0" xfId="165" applyNumberFormat="1" applyFont="1" applyFill="1" applyAlignment="1">
      <alignment horizontal="right" vertical="center"/>
    </xf>
    <xf numFmtId="187" fontId="2" fillId="82" borderId="0" xfId="165" applyNumberFormat="1" applyFont="1" applyFill="1" applyBorder="1" applyAlignment="1">
      <alignment vertical="center"/>
    </xf>
    <xf numFmtId="187" fontId="2" fillId="82" borderId="0" xfId="204" applyNumberFormat="1" applyFont="1" applyFill="1" applyBorder="1" applyAlignment="1">
      <alignment vertical="center"/>
    </xf>
    <xf numFmtId="178" fontId="2" fillId="82" borderId="22" xfId="165" applyNumberFormat="1" applyFont="1" applyFill="1" applyBorder="1" applyAlignment="1">
      <alignment vertical="center"/>
    </xf>
    <xf numFmtId="178" fontId="2" fillId="0" borderId="19" xfId="165" applyNumberFormat="1" applyFont="1" applyFill="1" applyBorder="1" applyAlignment="1">
      <alignment vertical="center"/>
    </xf>
    <xf numFmtId="3" fontId="19" fillId="82" borderId="25" xfId="165" applyNumberFormat="1" applyFont="1" applyFill="1" applyBorder="1" applyAlignment="1">
      <alignment horizontal="right" vertical="center"/>
    </xf>
    <xf numFmtId="3" fontId="19" fillId="82" borderId="4" xfId="165" applyNumberFormat="1" applyFont="1" applyFill="1" applyBorder="1" applyAlignment="1">
      <alignment horizontal="right" vertical="center"/>
    </xf>
    <xf numFmtId="178" fontId="2" fillId="82" borderId="4" xfId="165" applyNumberFormat="1" applyFont="1" applyFill="1" applyBorder="1" applyAlignment="1">
      <alignment horizontal="center" vertical="center"/>
    </xf>
    <xf numFmtId="187" fontId="2" fillId="0" borderId="12" xfId="165" applyNumberFormat="1" applyFont="1" applyFill="1" applyBorder="1" applyAlignment="1">
      <alignment horizontal="right" vertical="center"/>
    </xf>
    <xf numFmtId="187" fontId="2" fillId="0" borderId="39" xfId="165" applyNumberFormat="1" applyFont="1" applyFill="1" applyBorder="1" applyAlignment="1">
      <alignment horizontal="right" vertical="center"/>
    </xf>
    <xf numFmtId="178" fontId="2" fillId="0" borderId="22" xfId="165" applyNumberFormat="1" applyFont="1" applyFill="1" applyBorder="1" applyAlignment="1">
      <alignment horizontal="center" vertical="center"/>
    </xf>
    <xf numFmtId="178" fontId="2" fillId="0" borderId="22" xfId="165" applyNumberFormat="1" applyFont="1" applyFill="1" applyBorder="1" applyAlignment="1">
      <alignment vertical="center"/>
    </xf>
    <xf numFmtId="3" fontId="19" fillId="82" borderId="27" xfId="165" applyNumberFormat="1" applyFont="1" applyFill="1" applyBorder="1" applyAlignment="1">
      <alignment horizontal="right" vertical="center"/>
    </xf>
    <xf numFmtId="3" fontId="19" fillId="82" borderId="19" xfId="165" applyNumberFormat="1" applyFont="1" applyFill="1" applyBorder="1" applyAlignment="1">
      <alignment horizontal="right" vertical="center"/>
    </xf>
    <xf numFmtId="187" fontId="2" fillId="82" borderId="27" xfId="165" applyNumberFormat="1" applyFont="1" applyFill="1" applyBorder="1" applyAlignment="1">
      <alignment horizontal="right" vertical="center"/>
    </xf>
    <xf numFmtId="187" fontId="2" fillId="82" borderId="29" xfId="165" applyNumberFormat="1" applyFont="1" applyFill="1" applyBorder="1" applyAlignment="1">
      <alignment horizontal="right" vertical="center"/>
    </xf>
    <xf numFmtId="187" fontId="2" fillId="82" borderId="0" xfId="204" applyNumberFormat="1" applyFont="1" applyFill="1" applyBorder="1" applyAlignment="1">
      <alignment horizontal="right" vertical="center"/>
    </xf>
    <xf numFmtId="187" fontId="19" fillId="0" borderId="0" xfId="165" applyNumberFormat="1" applyFont="1" applyFill="1" applyBorder="1" applyAlignment="1">
      <alignment horizontal="right" vertical="center"/>
    </xf>
    <xf numFmtId="187" fontId="2" fillId="82" borderId="12" xfId="165" applyNumberFormat="1" applyFont="1" applyFill="1" applyBorder="1" applyAlignment="1">
      <alignment horizontal="right" vertical="center"/>
    </xf>
    <xf numFmtId="187" fontId="2" fillId="82" borderId="12" xfId="204" applyNumberFormat="1" applyFont="1" applyFill="1" applyBorder="1" applyAlignment="1">
      <alignment horizontal="right" vertical="center"/>
    </xf>
    <xf numFmtId="3" fontId="2" fillId="82" borderId="27" xfId="165" applyNumberFormat="1" applyFont="1" applyFill="1" applyBorder="1" applyAlignment="1">
      <alignment horizontal="right" vertical="center"/>
    </xf>
    <xf numFmtId="3" fontId="2" fillId="82" borderId="19" xfId="165" applyNumberFormat="1" applyFont="1" applyFill="1" applyBorder="1" applyAlignment="1">
      <alignment horizontal="right" vertical="center"/>
    </xf>
    <xf numFmtId="187" fontId="2" fillId="82" borderId="29" xfId="165" applyNumberFormat="1" applyFont="1" applyFill="1" applyBorder="1" applyAlignment="1">
      <alignment vertical="center"/>
    </xf>
    <xf numFmtId="41" fontId="11" fillId="42" borderId="0" xfId="0" applyNumberFormat="1" applyFont="1" applyFill="1" applyBorder="1"/>
    <xf numFmtId="167" fontId="17" fillId="0" borderId="0" xfId="172" applyNumberFormat="1"/>
    <xf numFmtId="175" fontId="2" fillId="0" borderId="0" xfId="165" applyNumberFormat="1" applyFont="1" applyFill="1" applyBorder="1" applyAlignment="1">
      <alignment horizontal="center" vertical="center"/>
    </xf>
    <xf numFmtId="175" fontId="2" fillId="82" borderId="0" xfId="165" applyNumberFormat="1" applyFont="1" applyFill="1" applyBorder="1" applyAlignment="1">
      <alignment horizontal="center" vertical="center"/>
    </xf>
    <xf numFmtId="2" fontId="17" fillId="0" borderId="0" xfId="165" applyNumberFormat="1" applyFill="1"/>
    <xf numFmtId="177" fontId="17" fillId="0" borderId="0" xfId="165" applyNumberFormat="1"/>
    <xf numFmtId="177" fontId="137" fillId="42" borderId="19" xfId="0" applyNumberFormat="1" applyFont="1" applyFill="1" applyBorder="1" applyAlignment="1">
      <alignment horizontal="center" vertical="center" wrapText="1"/>
    </xf>
    <xf numFmtId="177" fontId="137" fillId="42" borderId="4" xfId="0" applyNumberFormat="1" applyFont="1" applyFill="1" applyBorder="1" applyAlignment="1">
      <alignment horizontal="center" vertical="center" wrapText="1"/>
    </xf>
    <xf numFmtId="3" fontId="2" fillId="82" borderId="0" xfId="165" quotePrefix="1" applyNumberFormat="1" applyFont="1" applyFill="1" applyBorder="1" applyAlignment="1">
      <alignment horizontal="right" vertical="center"/>
    </xf>
    <xf numFmtId="1" fontId="19" fillId="42" borderId="7" xfId="0" applyNumberFormat="1" applyFont="1" applyFill="1" applyBorder="1" applyAlignment="1">
      <alignment horizontal="center" vertical="center" wrapText="1"/>
    </xf>
    <xf numFmtId="187" fontId="2" fillId="0" borderId="30" xfId="165" applyNumberFormat="1" applyFont="1" applyFill="1" applyBorder="1" applyAlignment="1">
      <alignment horizontal="right" vertical="center"/>
    </xf>
    <xf numFmtId="187" fontId="2" fillId="82" borderId="30" xfId="204" applyNumberFormat="1" applyFont="1" applyFill="1" applyBorder="1" applyAlignment="1">
      <alignment vertical="center"/>
    </xf>
    <xf numFmtId="219" fontId="11" fillId="84" borderId="0" xfId="164" applyNumberFormat="1" applyFont="1" applyFill="1" applyBorder="1" applyAlignment="1">
      <alignment horizontal="right"/>
    </xf>
    <xf numFmtId="4" fontId="11" fillId="84" borderId="0" xfId="164" applyNumberFormat="1" applyFont="1" applyFill="1" applyBorder="1" applyAlignment="1">
      <alignment horizontal="right"/>
    </xf>
    <xf numFmtId="222" fontId="140" fillId="0" borderId="0" xfId="227" applyNumberFormat="1" applyFont="1" applyFill="1" applyBorder="1" applyAlignment="1" applyProtection="1">
      <alignment horizontal="right" vertical="center"/>
    </xf>
    <xf numFmtId="170" fontId="138" fillId="0" borderId="0" xfId="165" applyNumberFormat="1" applyFont="1"/>
    <xf numFmtId="0" fontId="134" fillId="0" borderId="12" xfId="0" applyFont="1" applyFill="1" applyBorder="1"/>
    <xf numFmtId="0" fontId="11" fillId="0" borderId="0" xfId="0" applyFont="1" applyFill="1" applyBorder="1" applyAlignment="1">
      <alignment horizontal="center"/>
    </xf>
    <xf numFmtId="0" fontId="17" fillId="0" borderId="0" xfId="158" applyFont="1" applyAlignment="1">
      <alignment vertical="top" wrapText="1"/>
    </xf>
    <xf numFmtId="0" fontId="14" fillId="0" borderId="0" xfId="158"/>
    <xf numFmtId="0" fontId="10" fillId="0" borderId="0" xfId="158" quotePrefix="1" applyFont="1" applyBorder="1" applyAlignment="1">
      <alignment horizontal="right" vertical="top"/>
    </xf>
    <xf numFmtId="0" fontId="19" fillId="0" borderId="0" xfId="158" applyFont="1" applyFill="1" applyBorder="1" applyAlignment="1">
      <alignment horizontal="left"/>
    </xf>
    <xf numFmtId="0" fontId="14" fillId="0" borderId="0" xfId="158" applyFill="1" applyBorder="1"/>
    <xf numFmtId="164" fontId="14" fillId="0" borderId="0" xfId="158" applyNumberFormat="1" applyFill="1" applyBorder="1" applyAlignment="1">
      <alignment horizontal="center" vertical="center"/>
    </xf>
    <xf numFmtId="0" fontId="19" fillId="0" borderId="0" xfId="158" applyFont="1" applyBorder="1" applyAlignment="1">
      <alignment horizontal="left"/>
    </xf>
    <xf numFmtId="166" fontId="19" fillId="0" borderId="0" xfId="158" applyNumberFormat="1" applyFont="1" applyBorder="1" applyAlignment="1">
      <alignment horizontal="left" vertical="center" wrapText="1"/>
    </xf>
    <xf numFmtId="164" fontId="19" fillId="0" borderId="0" xfId="158" applyNumberFormat="1" applyFont="1" applyBorder="1" applyAlignment="1">
      <alignment horizontal="center" vertical="center" wrapText="1"/>
    </xf>
    <xf numFmtId="0" fontId="19" fillId="0" borderId="0" xfId="158" applyFont="1" applyBorder="1" applyAlignment="1">
      <alignment horizontal="left" vertical="center" wrapText="1"/>
    </xf>
    <xf numFmtId="0" fontId="19" fillId="0" borderId="0" xfId="158" applyFont="1" applyBorder="1" applyAlignment="1">
      <alignment horizontal="left" vertical="top" wrapText="1"/>
    </xf>
    <xf numFmtId="0" fontId="14" fillId="0" borderId="0" xfId="158" applyFill="1" applyBorder="1" applyAlignment="1">
      <alignment vertical="top"/>
    </xf>
    <xf numFmtId="0" fontId="19" fillId="0" borderId="0" xfId="158" applyFont="1" applyAlignment="1">
      <alignment vertical="top"/>
    </xf>
    <xf numFmtId="164" fontId="14" fillId="0" borderId="0" xfId="158" applyNumberFormat="1" applyFill="1" applyAlignment="1">
      <alignment vertical="top"/>
    </xf>
    <xf numFmtId="166" fontId="17" fillId="0" borderId="0" xfId="172" applyNumberFormat="1"/>
    <xf numFmtId="166" fontId="136" fillId="0" borderId="0" xfId="172" applyNumberFormat="1" applyFont="1"/>
    <xf numFmtId="0" fontId="0" fillId="0" borderId="0" xfId="0" applyFill="1" applyBorder="1"/>
    <xf numFmtId="0" fontId="18" fillId="0" borderId="0" xfId="0" applyFont="1"/>
    <xf numFmtId="0" fontId="19" fillId="0" borderId="4" xfId="0" applyFont="1" applyFill="1" applyBorder="1" applyAlignment="1">
      <alignment horizontal="center" vertical="center"/>
    </xf>
    <xf numFmtId="0" fontId="19" fillId="0" borderId="22" xfId="0" applyFont="1" applyFill="1" applyBorder="1" applyAlignment="1">
      <alignment horizontal="center" vertical="center"/>
    </xf>
    <xf numFmtId="0" fontId="2" fillId="0" borderId="0" xfId="0" applyFont="1" applyBorder="1" applyAlignment="1">
      <alignment horizontal="right" vertical="center"/>
    </xf>
    <xf numFmtId="0" fontId="2" fillId="0" borderId="12" xfId="0" applyFont="1" applyBorder="1" applyAlignment="1">
      <alignment horizontal="right" vertical="center"/>
    </xf>
    <xf numFmtId="0" fontId="2" fillId="0" borderId="0" xfId="0" applyFont="1" applyFill="1" applyBorder="1" applyAlignment="1">
      <alignment horizontal="right" vertical="center"/>
    </xf>
    <xf numFmtId="0" fontId="17" fillId="0" borderId="12" xfId="0" applyFont="1" applyBorder="1" applyAlignment="1">
      <alignment horizontal="center" vertical="center"/>
    </xf>
    <xf numFmtId="164" fontId="2" fillId="0" borderId="0" xfId="0" applyNumberFormat="1" applyFont="1" applyFill="1" applyBorder="1" applyAlignment="1">
      <alignment horizontal="right" vertical="center"/>
    </xf>
    <xf numFmtId="164" fontId="2" fillId="0" borderId="12" xfId="0" applyNumberFormat="1" applyFont="1" applyFill="1" applyBorder="1" applyAlignment="1">
      <alignment horizontal="right" vertical="center"/>
    </xf>
    <xf numFmtId="1" fontId="19" fillId="0" borderId="0" xfId="0" applyNumberFormat="1" applyFont="1" applyFill="1" applyBorder="1" applyAlignment="1">
      <alignment horizontal="center" vertical="center"/>
    </xf>
    <xf numFmtId="1" fontId="19" fillId="0" borderId="12" xfId="0" applyNumberFormat="1" applyFont="1" applyFill="1" applyBorder="1" applyAlignment="1">
      <alignment horizontal="center" vertical="center"/>
    </xf>
    <xf numFmtId="0" fontId="19" fillId="42" borderId="22" xfId="0" applyFont="1" applyFill="1" applyBorder="1" applyAlignment="1">
      <alignment horizontal="center" vertical="top"/>
    </xf>
    <xf numFmtId="1" fontId="19" fillId="42" borderId="12" xfId="0" applyNumberFormat="1" applyFont="1" applyFill="1" applyBorder="1" applyAlignment="1">
      <alignment horizontal="center" vertical="center"/>
    </xf>
    <xf numFmtId="1" fontId="19" fillId="42" borderId="27" xfId="0" applyNumberFormat="1" applyFont="1" applyFill="1" applyBorder="1" applyAlignment="1">
      <alignment horizontal="center"/>
    </xf>
    <xf numFmtId="1" fontId="19" fillId="42" borderId="29" xfId="0" applyNumberFormat="1" applyFont="1" applyFill="1" applyBorder="1" applyAlignment="1">
      <alignment horizontal="center"/>
    </xf>
    <xf numFmtId="1" fontId="19" fillId="42" borderId="26" xfId="0" applyNumberFormat="1" applyFont="1" applyFill="1" applyBorder="1" applyAlignment="1">
      <alignment horizontal="center" vertical="center"/>
    </xf>
    <xf numFmtId="0" fontId="20" fillId="42" borderId="19" xfId="0" applyFont="1" applyFill="1" applyBorder="1" applyAlignment="1">
      <alignment horizontal="center" wrapText="1"/>
    </xf>
    <xf numFmtId="164" fontId="21" fillId="0" borderId="28" xfId="0" applyNumberFormat="1" applyFont="1" applyFill="1" applyBorder="1" applyAlignment="1">
      <alignment horizontal="right" vertical="center"/>
    </xf>
    <xf numFmtId="164" fontId="2" fillId="0" borderId="25" xfId="0" applyNumberFormat="1" applyFont="1" applyFill="1" applyBorder="1" applyAlignment="1">
      <alignment horizontal="right" vertical="center"/>
    </xf>
    <xf numFmtId="164" fontId="2" fillId="0" borderId="26" xfId="0" applyNumberFormat="1" applyFont="1" applyFill="1" applyBorder="1" applyAlignment="1">
      <alignment horizontal="right" vertical="center"/>
    </xf>
    <xf numFmtId="164" fontId="21" fillId="0" borderId="0" xfId="0" applyNumberFormat="1" applyFont="1" applyFill="1" applyBorder="1" applyAlignment="1">
      <alignment horizontal="right" vertical="center"/>
    </xf>
    <xf numFmtId="164" fontId="21" fillId="0" borderId="25" xfId="0" applyNumberFormat="1" applyFont="1" applyFill="1" applyBorder="1" applyAlignment="1">
      <alignment horizontal="right" vertical="center"/>
    </xf>
    <xf numFmtId="164" fontId="2" fillId="0" borderId="25" xfId="0" applyNumberFormat="1" applyFont="1" applyBorder="1" applyAlignment="1">
      <alignment horizontal="right" vertical="center"/>
    </xf>
    <xf numFmtId="164" fontId="2" fillId="0" borderId="0" xfId="0" applyNumberFormat="1" applyFont="1" applyBorder="1" applyAlignment="1">
      <alignment horizontal="right" vertical="center"/>
    </xf>
    <xf numFmtId="164" fontId="2" fillId="0" borderId="32" xfId="0" applyNumberFormat="1" applyFont="1" applyFill="1" applyBorder="1" applyAlignment="1">
      <alignment horizontal="right" vertical="center"/>
    </xf>
    <xf numFmtId="164" fontId="2" fillId="44" borderId="25" xfId="0" applyNumberFormat="1" applyFont="1" applyFill="1" applyBorder="1" applyAlignment="1">
      <alignment horizontal="right" vertical="center"/>
    </xf>
    <xf numFmtId="164" fontId="2" fillId="44" borderId="0" xfId="0" applyNumberFormat="1" applyFont="1" applyFill="1" applyBorder="1" applyAlignment="1">
      <alignment horizontal="right" vertical="center"/>
    </xf>
    <xf numFmtId="164" fontId="2" fillId="44" borderId="28" xfId="0" applyNumberFormat="1" applyFont="1" applyFill="1" applyBorder="1" applyAlignment="1">
      <alignment horizontal="right" vertical="center"/>
    </xf>
    <xf numFmtId="164" fontId="2" fillId="44" borderId="32" xfId="0" applyNumberFormat="1" applyFont="1" applyFill="1" applyBorder="1" applyAlignment="1">
      <alignment horizontal="right" vertical="center"/>
    </xf>
    <xf numFmtId="164" fontId="21" fillId="44" borderId="25" xfId="0" applyNumberFormat="1" applyFont="1" applyFill="1" applyBorder="1" applyAlignment="1">
      <alignment horizontal="right" vertical="center"/>
    </xf>
    <xf numFmtId="164" fontId="21" fillId="44" borderId="0" xfId="0" applyNumberFormat="1" applyFont="1" applyFill="1" applyBorder="1" applyAlignment="1">
      <alignment horizontal="right" vertical="center"/>
    </xf>
    <xf numFmtId="164" fontId="2" fillId="0" borderId="28" xfId="0" applyNumberFormat="1" applyFont="1" applyBorder="1" applyAlignment="1">
      <alignment horizontal="right" vertical="center"/>
    </xf>
    <xf numFmtId="164" fontId="2" fillId="0" borderId="28" xfId="0" applyNumberFormat="1" applyFont="1" applyFill="1" applyBorder="1" applyAlignment="1">
      <alignment horizontal="right" vertical="center"/>
    </xf>
    <xf numFmtId="164" fontId="2" fillId="44" borderId="26" xfId="0" applyNumberFormat="1" applyFont="1" applyFill="1" applyBorder="1" applyAlignment="1">
      <alignment horizontal="right" vertical="center"/>
    </xf>
    <xf numFmtId="164" fontId="2" fillId="44" borderId="12" xfId="0" applyNumberFormat="1" applyFont="1" applyFill="1" applyBorder="1" applyAlignment="1">
      <alignment horizontal="right" vertical="center"/>
    </xf>
    <xf numFmtId="164" fontId="2" fillId="0" borderId="30" xfId="0" applyNumberFormat="1" applyFont="1" applyFill="1" applyBorder="1" applyAlignment="1">
      <alignment horizontal="right" vertical="center"/>
    </xf>
    <xf numFmtId="164" fontId="21" fillId="0" borderId="0" xfId="0" applyNumberFormat="1" applyFont="1" applyBorder="1" applyAlignment="1">
      <alignment horizontal="right" vertical="center"/>
    </xf>
    <xf numFmtId="164" fontId="2" fillId="0" borderId="29" xfId="0" applyNumberFormat="1" applyFont="1" applyBorder="1" applyAlignment="1">
      <alignment horizontal="right" vertical="center"/>
    </xf>
    <xf numFmtId="164" fontId="2" fillId="44" borderId="30" xfId="0" applyNumberFormat="1" applyFont="1" applyFill="1" applyBorder="1" applyAlignment="1">
      <alignment horizontal="right" vertical="center"/>
    </xf>
    <xf numFmtId="164" fontId="21" fillId="44" borderId="28" xfId="0" applyNumberFormat="1" applyFont="1" applyFill="1" applyBorder="1" applyAlignment="1">
      <alignment horizontal="right" vertical="center"/>
    </xf>
    <xf numFmtId="0" fontId="19" fillId="82" borderId="4" xfId="0" applyFont="1" applyFill="1" applyBorder="1" applyAlignment="1">
      <alignment horizontal="center" vertical="center"/>
    </xf>
    <xf numFmtId="164" fontId="2" fillId="82" borderId="0" xfId="0" applyNumberFormat="1" applyFont="1" applyFill="1" applyBorder="1" applyAlignment="1">
      <alignment horizontal="right" vertical="center"/>
    </xf>
    <xf numFmtId="164" fontId="2" fillId="82" borderId="36" xfId="0" applyNumberFormat="1" applyFont="1" applyFill="1" applyBorder="1" applyAlignment="1">
      <alignment horizontal="right" vertical="center"/>
    </xf>
    <xf numFmtId="164" fontId="2" fillId="82" borderId="12" xfId="0" applyNumberFormat="1" applyFont="1" applyFill="1" applyBorder="1" applyAlignment="1">
      <alignment horizontal="right" vertical="center"/>
    </xf>
    <xf numFmtId="164" fontId="2" fillId="44" borderId="31" xfId="0" applyNumberFormat="1" applyFont="1" applyFill="1" applyBorder="1" applyAlignment="1">
      <alignment horizontal="right" vertical="center"/>
    </xf>
    <xf numFmtId="164" fontId="2" fillId="0" borderId="31" xfId="0" applyNumberFormat="1" applyFont="1" applyFill="1" applyBorder="1" applyAlignment="1">
      <alignment horizontal="right" vertical="center"/>
    </xf>
    <xf numFmtId="164" fontId="2" fillId="82" borderId="25" xfId="0" applyNumberFormat="1" applyFont="1" applyFill="1" applyBorder="1" applyAlignment="1">
      <alignment horizontal="right" vertical="center"/>
    </xf>
    <xf numFmtId="164" fontId="2" fillId="82" borderId="28" xfId="0" applyNumberFormat="1" applyFont="1" applyFill="1" applyBorder="1" applyAlignment="1">
      <alignment horizontal="right" vertical="center"/>
    </xf>
    <xf numFmtId="0" fontId="19" fillId="82" borderId="19" xfId="0" applyFont="1" applyFill="1" applyBorder="1" applyAlignment="1">
      <alignment horizontal="center" vertical="center"/>
    </xf>
    <xf numFmtId="164" fontId="21" fillId="82" borderId="25" xfId="0" applyNumberFormat="1" applyFont="1" applyFill="1" applyBorder="1" applyAlignment="1">
      <alignment horizontal="right" vertical="center"/>
    </xf>
    <xf numFmtId="164" fontId="21" fillId="82" borderId="0" xfId="0" applyNumberFormat="1" applyFont="1" applyFill="1" applyBorder="1" applyAlignment="1">
      <alignment horizontal="right" vertical="center"/>
    </xf>
    <xf numFmtId="164" fontId="2" fillId="82" borderId="29" xfId="0" applyNumberFormat="1" applyFont="1" applyFill="1" applyBorder="1" applyAlignment="1">
      <alignment horizontal="right" vertical="center"/>
    </xf>
    <xf numFmtId="164" fontId="21" fillId="82" borderId="29" xfId="0" applyNumberFormat="1" applyFont="1" applyFill="1" applyBorder="1" applyAlignment="1">
      <alignment horizontal="right" vertical="center"/>
    </xf>
    <xf numFmtId="164" fontId="21" fillId="82" borderId="34" xfId="0" applyNumberFormat="1" applyFont="1" applyFill="1" applyBorder="1" applyAlignment="1">
      <alignment horizontal="right" vertical="center"/>
    </xf>
    <xf numFmtId="166" fontId="2" fillId="0" borderId="0" xfId="0" applyNumberFormat="1" applyFont="1" applyFill="1" applyBorder="1" applyAlignment="1">
      <alignment horizontal="right" vertical="center"/>
    </xf>
    <xf numFmtId="0" fontId="19" fillId="82" borderId="22" xfId="0" applyFont="1" applyFill="1" applyBorder="1" applyAlignment="1">
      <alignment horizontal="center" vertical="center"/>
    </xf>
    <xf numFmtId="164" fontId="2" fillId="82" borderId="30" xfId="0" applyNumberFormat="1" applyFont="1" applyFill="1" applyBorder="1" applyAlignment="1">
      <alignment horizontal="right" vertical="center"/>
    </xf>
    <xf numFmtId="164" fontId="2" fillId="82" borderId="26" xfId="0" applyNumberFormat="1" applyFont="1" applyFill="1" applyBorder="1" applyAlignment="1">
      <alignment horizontal="right" vertical="center"/>
    </xf>
    <xf numFmtId="164" fontId="2" fillId="0" borderId="31" xfId="0" applyNumberFormat="1" applyFont="1" applyBorder="1" applyAlignment="1">
      <alignment horizontal="right" vertical="center"/>
    </xf>
    <xf numFmtId="164" fontId="2" fillId="82" borderId="28" xfId="0" applyNumberFormat="1" applyFont="1" applyFill="1" applyBorder="1" applyAlignment="1">
      <alignment horizontal="right" vertical="center" wrapText="1"/>
    </xf>
    <xf numFmtId="0" fontId="19" fillId="44" borderId="7" xfId="0" applyFont="1" applyFill="1" applyBorder="1" applyAlignment="1">
      <alignment horizontal="center" vertical="center"/>
    </xf>
    <xf numFmtId="186" fontId="22" fillId="44" borderId="20" xfId="0" applyNumberFormat="1" applyFont="1" applyFill="1" applyBorder="1" applyAlignment="1">
      <alignment horizontal="right" vertical="center"/>
    </xf>
    <xf numFmtId="186" fontId="22" fillId="44" borderId="16" xfId="0" applyNumberFormat="1" applyFont="1" applyFill="1" applyBorder="1" applyAlignment="1">
      <alignment horizontal="right" vertical="center"/>
    </xf>
    <xf numFmtId="164" fontId="19" fillId="44" borderId="7" xfId="0" applyNumberFormat="1" applyFont="1" applyFill="1" applyBorder="1" applyAlignment="1">
      <alignment horizontal="center" vertical="center"/>
    </xf>
    <xf numFmtId="164" fontId="2" fillId="82" borderId="0" xfId="0" applyNumberFormat="1" applyFont="1" applyFill="1" applyBorder="1" applyAlignment="1">
      <alignment horizontal="right" vertical="center" wrapText="1"/>
    </xf>
    <xf numFmtId="0" fontId="2" fillId="0" borderId="12" xfId="0" applyFont="1" applyBorder="1"/>
    <xf numFmtId="0" fontId="2" fillId="0" borderId="12" xfId="165" applyFont="1" applyBorder="1" applyAlignment="1">
      <alignment horizontal="right"/>
    </xf>
    <xf numFmtId="0" fontId="2" fillId="0" borderId="0" xfId="165" applyFont="1" applyBorder="1" applyAlignment="1">
      <alignment horizontal="right"/>
    </xf>
    <xf numFmtId="1" fontId="19" fillId="0" borderId="12" xfId="165" applyNumberFormat="1" applyFont="1" applyFill="1" applyBorder="1" applyAlignment="1">
      <alignment horizontal="center" vertical="center"/>
    </xf>
    <xf numFmtId="0" fontId="19" fillId="0" borderId="0" xfId="165" applyFont="1" applyAlignment="1">
      <alignment horizontal="left" vertical="top"/>
    </xf>
    <xf numFmtId="164" fontId="21" fillId="0" borderId="25" xfId="165" applyNumberFormat="1" applyFont="1" applyFill="1" applyBorder="1" applyAlignment="1">
      <alignment horizontal="right" vertical="center"/>
    </xf>
    <xf numFmtId="164" fontId="2" fillId="0" borderId="25" xfId="165" applyNumberFormat="1" applyFont="1" applyBorder="1" applyAlignment="1">
      <alignment horizontal="right" vertical="center"/>
    </xf>
    <xf numFmtId="164" fontId="2" fillId="0" borderId="12" xfId="165" applyNumberFormat="1" applyFont="1" applyBorder="1" applyAlignment="1">
      <alignment horizontal="right" vertical="center"/>
    </xf>
    <xf numFmtId="164" fontId="2" fillId="0" borderId="29" xfId="165" applyNumberFormat="1" applyFont="1" applyBorder="1" applyAlignment="1">
      <alignment horizontal="right" vertical="center"/>
    </xf>
    <xf numFmtId="0" fontId="19" fillId="82" borderId="4" xfId="165" applyFont="1" applyFill="1" applyBorder="1" applyAlignment="1">
      <alignment horizontal="center" vertical="center"/>
    </xf>
    <xf numFmtId="2" fontId="2" fillId="82" borderId="4" xfId="165" applyNumberFormat="1" applyFont="1" applyFill="1" applyBorder="1" applyAlignment="1">
      <alignment horizontal="right" vertical="center"/>
    </xf>
    <xf numFmtId="164" fontId="2" fillId="82" borderId="0" xfId="165" applyNumberFormat="1" applyFont="1" applyFill="1" applyBorder="1" applyAlignment="1">
      <alignment horizontal="right" vertical="center"/>
    </xf>
    <xf numFmtId="164" fontId="2" fillId="82" borderId="36" xfId="165" applyNumberFormat="1" applyFont="1" applyFill="1" applyBorder="1" applyAlignment="1">
      <alignment horizontal="right" vertical="center"/>
    </xf>
    <xf numFmtId="164" fontId="2" fillId="82" borderId="12" xfId="165" applyNumberFormat="1" applyFont="1" applyFill="1" applyBorder="1" applyAlignment="1">
      <alignment horizontal="right" vertical="center"/>
    </xf>
    <xf numFmtId="164" fontId="21" fillId="0" borderId="29" xfId="165" applyNumberFormat="1" applyFont="1" applyBorder="1" applyAlignment="1">
      <alignment horizontal="right" vertical="center"/>
    </xf>
    <xf numFmtId="164" fontId="2" fillId="82" borderId="28" xfId="165" applyNumberFormat="1" applyFont="1" applyFill="1" applyBorder="1" applyAlignment="1">
      <alignment horizontal="right" vertical="center"/>
    </xf>
    <xf numFmtId="0" fontId="19" fillId="82" borderId="19" xfId="165" applyFont="1" applyFill="1" applyBorder="1" applyAlignment="1">
      <alignment horizontal="center" vertical="center"/>
    </xf>
    <xf numFmtId="164" fontId="21" fillId="82" borderId="0" xfId="165" applyNumberFormat="1" applyFont="1" applyFill="1" applyBorder="1" applyAlignment="1">
      <alignment horizontal="right" vertical="center"/>
    </xf>
    <xf numFmtId="164" fontId="2" fillId="82" borderId="29" xfId="165" applyNumberFormat="1" applyFont="1" applyFill="1" applyBorder="1" applyAlignment="1">
      <alignment horizontal="right" vertical="center"/>
    </xf>
    <xf numFmtId="164" fontId="21" fillId="82" borderId="29" xfId="165" applyNumberFormat="1" applyFont="1" applyFill="1" applyBorder="1" applyAlignment="1">
      <alignment horizontal="right" vertical="center"/>
    </xf>
    <xf numFmtId="0" fontId="19" fillId="82" borderId="22" xfId="165" applyFont="1" applyFill="1" applyBorder="1" applyAlignment="1">
      <alignment horizontal="center" vertical="center"/>
    </xf>
    <xf numFmtId="2" fontId="2" fillId="82" borderId="22" xfId="165" applyNumberFormat="1" applyFont="1" applyFill="1" applyBorder="1" applyAlignment="1">
      <alignment horizontal="right" vertical="center"/>
    </xf>
    <xf numFmtId="164" fontId="2" fillId="82" borderId="30" xfId="165" applyNumberFormat="1" applyFont="1" applyFill="1" applyBorder="1" applyAlignment="1">
      <alignment horizontal="right" vertical="center"/>
    </xf>
    <xf numFmtId="164" fontId="2" fillId="0" borderId="27" xfId="165" applyNumberFormat="1" applyFont="1" applyFill="1" applyBorder="1" applyAlignment="1">
      <alignment horizontal="right" vertical="center"/>
    </xf>
    <xf numFmtId="164" fontId="2" fillId="0" borderId="35" xfId="165" applyNumberFormat="1" applyFont="1" applyFill="1" applyBorder="1" applyAlignment="1">
      <alignment horizontal="right" vertical="center"/>
    </xf>
    <xf numFmtId="164" fontId="21" fillId="82" borderId="28" xfId="165" applyNumberFormat="1" applyFont="1" applyFill="1" applyBorder="1" applyAlignment="1">
      <alignment horizontal="right" vertical="center"/>
    </xf>
    <xf numFmtId="164" fontId="22" fillId="44" borderId="16" xfId="165" applyNumberFormat="1" applyFont="1" applyFill="1" applyBorder="1" applyAlignment="1">
      <alignment horizontal="right" vertical="center"/>
    </xf>
    <xf numFmtId="164" fontId="2" fillId="0" borderId="27" xfId="165" applyNumberFormat="1" applyFont="1" applyBorder="1" applyAlignment="1">
      <alignment horizontal="right" vertical="center"/>
    </xf>
    <xf numFmtId="164" fontId="2" fillId="0" borderId="40" xfId="165" applyNumberFormat="1" applyFont="1" applyFill="1" applyBorder="1" applyAlignment="1">
      <alignment horizontal="right" vertical="center"/>
    </xf>
    <xf numFmtId="164" fontId="21" fillId="0" borderId="34" xfId="165" applyNumberFormat="1" applyFont="1" applyBorder="1" applyAlignment="1">
      <alignment horizontal="right" vertical="center"/>
    </xf>
    <xf numFmtId="164" fontId="22" fillId="44" borderId="34" xfId="165" applyNumberFormat="1" applyFont="1" applyFill="1" applyBorder="1" applyAlignment="1">
      <alignment horizontal="right" vertical="center"/>
    </xf>
    <xf numFmtId="0" fontId="2" fillId="0" borderId="12" xfId="165" applyFont="1" applyBorder="1" applyAlignment="1">
      <alignment horizontal="center"/>
    </xf>
    <xf numFmtId="0" fontId="19" fillId="42" borderId="28" xfId="165" applyFont="1" applyFill="1" applyBorder="1" applyAlignment="1">
      <alignment horizontal="center" vertical="top"/>
    </xf>
    <xf numFmtId="0" fontId="19" fillId="0" borderId="0" xfId="165" applyNumberFormat="1" applyFont="1" applyAlignment="1">
      <alignment vertical="top"/>
    </xf>
    <xf numFmtId="0" fontId="2" fillId="0" borderId="0" xfId="165" applyNumberFormat="1" applyFont="1" applyAlignment="1">
      <alignment vertical="top"/>
    </xf>
    <xf numFmtId="0" fontId="19" fillId="0" borderId="0" xfId="165" applyNumberFormat="1" applyFont="1" applyBorder="1" applyAlignment="1">
      <alignment horizontal="left" vertical="top"/>
    </xf>
    <xf numFmtId="1" fontId="28" fillId="46" borderId="29" xfId="165" applyNumberFormat="1" applyFont="1" applyFill="1" applyBorder="1" applyAlignment="1">
      <alignment horizontal="center" vertical="center"/>
    </xf>
    <xf numFmtId="1" fontId="19" fillId="42" borderId="34" xfId="165" applyNumberFormat="1" applyFont="1" applyFill="1" applyBorder="1" applyAlignment="1">
      <alignment horizontal="center"/>
    </xf>
    <xf numFmtId="164" fontId="2" fillId="0" borderId="41" xfId="165" applyNumberFormat="1" applyFont="1" applyFill="1" applyBorder="1" applyAlignment="1">
      <alignment horizontal="right" vertical="center"/>
    </xf>
    <xf numFmtId="0" fontId="19" fillId="84" borderId="4" xfId="165" applyFont="1" applyFill="1" applyBorder="1" applyAlignment="1">
      <alignment horizontal="center" vertical="center"/>
    </xf>
    <xf numFmtId="2" fontId="2" fillId="84" borderId="4" xfId="165" applyNumberFormat="1" applyFont="1" applyFill="1" applyBorder="1" applyAlignment="1">
      <alignment horizontal="right" vertical="center"/>
    </xf>
    <xf numFmtId="164" fontId="2" fillId="84" borderId="0" xfId="165" applyNumberFormat="1" applyFont="1" applyFill="1" applyBorder="1" applyAlignment="1">
      <alignment horizontal="right" vertical="center"/>
    </xf>
    <xf numFmtId="164" fontId="2" fillId="84" borderId="32" xfId="165" applyNumberFormat="1" applyFont="1" applyFill="1" applyBorder="1" applyAlignment="1">
      <alignment horizontal="right" vertical="center"/>
    </xf>
    <xf numFmtId="0" fontId="19" fillId="82" borderId="4" xfId="165" applyFont="1" applyFill="1" applyBorder="1" applyAlignment="1">
      <alignment horizontal="center" vertical="center"/>
    </xf>
    <xf numFmtId="2" fontId="2" fillId="82" borderId="4" xfId="165" applyNumberFormat="1" applyFont="1" applyFill="1" applyBorder="1" applyAlignment="1">
      <alignment horizontal="right" vertical="center"/>
    </xf>
    <xf numFmtId="164" fontId="2" fillId="82" borderId="0" xfId="165" applyNumberFormat="1" applyFont="1" applyFill="1" applyBorder="1" applyAlignment="1">
      <alignment horizontal="right" vertical="center"/>
    </xf>
    <xf numFmtId="164" fontId="2" fillId="82" borderId="12" xfId="165" applyNumberFormat="1" applyFont="1" applyFill="1" applyBorder="1" applyAlignment="1">
      <alignment horizontal="right" vertical="center"/>
    </xf>
    <xf numFmtId="0" fontId="19" fillId="82" borderId="19" xfId="165" applyFont="1" applyFill="1" applyBorder="1" applyAlignment="1">
      <alignment horizontal="center" vertical="center"/>
    </xf>
    <xf numFmtId="164" fontId="2" fillId="82" borderId="29" xfId="165" applyNumberFormat="1" applyFont="1" applyFill="1" applyBorder="1" applyAlignment="1">
      <alignment horizontal="right" vertical="center"/>
    </xf>
    <xf numFmtId="164" fontId="2" fillId="82" borderId="30" xfId="165" applyNumberFormat="1" applyFont="1" applyFill="1" applyBorder="1" applyAlignment="1">
      <alignment horizontal="right" vertical="center"/>
    </xf>
    <xf numFmtId="164" fontId="2" fillId="84" borderId="28" xfId="165" applyNumberFormat="1" applyFont="1" applyFill="1" applyBorder="1" applyAlignment="1">
      <alignment horizontal="right" vertical="center"/>
    </xf>
    <xf numFmtId="164" fontId="2" fillId="82" borderId="32" xfId="165" applyNumberFormat="1" applyFont="1" applyFill="1" applyBorder="1" applyAlignment="1">
      <alignment horizontal="right" vertical="center"/>
    </xf>
    <xf numFmtId="2" fontId="2" fillId="82" borderId="19" xfId="165" applyNumberFormat="1" applyFont="1" applyFill="1" applyBorder="1" applyAlignment="1">
      <alignment horizontal="right" vertical="center"/>
    </xf>
    <xf numFmtId="0" fontId="19" fillId="44" borderId="7" xfId="165" applyFont="1" applyFill="1" applyBorder="1" applyAlignment="1">
      <alignment horizontal="center" vertical="center"/>
    </xf>
    <xf numFmtId="0" fontId="2" fillId="0" borderId="12" xfId="165" applyFont="1" applyBorder="1" applyAlignment="1">
      <alignment vertical="center"/>
    </xf>
    <xf numFmtId="164" fontId="19" fillId="44" borderId="7" xfId="165" applyNumberFormat="1" applyFont="1" applyFill="1" applyBorder="1" applyAlignment="1">
      <alignment horizontal="right" vertical="center"/>
    </xf>
    <xf numFmtId="164" fontId="19" fillId="44" borderId="16" xfId="165" applyNumberFormat="1" applyFont="1" applyFill="1" applyBorder="1" applyAlignment="1">
      <alignment horizontal="right" vertical="center"/>
    </xf>
    <xf numFmtId="164" fontId="19" fillId="44" borderId="38" xfId="165" applyNumberFormat="1" applyFont="1" applyFill="1" applyBorder="1" applyAlignment="1">
      <alignment horizontal="right" vertical="center"/>
    </xf>
    <xf numFmtId="1" fontId="19" fillId="42" borderId="28" xfId="165" applyNumberFormat="1" applyFont="1" applyFill="1" applyBorder="1" applyAlignment="1">
      <alignment horizontal="center" vertical="center"/>
    </xf>
    <xf numFmtId="164" fontId="2" fillId="0" borderId="34" xfId="165" applyNumberFormat="1" applyFont="1" applyBorder="1" applyAlignment="1">
      <alignment horizontal="right" vertical="center"/>
    </xf>
    <xf numFmtId="0" fontId="19" fillId="82" borderId="25" xfId="0" applyFont="1" applyFill="1" applyBorder="1" applyAlignment="1">
      <alignment horizontal="center" vertical="center"/>
    </xf>
    <xf numFmtId="164" fontId="22" fillId="44" borderId="16" xfId="0" applyNumberFormat="1" applyFont="1" applyFill="1" applyBorder="1" applyAlignment="1">
      <alignment horizontal="center"/>
    </xf>
    <xf numFmtId="0" fontId="19" fillId="44" borderId="7" xfId="0" applyFont="1" applyFill="1" applyBorder="1" applyAlignment="1">
      <alignment horizontal="center"/>
    </xf>
    <xf numFmtId="2" fontId="2" fillId="0" borderId="0" xfId="0" applyNumberFormat="1" applyFont="1" applyBorder="1" applyAlignment="1">
      <alignment vertical="center"/>
    </xf>
    <xf numFmtId="0" fontId="19"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left"/>
    </xf>
    <xf numFmtId="164" fontId="21" fillId="0" borderId="12" xfId="0" applyNumberFormat="1" applyFont="1" applyFill="1" applyBorder="1" applyAlignment="1">
      <alignment vertical="center"/>
    </xf>
    <xf numFmtId="164" fontId="21" fillId="0" borderId="29" xfId="0" applyNumberFormat="1" applyFont="1" applyFill="1" applyBorder="1" applyAlignment="1">
      <alignment vertical="center"/>
    </xf>
    <xf numFmtId="164" fontId="21" fillId="44" borderId="0" xfId="0" applyNumberFormat="1" applyFont="1" applyFill="1" applyBorder="1" applyAlignment="1">
      <alignment horizontal="right"/>
    </xf>
    <xf numFmtId="164" fontId="21" fillId="45" borderId="0" xfId="0" applyNumberFormat="1" applyFont="1" applyFill="1" applyBorder="1" applyAlignment="1">
      <alignment horizontal="right" vertical="center"/>
    </xf>
    <xf numFmtId="164" fontId="21" fillId="44" borderId="0" xfId="0" applyNumberFormat="1" applyFont="1" applyFill="1" applyBorder="1" applyAlignment="1">
      <alignment vertical="center"/>
    </xf>
    <xf numFmtId="164" fontId="22" fillId="44" borderId="16" xfId="0" applyNumberFormat="1" applyFont="1" applyFill="1" applyBorder="1" applyAlignment="1">
      <alignment vertical="center"/>
    </xf>
    <xf numFmtId="0" fontId="19" fillId="42" borderId="16" xfId="0" applyFont="1" applyFill="1" applyBorder="1" applyAlignment="1">
      <alignment vertical="center" wrapText="1"/>
    </xf>
    <xf numFmtId="0" fontId="11" fillId="0" borderId="0" xfId="0" applyFont="1" applyAlignment="1">
      <alignment vertical="center"/>
    </xf>
    <xf numFmtId="0" fontId="19" fillId="0" borderId="4" xfId="0" applyFont="1" applyFill="1" applyBorder="1" applyAlignment="1">
      <alignment horizontal="center" vertical="top"/>
    </xf>
    <xf numFmtId="1" fontId="19" fillId="0" borderId="0" xfId="0" applyNumberFormat="1" applyFont="1" applyFill="1" applyBorder="1" applyAlignment="1">
      <alignment horizontal="center"/>
    </xf>
    <xf numFmtId="164" fontId="2" fillId="44" borderId="34" xfId="0" applyNumberFormat="1" applyFont="1" applyFill="1" applyBorder="1" applyAlignment="1">
      <alignment horizontal="right" vertical="center"/>
    </xf>
    <xf numFmtId="164" fontId="21" fillId="0" borderId="28" xfId="0" applyNumberFormat="1" applyFont="1" applyBorder="1" applyAlignment="1">
      <alignment horizontal="right" vertical="center"/>
    </xf>
    <xf numFmtId="0" fontId="19" fillId="82" borderId="26"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9" xfId="0" applyFont="1" applyFill="1" applyBorder="1" applyAlignment="1">
      <alignment horizontal="center" vertical="center"/>
    </xf>
    <xf numFmtId="0" fontId="0" fillId="0" borderId="0" xfId="0" applyBorder="1"/>
    <xf numFmtId="0" fontId="19" fillId="0" borderId="0" xfId="0" applyFont="1"/>
    <xf numFmtId="0" fontId="19" fillId="0" borderId="19" xfId="0" applyFont="1" applyFill="1" applyBorder="1" applyAlignment="1">
      <alignment horizontal="center" vertical="center"/>
    </xf>
    <xf numFmtId="0" fontId="10" fillId="0" borderId="0" xfId="0" quotePrefix="1" applyFont="1" applyAlignment="1">
      <alignment horizontal="right" vertical="top"/>
    </xf>
    <xf numFmtId="0" fontId="10" fillId="0" borderId="0" xfId="0" quotePrefix="1" applyFont="1" applyBorder="1" applyAlignment="1">
      <alignment horizontal="right" vertical="top"/>
    </xf>
    <xf numFmtId="0" fontId="0" fillId="0" borderId="0" xfId="0" applyAlignment="1">
      <alignment vertical="center"/>
    </xf>
    <xf numFmtId="0" fontId="19" fillId="0" borderId="0" xfId="0" applyFont="1" applyBorder="1"/>
    <xf numFmtId="0" fontId="2" fillId="0" borderId="0" xfId="0" applyFont="1" applyFill="1" applyBorder="1"/>
    <xf numFmtId="0" fontId="11" fillId="0" borderId="0" xfId="0" applyFont="1"/>
    <xf numFmtId="0" fontId="0" fillId="0" borderId="28" xfId="0" applyFill="1" applyBorder="1"/>
    <xf numFmtId="0" fontId="11" fillId="0" borderId="0" xfId="0" applyFont="1" applyBorder="1" applyAlignment="1">
      <alignment vertical="top"/>
    </xf>
    <xf numFmtId="0" fontId="11" fillId="0" borderId="0" xfId="0" applyFont="1" applyAlignment="1">
      <alignment vertical="top" wrapText="1"/>
    </xf>
    <xf numFmtId="0" fontId="2" fillId="0" borderId="0" xfId="0" applyFont="1" applyBorder="1" applyAlignment="1">
      <alignment horizontal="right"/>
    </xf>
    <xf numFmtId="0" fontId="19" fillId="0" borderId="0" xfId="0" applyFont="1" applyBorder="1" applyAlignment="1">
      <alignment horizontal="left" wrapText="1"/>
    </xf>
    <xf numFmtId="1" fontId="19" fillId="42" borderId="0" xfId="0" applyNumberFormat="1" applyFont="1" applyFill="1" applyBorder="1" applyAlignment="1">
      <alignment horizontal="center" vertical="center"/>
    </xf>
    <xf numFmtId="0" fontId="19" fillId="0" borderId="0" xfId="0" applyFont="1" applyAlignment="1">
      <alignment vertical="top"/>
    </xf>
    <xf numFmtId="2" fontId="2" fillId="0" borderId="4" xfId="0" applyNumberFormat="1" applyFont="1" applyFill="1" applyBorder="1" applyAlignment="1">
      <alignment horizontal="right" vertical="center"/>
    </xf>
    <xf numFmtId="2" fontId="2" fillId="0" borderId="4" xfId="0" applyNumberFormat="1" applyFont="1" applyBorder="1" applyAlignment="1">
      <alignment horizontal="right" vertical="center"/>
    </xf>
    <xf numFmtId="2" fontId="2" fillId="0" borderId="22" xfId="0" applyNumberFormat="1" applyFont="1" applyFill="1" applyBorder="1" applyAlignment="1">
      <alignment horizontal="right" vertical="center"/>
    </xf>
    <xf numFmtId="2" fontId="2" fillId="0" borderId="19" xfId="0" applyNumberFormat="1" applyFont="1" applyFill="1" applyBorder="1" applyAlignment="1">
      <alignment horizontal="right" vertical="center"/>
    </xf>
    <xf numFmtId="0" fontId="19" fillId="42" borderId="4" xfId="0" applyFont="1" applyFill="1" applyBorder="1" applyAlignment="1">
      <alignment horizontal="center" vertical="top"/>
    </xf>
    <xf numFmtId="2" fontId="2" fillId="44" borderId="4" xfId="0" applyNumberFormat="1" applyFont="1" applyFill="1" applyBorder="1" applyAlignment="1">
      <alignment horizontal="right" vertical="center"/>
    </xf>
    <xf numFmtId="1" fontId="19" fillId="42" borderId="19" xfId="0" applyNumberFormat="1" applyFont="1" applyFill="1" applyBorder="1" applyAlignment="1">
      <alignment horizontal="center"/>
    </xf>
    <xf numFmtId="1" fontId="19" fillId="42" borderId="22" xfId="0" applyNumberFormat="1" applyFont="1" applyFill="1" applyBorder="1" applyAlignment="1">
      <alignment horizontal="center" vertical="center"/>
    </xf>
    <xf numFmtId="1" fontId="19" fillId="42" borderId="4" xfId="0" applyNumberFormat="1" applyFont="1" applyFill="1" applyBorder="1" applyAlignment="1">
      <alignment horizontal="center" vertical="center"/>
    </xf>
    <xf numFmtId="164" fontId="21" fillId="0" borderId="29" xfId="0" applyNumberFormat="1" applyFont="1" applyFill="1" applyBorder="1" applyAlignment="1">
      <alignment horizontal="right" vertical="center"/>
    </xf>
    <xf numFmtId="164" fontId="21" fillId="0" borderId="12" xfId="0" applyNumberFormat="1" applyFont="1" applyFill="1" applyBorder="1" applyAlignment="1">
      <alignment horizontal="right" vertical="center"/>
    </xf>
    <xf numFmtId="164" fontId="2" fillId="0" borderId="29" xfId="0" applyNumberFormat="1" applyFont="1" applyFill="1" applyBorder="1" applyAlignment="1">
      <alignment horizontal="right" vertical="center"/>
    </xf>
    <xf numFmtId="164" fontId="0" fillId="0" borderId="0" xfId="0" applyNumberFormat="1"/>
    <xf numFmtId="0" fontId="19" fillId="84" borderId="4" xfId="0" applyFont="1" applyFill="1" applyBorder="1" applyAlignment="1">
      <alignment horizontal="center" vertical="center"/>
    </xf>
    <xf numFmtId="2" fontId="2" fillId="84" borderId="4" xfId="0" applyNumberFormat="1" applyFont="1" applyFill="1" applyBorder="1" applyAlignment="1">
      <alignment horizontal="right" vertical="center"/>
    </xf>
    <xf numFmtId="164" fontId="2" fillId="84" borderId="0" xfId="0" applyNumberFormat="1" applyFont="1" applyFill="1" applyBorder="1" applyAlignment="1">
      <alignment horizontal="right" vertical="center"/>
    </xf>
    <xf numFmtId="0" fontId="19" fillId="82" borderId="4" xfId="0" applyFont="1" applyFill="1" applyBorder="1" applyAlignment="1">
      <alignment horizontal="center" vertical="center"/>
    </xf>
    <xf numFmtId="2" fontId="2" fillId="82" borderId="4" xfId="0" applyNumberFormat="1" applyFont="1" applyFill="1" applyBorder="1" applyAlignment="1">
      <alignment horizontal="right" vertical="center"/>
    </xf>
    <xf numFmtId="164" fontId="2" fillId="82" borderId="0" xfId="0" applyNumberFormat="1" applyFont="1" applyFill="1" applyBorder="1" applyAlignment="1">
      <alignment horizontal="right" vertical="center"/>
    </xf>
    <xf numFmtId="164" fontId="2" fillId="82" borderId="12" xfId="0" applyNumberFormat="1" applyFont="1" applyFill="1" applyBorder="1" applyAlignment="1">
      <alignment horizontal="right" vertical="center"/>
    </xf>
    <xf numFmtId="164" fontId="21" fillId="84" borderId="0" xfId="0" applyNumberFormat="1" applyFont="1" applyFill="1" applyBorder="1" applyAlignment="1">
      <alignment horizontal="right" vertical="center"/>
    </xf>
    <xf numFmtId="164" fontId="2" fillId="82" borderId="28" xfId="0" applyNumberFormat="1" applyFont="1" applyFill="1" applyBorder="1" applyAlignment="1">
      <alignment horizontal="right" vertical="center"/>
    </xf>
    <xf numFmtId="0" fontId="19" fillId="82" borderId="19" xfId="0" applyFont="1" applyFill="1" applyBorder="1" applyAlignment="1">
      <alignment horizontal="center" vertical="center"/>
    </xf>
    <xf numFmtId="164" fontId="21" fillId="82" borderId="0" xfId="0" applyNumberFormat="1" applyFont="1" applyFill="1" applyBorder="1" applyAlignment="1">
      <alignment horizontal="right" vertical="center"/>
    </xf>
    <xf numFmtId="164" fontId="2" fillId="82" borderId="29" xfId="0" applyNumberFormat="1" applyFont="1" applyFill="1" applyBorder="1" applyAlignment="1">
      <alignment horizontal="right" vertical="center"/>
    </xf>
    <xf numFmtId="164" fontId="21" fillId="82" borderId="29" xfId="0" applyNumberFormat="1" applyFont="1" applyFill="1" applyBorder="1" applyAlignment="1">
      <alignment horizontal="right" vertical="center"/>
    </xf>
    <xf numFmtId="0" fontId="19" fillId="82" borderId="22" xfId="0" applyFont="1" applyFill="1" applyBorder="1" applyAlignment="1">
      <alignment horizontal="center" vertical="center"/>
    </xf>
    <xf numFmtId="2" fontId="2" fillId="82" borderId="22" xfId="0" applyNumberFormat="1" applyFont="1" applyFill="1" applyBorder="1" applyAlignment="1">
      <alignment horizontal="right" vertical="center"/>
    </xf>
    <xf numFmtId="164" fontId="2" fillId="82" borderId="30" xfId="0" applyNumberFormat="1" applyFont="1" applyFill="1" applyBorder="1" applyAlignment="1">
      <alignment horizontal="right" vertical="center"/>
    </xf>
    <xf numFmtId="164" fontId="2" fillId="84" borderId="28" xfId="0" applyNumberFormat="1" applyFont="1" applyFill="1" applyBorder="1" applyAlignment="1">
      <alignment horizontal="right" vertical="center"/>
    </xf>
    <xf numFmtId="2" fontId="2" fillId="82" borderId="19" xfId="0" applyNumberFormat="1" applyFont="1" applyFill="1" applyBorder="1" applyAlignment="1">
      <alignment horizontal="right" vertical="center"/>
    </xf>
    <xf numFmtId="164" fontId="21" fillId="84" borderId="28" xfId="0" applyNumberFormat="1" applyFont="1" applyFill="1" applyBorder="1" applyAlignment="1">
      <alignment horizontal="right" vertical="center"/>
    </xf>
    <xf numFmtId="164" fontId="2" fillId="82" borderId="26" xfId="0" applyNumberFormat="1" applyFont="1" applyFill="1" applyBorder="1" applyAlignment="1">
      <alignment horizontal="right" vertical="center"/>
    </xf>
    <xf numFmtId="164" fontId="2" fillId="82" borderId="42" xfId="0" applyNumberFormat="1" applyFont="1" applyFill="1" applyBorder="1" applyAlignment="1">
      <alignment horizontal="right" vertical="center"/>
    </xf>
    <xf numFmtId="164" fontId="21" fillId="82" borderId="28" xfId="0" applyNumberFormat="1" applyFont="1" applyFill="1" applyBorder="1" applyAlignment="1">
      <alignment horizontal="right" vertical="center"/>
    </xf>
    <xf numFmtId="0" fontId="11" fillId="0" borderId="0" xfId="0" applyFont="1" applyAlignment="1">
      <alignment vertical="top"/>
    </xf>
    <xf numFmtId="0" fontId="19" fillId="42" borderId="20" xfId="0" applyFont="1" applyFill="1" applyBorder="1" applyAlignment="1">
      <alignment horizontal="center" vertical="center" wrapText="1"/>
    </xf>
    <xf numFmtId="0" fontId="19" fillId="42" borderId="16" xfId="0" applyFont="1" applyFill="1" applyBorder="1" applyAlignment="1">
      <alignment horizontal="center" vertical="center" wrapText="1"/>
    </xf>
    <xf numFmtId="0" fontId="19" fillId="42" borderId="38" xfId="0" applyFont="1" applyFill="1" applyBorder="1" applyAlignment="1">
      <alignment horizontal="center" vertical="center" wrapText="1"/>
    </xf>
    <xf numFmtId="0" fontId="19" fillId="0" borderId="0" xfId="0" applyFont="1" applyFill="1" applyBorder="1" applyAlignment="1">
      <alignment horizontal="center" vertical="center" wrapText="1"/>
    </xf>
    <xf numFmtId="164" fontId="21" fillId="82" borderId="12" xfId="0" applyNumberFormat="1" applyFont="1" applyFill="1" applyBorder="1" applyAlignment="1">
      <alignment horizontal="right" vertical="center"/>
    </xf>
    <xf numFmtId="0" fontId="19" fillId="0" borderId="0" xfId="0" applyFont="1" applyAlignment="1"/>
    <xf numFmtId="164" fontId="21" fillId="82" borderId="0" xfId="0" applyNumberFormat="1" applyFont="1" applyFill="1" applyBorder="1" applyAlignment="1">
      <alignment vertical="center"/>
    </xf>
    <xf numFmtId="164" fontId="21" fillId="0" borderId="0" xfId="0" applyNumberFormat="1" applyFont="1" applyFill="1" applyBorder="1" applyAlignment="1">
      <alignment vertical="center"/>
    </xf>
    <xf numFmtId="164" fontId="21" fillId="0" borderId="0" xfId="0" applyNumberFormat="1" applyFont="1" applyBorder="1" applyAlignment="1">
      <alignment vertical="center"/>
    </xf>
    <xf numFmtId="0" fontId="2" fillId="0" borderId="0" xfId="0" applyFont="1" applyAlignment="1">
      <alignment horizontal="left" vertical="top" wrapText="1"/>
    </xf>
    <xf numFmtId="164" fontId="22" fillId="44" borderId="7" xfId="0" applyNumberFormat="1" applyFont="1" applyFill="1" applyBorder="1" applyAlignment="1">
      <alignment horizontal="right" vertical="center"/>
    </xf>
    <xf numFmtId="164" fontId="22" fillId="44" borderId="16" xfId="0" applyNumberFormat="1" applyFont="1" applyFill="1" applyBorder="1" applyAlignment="1">
      <alignment horizontal="right" vertical="center"/>
    </xf>
    <xf numFmtId="0" fontId="2" fillId="0" borderId="12" xfId="0" applyFont="1" applyBorder="1" applyAlignment="1">
      <alignment vertical="center"/>
    </xf>
    <xf numFmtId="164" fontId="19" fillId="44" borderId="7" xfId="0" applyNumberFormat="1" applyFont="1" applyFill="1" applyBorder="1" applyAlignment="1">
      <alignment horizontal="right" vertical="center"/>
    </xf>
    <xf numFmtId="164" fontId="19" fillId="44" borderId="16" xfId="0" applyNumberFormat="1" applyFont="1" applyFill="1" applyBorder="1" applyAlignment="1">
      <alignment horizontal="right" vertical="center"/>
    </xf>
    <xf numFmtId="164" fontId="2" fillId="82" borderId="33" xfId="0" applyNumberFormat="1" applyFont="1" applyFill="1" applyBorder="1" applyAlignment="1">
      <alignment horizontal="right" vertical="center"/>
    </xf>
    <xf numFmtId="0" fontId="2" fillId="0" borderId="0" xfId="0" applyFont="1" applyAlignment="1">
      <alignment horizontal="left" vertical="top"/>
    </xf>
    <xf numFmtId="164" fontId="22" fillId="44" borderId="16" xfId="0" applyNumberFormat="1" applyFont="1" applyFill="1" applyBorder="1" applyAlignment="1">
      <alignment horizontal="right"/>
    </xf>
    <xf numFmtId="2" fontId="2" fillId="44" borderId="0" xfId="0" applyNumberFormat="1" applyFont="1" applyFill="1" applyBorder="1" applyAlignment="1">
      <alignment horizontal="right" vertical="center"/>
    </xf>
    <xf numFmtId="164" fontId="21" fillId="0" borderId="34" xfId="0" applyNumberFormat="1" applyFont="1" applyBorder="1" applyAlignment="1">
      <alignment horizontal="right" vertical="center"/>
    </xf>
    <xf numFmtId="2" fontId="2" fillId="44" borderId="28" xfId="0" applyNumberFormat="1" applyFont="1" applyFill="1" applyBorder="1" applyAlignment="1">
      <alignment horizontal="right" vertical="center"/>
    </xf>
    <xf numFmtId="164" fontId="21" fillId="82" borderId="30" xfId="0" applyNumberFormat="1" applyFont="1" applyFill="1" applyBorder="1" applyAlignment="1">
      <alignment horizontal="right" vertical="center"/>
    </xf>
    <xf numFmtId="164" fontId="21" fillId="82" borderId="12" xfId="0" applyNumberFormat="1" applyFont="1" applyFill="1" applyBorder="1" applyAlignment="1">
      <alignment vertical="center"/>
    </xf>
    <xf numFmtId="2" fontId="21" fillId="44" borderId="0" xfId="0" applyNumberFormat="1" applyFont="1" applyFill="1" applyBorder="1" applyAlignment="1">
      <alignment horizontal="right" vertical="center"/>
    </xf>
    <xf numFmtId="2" fontId="21" fillId="44" borderId="28" xfId="0" applyNumberFormat="1" applyFont="1" applyFill="1" applyBorder="1" applyAlignment="1">
      <alignment horizontal="right" vertical="center"/>
    </xf>
    <xf numFmtId="0" fontId="19" fillId="0" borderId="0" xfId="0" applyFont="1" applyFill="1" applyBorder="1" applyAlignment="1">
      <alignment horizontal="center" vertical="center"/>
    </xf>
    <xf numFmtId="164" fontId="2" fillId="0" borderId="31" xfId="165" applyNumberFormat="1" applyFont="1" applyBorder="1"/>
    <xf numFmtId="164" fontId="2" fillId="0" borderId="32" xfId="165" applyNumberFormat="1" applyFont="1" applyFill="1" applyBorder="1" applyAlignment="1">
      <alignment horizontal="center" vertical="center"/>
    </xf>
    <xf numFmtId="164" fontId="19" fillId="44" borderId="7" xfId="165" applyNumberFormat="1" applyFont="1" applyFill="1" applyBorder="1" applyAlignment="1">
      <alignment horizontal="center" vertical="center"/>
    </xf>
    <xf numFmtId="175" fontId="2" fillId="82" borderId="4" xfId="165" applyNumberFormat="1" applyFont="1" applyFill="1" applyBorder="1" applyAlignment="1">
      <alignment horizontal="center" vertical="center"/>
    </xf>
    <xf numFmtId="175" fontId="2" fillId="0" borderId="4" xfId="165" applyNumberFormat="1" applyFont="1" applyFill="1" applyBorder="1" applyAlignment="1">
      <alignment horizontal="center" vertical="center"/>
    </xf>
    <xf numFmtId="0" fontId="18" fillId="0" borderId="19" xfId="0" applyFont="1" applyBorder="1" applyAlignment="1">
      <alignment horizontal="left"/>
    </xf>
    <xf numFmtId="0" fontId="19" fillId="42" borderId="20" xfId="0" applyFont="1" applyFill="1" applyBorder="1" applyAlignment="1">
      <alignment horizontal="center" vertical="center"/>
    </xf>
    <xf numFmtId="0" fontId="19" fillId="42" borderId="16" xfId="0" applyFont="1" applyFill="1" applyBorder="1" applyAlignment="1">
      <alignment horizontal="center" vertical="center"/>
    </xf>
    <xf numFmtId="0" fontId="19" fillId="42" borderId="38" xfId="0" applyFont="1" applyFill="1" applyBorder="1" applyAlignment="1">
      <alignment horizontal="center" vertical="center"/>
    </xf>
    <xf numFmtId="0" fontId="2" fillId="0" borderId="26" xfId="0" applyFont="1" applyBorder="1" applyAlignment="1">
      <alignment horizontal="center"/>
    </xf>
    <xf numFmtId="0" fontId="19" fillId="42" borderId="4" xfId="0" applyFont="1" applyFill="1" applyBorder="1" applyAlignment="1">
      <alignment horizontal="center" vertical="center"/>
    </xf>
    <xf numFmtId="183" fontId="2" fillId="47" borderId="0" xfId="0" applyNumberFormat="1" applyFont="1" applyFill="1" applyAlignment="1">
      <alignment horizontal="right" vertical="center"/>
    </xf>
    <xf numFmtId="183" fontId="2" fillId="0" borderId="0" xfId="0" applyNumberFormat="1" applyFont="1" applyAlignment="1">
      <alignment horizontal="right" vertical="center"/>
    </xf>
    <xf numFmtId="183" fontId="2" fillId="44" borderId="0" xfId="0" applyNumberFormat="1" applyFont="1" applyFill="1" applyAlignment="1">
      <alignment horizontal="right" vertical="center"/>
    </xf>
    <xf numFmtId="183" fontId="2" fillId="82" borderId="0" xfId="0" applyNumberFormat="1" applyFont="1" applyFill="1" applyAlignment="1">
      <alignment horizontal="right" vertical="center"/>
    </xf>
    <xf numFmtId="183" fontId="2" fillId="0" borderId="25"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85" borderId="0" xfId="0" applyNumberFormat="1" applyFont="1" applyFill="1" applyBorder="1" applyAlignment="1">
      <alignment horizontal="right" vertical="center"/>
    </xf>
    <xf numFmtId="183" fontId="2" fillId="0" borderId="28" xfId="0" applyNumberFormat="1" applyFont="1" applyFill="1" applyBorder="1" applyAlignment="1">
      <alignment horizontal="right" vertical="center"/>
    </xf>
    <xf numFmtId="183" fontId="2" fillId="82" borderId="0" xfId="0" applyNumberFormat="1" applyFont="1" applyFill="1" applyBorder="1" applyAlignment="1">
      <alignment horizontal="right" vertical="center"/>
    </xf>
    <xf numFmtId="183" fontId="2" fillId="0" borderId="0" xfId="0" applyNumberFormat="1" applyFont="1" applyFill="1" applyAlignment="1">
      <alignment horizontal="right" vertical="center"/>
    </xf>
    <xf numFmtId="183" fontId="2" fillId="85" borderId="0" xfId="0" applyNumberFormat="1" applyFont="1" applyFill="1" applyAlignment="1">
      <alignment horizontal="right" vertical="center"/>
    </xf>
    <xf numFmtId="0" fontId="0" fillId="82" borderId="0" xfId="0" applyFill="1"/>
    <xf numFmtId="0" fontId="19" fillId="42" borderId="22" xfId="0" applyFont="1" applyFill="1" applyBorder="1" applyAlignment="1">
      <alignment horizontal="center" vertical="center"/>
    </xf>
    <xf numFmtId="183" fontId="2" fillId="82" borderId="26" xfId="0" applyNumberFormat="1" applyFont="1" applyFill="1" applyBorder="1" applyAlignment="1">
      <alignment horizontal="right" vertical="center"/>
    </xf>
    <xf numFmtId="183" fontId="2" fillId="82" borderId="12" xfId="0" applyNumberFormat="1" applyFont="1" applyFill="1" applyBorder="1" applyAlignment="1">
      <alignment horizontal="right" vertical="center"/>
    </xf>
    <xf numFmtId="183" fontId="2" fillId="85" borderId="12" xfId="0" applyNumberFormat="1" applyFont="1" applyFill="1" applyBorder="1" applyAlignment="1">
      <alignment horizontal="right" vertical="center"/>
    </xf>
    <xf numFmtId="1" fontId="22" fillId="44" borderId="0" xfId="165" applyNumberFormat="1" applyFont="1" applyFill="1" applyBorder="1" applyAlignment="1">
      <alignment horizontal="right"/>
    </xf>
    <xf numFmtId="1" fontId="19" fillId="42" borderId="34" xfId="0" applyNumberFormat="1" applyFont="1" applyFill="1" applyBorder="1" applyAlignment="1">
      <alignment horizontal="center"/>
    </xf>
    <xf numFmtId="0" fontId="2" fillId="0" borderId="0" xfId="0" applyFont="1" applyBorder="1"/>
    <xf numFmtId="0" fontId="19" fillId="42" borderId="30" xfId="0" applyFont="1" applyFill="1" applyBorder="1" applyAlignment="1">
      <alignment horizontal="center" vertical="top"/>
    </xf>
    <xf numFmtId="177" fontId="19" fillId="82" borderId="38" xfId="0" applyNumberFormat="1" applyFont="1" applyFill="1" applyBorder="1" applyAlignment="1">
      <alignment horizontal="right"/>
    </xf>
    <xf numFmtId="0" fontId="19" fillId="82" borderId="7" xfId="0" applyFont="1" applyFill="1" applyBorder="1" applyAlignment="1">
      <alignment horizontal="center" vertical="center"/>
    </xf>
    <xf numFmtId="177" fontId="2" fillId="0" borderId="28" xfId="0" applyNumberFormat="1" applyFont="1" applyFill="1" applyBorder="1" applyAlignment="1">
      <alignment horizontal="right" vertical="center"/>
    </xf>
    <xf numFmtId="177" fontId="2" fillId="82" borderId="28"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2" fillId="0" borderId="28" xfId="0" applyNumberFormat="1" applyFont="1" applyFill="1" applyBorder="1" applyAlignment="1">
      <alignment horizontal="right" vertical="center" wrapText="1"/>
    </xf>
    <xf numFmtId="177" fontId="2" fillId="82" borderId="30" xfId="0" applyNumberFormat="1" applyFont="1" applyFill="1" applyBorder="1" applyAlignment="1">
      <alignment horizontal="right" vertical="center"/>
    </xf>
    <xf numFmtId="177" fontId="2" fillId="0" borderId="0" xfId="0" applyNumberFormat="1" applyFont="1" applyFill="1" applyBorder="1" applyAlignment="1">
      <alignment horizontal="right" vertical="center" wrapText="1"/>
    </xf>
    <xf numFmtId="177" fontId="21" fillId="0" borderId="0" xfId="0" applyNumberFormat="1" applyFont="1" applyFill="1" applyBorder="1" applyAlignment="1">
      <alignment horizontal="right" vertical="center"/>
    </xf>
    <xf numFmtId="186" fontId="19" fillId="44" borderId="29" xfId="0" applyNumberFormat="1" applyFont="1" applyFill="1" applyBorder="1" applyAlignment="1">
      <alignment horizontal="right" vertical="center"/>
    </xf>
    <xf numFmtId="186" fontId="19" fillId="44" borderId="7" xfId="0" applyNumberFormat="1" applyFont="1" applyFill="1" applyBorder="1" applyAlignment="1">
      <alignment horizontal="center" vertical="center"/>
    </xf>
    <xf numFmtId="186" fontId="19" fillId="0" borderId="0" xfId="0" applyNumberFormat="1" applyFont="1" applyBorder="1" applyAlignment="1">
      <alignment horizontal="center" vertical="top" wrapText="1"/>
    </xf>
    <xf numFmtId="186" fontId="2" fillId="44" borderId="28" xfId="0" applyNumberFormat="1" applyFont="1" applyFill="1" applyBorder="1" applyAlignment="1">
      <alignment horizontal="right" vertical="center"/>
    </xf>
    <xf numFmtId="186" fontId="19" fillId="44" borderId="0" xfId="0" applyNumberFormat="1" applyFont="1" applyFill="1" applyBorder="1" applyAlignment="1">
      <alignment horizontal="center" vertical="center"/>
    </xf>
    <xf numFmtId="186" fontId="2" fillId="0" borderId="28" xfId="0" applyNumberFormat="1" applyFont="1" applyBorder="1" applyAlignment="1">
      <alignment vertical="top" wrapText="1"/>
    </xf>
    <xf numFmtId="186" fontId="2" fillId="0" borderId="28" xfId="0" applyNumberFormat="1" applyFont="1" applyFill="1" applyBorder="1" applyAlignment="1">
      <alignment horizontal="right" vertical="center"/>
    </xf>
    <xf numFmtId="186" fontId="2" fillId="82" borderId="28" xfId="0" applyNumberFormat="1" applyFont="1" applyFill="1" applyBorder="1" applyAlignment="1">
      <alignment horizontal="right" vertical="center"/>
    </xf>
    <xf numFmtId="186" fontId="2" fillId="0" borderId="28" xfId="0" applyNumberFormat="1" applyFont="1" applyBorder="1"/>
    <xf numFmtId="186" fontId="2" fillId="82" borderId="30" xfId="0" applyNumberFormat="1" applyFont="1" applyFill="1" applyBorder="1" applyAlignment="1">
      <alignment horizontal="right" vertical="center"/>
    </xf>
    <xf numFmtId="186" fontId="19" fillId="44" borderId="22" xfId="0" applyNumberFormat="1" applyFont="1" applyFill="1" applyBorder="1" applyAlignment="1">
      <alignment horizontal="center" vertical="center"/>
    </xf>
    <xf numFmtId="186" fontId="2" fillId="82" borderId="34" xfId="0" applyNumberFormat="1" applyFont="1" applyFill="1" applyBorder="1" applyAlignment="1">
      <alignment horizontal="right" vertical="center"/>
    </xf>
    <xf numFmtId="186" fontId="19" fillId="0" borderId="4" xfId="0" applyNumberFormat="1" applyFont="1" applyFill="1" applyBorder="1" applyAlignment="1">
      <alignment horizontal="center" vertical="center"/>
    </xf>
    <xf numFmtId="186" fontId="19" fillId="44" borderId="4" xfId="0" applyNumberFormat="1" applyFont="1" applyFill="1" applyBorder="1" applyAlignment="1">
      <alignment horizontal="center" vertical="center"/>
    </xf>
    <xf numFmtId="0" fontId="19" fillId="44" borderId="28" xfId="0" applyFont="1" applyFill="1" applyBorder="1" applyAlignment="1">
      <alignment horizontal="center" vertical="center"/>
    </xf>
    <xf numFmtId="0" fontId="19" fillId="0" borderId="28" xfId="0" applyFont="1" applyFill="1" applyBorder="1" applyAlignment="1">
      <alignment horizontal="center" vertical="center"/>
    </xf>
    <xf numFmtId="186" fontId="21" fillId="44" borderId="28" xfId="0" applyNumberFormat="1" applyFont="1" applyFill="1" applyBorder="1" applyAlignment="1">
      <alignment horizontal="right" vertical="center"/>
    </xf>
    <xf numFmtId="0" fontId="19" fillId="82" borderId="28" xfId="0" applyFont="1" applyFill="1" applyBorder="1" applyAlignment="1">
      <alignment horizontal="center" vertical="center"/>
    </xf>
    <xf numFmtId="186" fontId="2" fillId="82" borderId="43" xfId="0" applyNumberFormat="1" applyFont="1" applyFill="1" applyBorder="1" applyAlignment="1">
      <alignment horizontal="right" vertical="center"/>
    </xf>
    <xf numFmtId="0" fontId="19" fillId="82" borderId="34" xfId="0" applyFont="1" applyFill="1" applyBorder="1" applyAlignment="1">
      <alignment horizontal="center" vertical="center"/>
    </xf>
    <xf numFmtId="1" fontId="19" fillId="42" borderId="34" xfId="0" applyNumberFormat="1" applyFont="1" applyFill="1" applyBorder="1" applyAlignment="1">
      <alignment horizontal="center" vertical="center"/>
    </xf>
    <xf numFmtId="186" fontId="19" fillId="44" borderId="34" xfId="0" applyNumberFormat="1" applyFont="1" applyFill="1" applyBorder="1" applyAlignment="1">
      <alignment horizontal="right" vertical="center"/>
    </xf>
    <xf numFmtId="0" fontId="19" fillId="82" borderId="30" xfId="0" applyFont="1" applyFill="1" applyBorder="1" applyAlignment="1">
      <alignment horizontal="center" vertical="center"/>
    </xf>
    <xf numFmtId="0" fontId="20" fillId="42" borderId="22" xfId="0" applyFont="1" applyFill="1" applyBorder="1" applyAlignment="1">
      <alignment horizontal="center" vertical="top" wrapText="1"/>
    </xf>
    <xf numFmtId="187" fontId="19" fillId="44" borderId="38" xfId="0" applyNumberFormat="1" applyFont="1" applyFill="1" applyBorder="1" applyAlignment="1">
      <alignment horizontal="right" vertical="center"/>
    </xf>
    <xf numFmtId="164" fontId="19" fillId="44" borderId="38" xfId="0" applyNumberFormat="1" applyFont="1" applyFill="1" applyBorder="1" applyAlignment="1">
      <alignment horizontal="center" vertical="center"/>
    </xf>
    <xf numFmtId="187" fontId="2" fillId="0" borderId="28" xfId="204" applyNumberFormat="1" applyFont="1" applyFill="1" applyBorder="1" applyAlignment="1">
      <alignment vertical="center"/>
    </xf>
    <xf numFmtId="164" fontId="2" fillId="0" borderId="0" xfId="204" applyNumberFormat="1" applyFont="1" applyFill="1" applyBorder="1" applyAlignment="1">
      <alignment horizontal="center" vertical="center"/>
    </xf>
    <xf numFmtId="187" fontId="2" fillId="44" borderId="28" xfId="204" applyNumberFormat="1" applyFont="1" applyFill="1" applyBorder="1" applyAlignment="1">
      <alignment horizontal="right" vertical="center"/>
    </xf>
    <xf numFmtId="164" fontId="2" fillId="44" borderId="4" xfId="204" applyNumberFormat="1" applyFont="1" applyFill="1" applyBorder="1" applyAlignment="1">
      <alignment horizontal="center" vertical="center"/>
    </xf>
    <xf numFmtId="164" fontId="2" fillId="44" borderId="0" xfId="204" applyNumberFormat="1" applyFont="1" applyFill="1" applyBorder="1" applyAlignment="1">
      <alignment horizontal="center" vertical="center"/>
    </xf>
    <xf numFmtId="164" fontId="2" fillId="0" borderId="4" xfId="204" applyNumberFormat="1" applyFont="1" applyFill="1" applyBorder="1" applyAlignment="1">
      <alignment horizontal="center" vertical="center"/>
    </xf>
    <xf numFmtId="187" fontId="2" fillId="44" borderId="28" xfId="204" applyNumberFormat="1" applyFont="1" applyFill="1" applyBorder="1" applyAlignment="1">
      <alignment vertical="center"/>
    </xf>
    <xf numFmtId="187" fontId="2" fillId="0" borderId="28" xfId="204" applyNumberFormat="1" applyFont="1" applyFill="1" applyBorder="1" applyAlignment="1">
      <alignment horizontal="right" vertical="center"/>
    </xf>
    <xf numFmtId="187" fontId="2" fillId="82" borderId="28" xfId="204" applyNumberFormat="1" applyFont="1" applyFill="1" applyBorder="1" applyAlignment="1">
      <alignment vertical="center"/>
    </xf>
    <xf numFmtId="164" fontId="2" fillId="44" borderId="22" xfId="204" applyNumberFormat="1" applyFont="1" applyFill="1" applyBorder="1" applyAlignment="1">
      <alignment horizontal="center" vertical="center"/>
    </xf>
    <xf numFmtId="164" fontId="2" fillId="44" borderId="30" xfId="204" applyNumberFormat="1" applyFont="1" applyFill="1" applyBorder="1" applyAlignment="1">
      <alignment horizontal="center" vertical="center"/>
    </xf>
    <xf numFmtId="187" fontId="2" fillId="0" borderId="34" xfId="0" applyNumberFormat="1" applyFont="1" applyFill="1" applyBorder="1" applyAlignment="1">
      <alignment vertical="center"/>
    </xf>
    <xf numFmtId="187" fontId="2" fillId="82" borderId="28" xfId="0" applyNumberFormat="1" applyFont="1" applyFill="1" applyBorder="1" applyAlignment="1">
      <alignment horizontal="right" vertical="center"/>
    </xf>
    <xf numFmtId="187" fontId="2" fillId="0" borderId="28" xfId="0" applyNumberFormat="1" applyFont="1" applyFill="1" applyBorder="1" applyAlignment="1">
      <alignment horizontal="right" vertical="center"/>
    </xf>
    <xf numFmtId="187" fontId="2" fillId="0" borderId="30" xfId="0" applyNumberFormat="1" applyFont="1" applyFill="1" applyBorder="1" applyAlignment="1">
      <alignment horizontal="right" vertical="center"/>
    </xf>
    <xf numFmtId="164" fontId="2" fillId="0" borderId="22" xfId="204" applyNumberFormat="1" applyFont="1" applyFill="1" applyBorder="1" applyAlignment="1">
      <alignment horizontal="center" vertical="center"/>
    </xf>
    <xf numFmtId="164" fontId="2" fillId="0" borderId="30" xfId="204" applyNumberFormat="1" applyFont="1" applyFill="1" applyBorder="1" applyAlignment="1">
      <alignment horizontal="center" vertical="center"/>
    </xf>
    <xf numFmtId="187" fontId="2" fillId="82" borderId="28" xfId="204" applyNumberFormat="1" applyFont="1" applyFill="1" applyBorder="1" applyAlignment="1">
      <alignment horizontal="right" vertical="center"/>
    </xf>
    <xf numFmtId="187" fontId="2" fillId="82" borderId="30" xfId="204" applyNumberFormat="1" applyFont="1" applyFill="1" applyBorder="1" applyAlignment="1">
      <alignment horizontal="right" vertical="center"/>
    </xf>
    <xf numFmtId="164" fontId="2" fillId="44" borderId="19" xfId="204" applyNumberFormat="1" applyFont="1" applyFill="1" applyBorder="1" applyAlignment="1">
      <alignment horizontal="center" vertical="center"/>
    </xf>
    <xf numFmtId="187" fontId="19" fillId="44" borderId="34" xfId="0" applyNumberFormat="1" applyFont="1" applyFill="1" applyBorder="1" applyAlignment="1">
      <alignment horizontal="right" vertical="center"/>
    </xf>
    <xf numFmtId="2" fontId="19" fillId="0" borderId="0" xfId="158" applyNumberFormat="1" applyFont="1" applyFill="1" applyBorder="1" applyAlignment="1">
      <alignment horizontal="center"/>
    </xf>
    <xf numFmtId="166" fontId="2" fillId="0" borderId="0" xfId="158" applyNumberFormat="1" applyFont="1" applyFill="1" applyBorder="1" applyAlignment="1">
      <alignment vertical="center"/>
    </xf>
    <xf numFmtId="164" fontId="2" fillId="0" borderId="0" xfId="158" applyNumberFormat="1" applyFont="1" applyFill="1" applyBorder="1" applyAlignment="1">
      <alignment horizontal="center" vertical="center"/>
    </xf>
    <xf numFmtId="0" fontId="19" fillId="43" borderId="28" xfId="158" applyFont="1" applyFill="1" applyBorder="1" applyAlignment="1">
      <alignment horizontal="center" vertical="center"/>
    </xf>
    <xf numFmtId="1" fontId="20" fillId="43" borderId="25" xfId="158" applyNumberFormat="1" applyFont="1" applyFill="1" applyBorder="1" applyAlignment="1">
      <alignment horizontal="right" vertical="center" wrapText="1"/>
    </xf>
    <xf numFmtId="1" fontId="20" fillId="43" borderId="28" xfId="158" applyNumberFormat="1" applyFont="1" applyFill="1" applyBorder="1" applyAlignment="1">
      <alignment horizontal="center" vertical="center" wrapText="1"/>
    </xf>
    <xf numFmtId="0" fontId="19" fillId="43" borderId="25" xfId="158" applyFont="1" applyFill="1" applyBorder="1" applyAlignment="1">
      <alignment horizontal="right" vertical="center"/>
    </xf>
    <xf numFmtId="0" fontId="14" fillId="43" borderId="26" xfId="158" applyFill="1" applyBorder="1"/>
    <xf numFmtId="0" fontId="14" fillId="43" borderId="28" xfId="158" applyFill="1" applyBorder="1"/>
    <xf numFmtId="0" fontId="19" fillId="43" borderId="25" xfId="158" quotePrefix="1" applyFont="1" applyFill="1" applyBorder="1" applyAlignment="1">
      <alignment horizontal="right" vertical="center"/>
    </xf>
    <xf numFmtId="0" fontId="19" fillId="43" borderId="28" xfId="158" quotePrefix="1" applyFont="1" applyFill="1" applyBorder="1" applyAlignment="1">
      <alignment horizontal="center" vertical="center"/>
    </xf>
    <xf numFmtId="0" fontId="19" fillId="44" borderId="7" xfId="158" applyFont="1" applyFill="1" applyBorder="1" applyAlignment="1">
      <alignment horizontal="center" vertical="center"/>
    </xf>
    <xf numFmtId="182" fontId="19" fillId="44" borderId="20" xfId="158" applyNumberFormat="1" applyFont="1" applyFill="1" applyBorder="1" applyAlignment="1">
      <alignment horizontal="right" vertical="center"/>
    </xf>
    <xf numFmtId="165" fontId="19" fillId="44" borderId="38" xfId="158" applyNumberFormat="1" applyFont="1" applyFill="1" applyBorder="1" applyAlignment="1">
      <alignment horizontal="right" vertical="center"/>
    </xf>
    <xf numFmtId="166" fontId="19" fillId="44" borderId="20" xfId="158" applyNumberFormat="1" applyFont="1" applyFill="1" applyBorder="1" applyAlignment="1">
      <alignment horizontal="right" vertical="center"/>
    </xf>
    <xf numFmtId="166" fontId="98" fillId="44" borderId="38" xfId="158" applyNumberFormat="1" applyFont="1" applyFill="1" applyBorder="1" applyAlignment="1">
      <alignment vertical="center"/>
    </xf>
    <xf numFmtId="0" fontId="19" fillId="44" borderId="4" xfId="158" applyFont="1" applyFill="1" applyBorder="1" applyAlignment="1">
      <alignment horizontal="center" vertical="center"/>
    </xf>
    <xf numFmtId="165" fontId="19" fillId="44" borderId="28" xfId="158" applyNumberFormat="1" applyFont="1" applyFill="1" applyBorder="1" applyAlignment="1">
      <alignment horizontal="right" vertical="center"/>
    </xf>
    <xf numFmtId="166" fontId="98" fillId="44" borderId="28" xfId="158" applyNumberFormat="1" applyFont="1" applyFill="1" applyBorder="1" applyAlignment="1">
      <alignment vertical="center"/>
    </xf>
    <xf numFmtId="182" fontId="19" fillId="44" borderId="25" xfId="158" applyNumberFormat="1" applyFont="1" applyFill="1" applyBorder="1" applyAlignment="1">
      <alignment horizontal="right" vertical="center"/>
    </xf>
    <xf numFmtId="166" fontId="19" fillId="44" borderId="25" xfId="158" applyNumberFormat="1" applyFont="1" applyFill="1" applyBorder="1" applyAlignment="1">
      <alignment horizontal="right" vertical="center"/>
    </xf>
    <xf numFmtId="164" fontId="2" fillId="44" borderId="25" xfId="158" applyNumberFormat="1" applyFont="1" applyFill="1" applyBorder="1" applyAlignment="1">
      <alignment vertical="center"/>
    </xf>
    <xf numFmtId="165" fontId="2" fillId="44" borderId="28" xfId="158" applyNumberFormat="1" applyFont="1" applyFill="1" applyBorder="1" applyAlignment="1">
      <alignment horizontal="right" vertical="center"/>
    </xf>
    <xf numFmtId="167" fontId="2" fillId="44" borderId="25" xfId="158" applyNumberFormat="1" applyFont="1" applyFill="1" applyBorder="1" applyAlignment="1">
      <alignment horizontal="right" vertical="center" wrapText="1"/>
    </xf>
    <xf numFmtId="166" fontId="24" fillId="0" borderId="28" xfId="158" applyNumberFormat="1" applyFont="1" applyBorder="1" applyAlignment="1">
      <alignment vertical="center"/>
    </xf>
    <xf numFmtId="0" fontId="19" fillId="0" borderId="4" xfId="158" applyFont="1" applyFill="1" applyBorder="1" applyAlignment="1">
      <alignment horizontal="center" vertical="center"/>
    </xf>
    <xf numFmtId="164" fontId="2" fillId="0" borderId="25" xfId="158" applyNumberFormat="1" applyFont="1" applyBorder="1" applyAlignment="1">
      <alignment vertical="center"/>
    </xf>
    <xf numFmtId="165" fontId="2" fillId="0" borderId="28" xfId="158" applyNumberFormat="1" applyFont="1" applyFill="1" applyBorder="1" applyAlignment="1">
      <alignment horizontal="right" vertical="center"/>
    </xf>
    <xf numFmtId="167" fontId="2" fillId="0" borderId="25" xfId="158" applyNumberFormat="1" applyFont="1" applyFill="1" applyBorder="1" applyAlignment="1">
      <alignment horizontal="right" vertical="center" wrapText="1"/>
    </xf>
    <xf numFmtId="166" fontId="24" fillId="44" borderId="28" xfId="158" applyNumberFormat="1" applyFont="1" applyFill="1" applyBorder="1" applyAlignment="1">
      <alignment vertical="center"/>
    </xf>
    <xf numFmtId="167" fontId="21" fillId="44" borderId="25" xfId="158" applyNumberFormat="1" applyFont="1" applyFill="1" applyBorder="1" applyAlignment="1">
      <alignment horizontal="right" vertical="center" wrapText="1"/>
    </xf>
    <xf numFmtId="0" fontId="19" fillId="44" borderId="22" xfId="158" applyFont="1" applyFill="1" applyBorder="1" applyAlignment="1">
      <alignment horizontal="center" vertical="center"/>
    </xf>
    <xf numFmtId="164" fontId="2" fillId="44" borderId="26" xfId="158" applyNumberFormat="1" applyFont="1" applyFill="1" applyBorder="1" applyAlignment="1">
      <alignment vertical="center"/>
    </xf>
    <xf numFmtId="165" fontId="2" fillId="44" borderId="30" xfId="158" applyNumberFormat="1" applyFont="1" applyFill="1" applyBorder="1" applyAlignment="1">
      <alignment horizontal="right" vertical="center"/>
    </xf>
    <xf numFmtId="167" fontId="2" fillId="44" borderId="26" xfId="158" applyNumberFormat="1" applyFont="1" applyFill="1" applyBorder="1" applyAlignment="1">
      <alignment horizontal="right" vertical="center" wrapText="1"/>
    </xf>
    <xf numFmtId="166" fontId="24" fillId="44" borderId="30" xfId="158" applyNumberFormat="1" applyFont="1" applyFill="1" applyBorder="1" applyAlignment="1">
      <alignment vertical="center"/>
    </xf>
    <xf numFmtId="0" fontId="11" fillId="86" borderId="0" xfId="0" applyFont="1" applyFill="1" applyBorder="1" applyAlignment="1">
      <alignment wrapText="1"/>
    </xf>
    <xf numFmtId="0" fontId="0" fillId="86" borderId="0" xfId="0" applyFill="1" applyAlignment="1">
      <alignment wrapText="1"/>
    </xf>
    <xf numFmtId="0" fontId="0" fillId="0" borderId="0" xfId="0" applyAlignment="1">
      <alignment wrapText="1"/>
    </xf>
    <xf numFmtId="0" fontId="31" fillId="86" borderId="0" xfId="0" applyFont="1" applyFill="1" applyBorder="1" applyAlignment="1">
      <alignment wrapText="1"/>
    </xf>
    <xf numFmtId="0" fontId="31" fillId="86" borderId="0" xfId="0" applyFont="1" applyFill="1" applyAlignment="1">
      <alignment wrapText="1"/>
    </xf>
    <xf numFmtId="0" fontId="0" fillId="0" borderId="0" xfId="0" applyAlignment="1"/>
    <xf numFmtId="0" fontId="10" fillId="0" borderId="12" xfId="0" applyFont="1" applyFill="1" applyBorder="1" applyAlignment="1">
      <alignment horizontal="center" wrapText="1"/>
    </xf>
    <xf numFmtId="0" fontId="11" fillId="0" borderId="12" xfId="0" applyFont="1" applyFill="1" applyBorder="1" applyAlignment="1">
      <alignment horizontal="center" wrapText="1"/>
    </xf>
    <xf numFmtId="0" fontId="12" fillId="0" borderId="0" xfId="0" applyFont="1" applyFill="1" applyBorder="1" applyAlignment="1">
      <alignment textRotation="90" wrapText="1"/>
    </xf>
    <xf numFmtId="0" fontId="141" fillId="0" borderId="0" xfId="0" applyNumberFormat="1" applyFont="1" applyFill="1" applyBorder="1" applyAlignment="1">
      <alignment horizontal="center" wrapText="1"/>
    </xf>
    <xf numFmtId="0" fontId="11" fillId="86" borderId="0" xfId="0" applyFont="1" applyFill="1" applyBorder="1" applyAlignment="1">
      <alignment horizontal="center" wrapText="1"/>
    </xf>
    <xf numFmtId="0" fontId="30" fillId="86" borderId="0" xfId="137" applyFont="1" applyFill="1" applyBorder="1" applyAlignment="1" applyProtection="1">
      <alignment horizontal="center" wrapText="1"/>
    </xf>
    <xf numFmtId="0" fontId="3" fillId="86" borderId="0" xfId="0" applyFont="1" applyFill="1" applyBorder="1" applyAlignment="1">
      <alignment horizontal="center" wrapText="1"/>
    </xf>
    <xf numFmtId="0" fontId="10" fillId="0" borderId="0" xfId="158" applyFont="1" applyBorder="1" applyAlignment="1">
      <alignment horizontal="center" vertical="top"/>
    </xf>
    <xf numFmtId="0" fontId="19" fillId="43" borderId="27" xfId="158" applyFont="1" applyFill="1" applyBorder="1" applyAlignment="1">
      <alignment horizontal="center" vertical="center"/>
    </xf>
    <xf numFmtId="0" fontId="19" fillId="43" borderId="34" xfId="158" applyFont="1" applyFill="1" applyBorder="1" applyAlignment="1">
      <alignment horizontal="center" vertical="center"/>
    </xf>
    <xf numFmtId="0" fontId="19" fillId="43" borderId="25" xfId="158" applyFont="1" applyFill="1" applyBorder="1" applyAlignment="1">
      <alignment horizontal="center" vertical="center"/>
    </xf>
    <xf numFmtId="0" fontId="19" fillId="43" borderId="28" xfId="158" applyFont="1" applyFill="1" applyBorder="1" applyAlignment="1">
      <alignment horizontal="center" vertical="center"/>
    </xf>
    <xf numFmtId="0" fontId="10" fillId="0" borderId="0" xfId="0" applyFont="1" applyBorder="1" applyAlignment="1">
      <alignment horizontal="center" vertical="top" wrapText="1"/>
    </xf>
    <xf numFmtId="0" fontId="18" fillId="0" borderId="0" xfId="0" applyFont="1" applyBorder="1" applyAlignment="1">
      <alignment horizontal="center" vertical="center" wrapText="1"/>
    </xf>
    <xf numFmtId="0" fontId="10" fillId="0" borderId="0" xfId="165" applyFont="1" applyBorder="1" applyAlignment="1">
      <alignment horizontal="center" vertical="top"/>
    </xf>
    <xf numFmtId="0" fontId="19" fillId="0" borderId="29" xfId="165" quotePrefix="1" applyFont="1" applyFill="1" applyBorder="1" applyAlignment="1">
      <alignment wrapText="1"/>
    </xf>
    <xf numFmtId="0" fontId="19" fillId="0" borderId="0" xfId="165" quotePrefix="1" applyFont="1" applyFill="1" applyBorder="1" applyAlignment="1">
      <alignment wrapText="1"/>
    </xf>
    <xf numFmtId="49" fontId="2" fillId="0" borderId="0" xfId="165" applyNumberFormat="1" applyFont="1" applyBorder="1" applyAlignment="1">
      <alignment horizontal="left" vertical="top" wrapText="1"/>
    </xf>
    <xf numFmtId="49" fontId="19" fillId="0" borderId="0" xfId="165" applyNumberFormat="1" applyFont="1" applyBorder="1" applyAlignment="1">
      <alignment horizontal="left" wrapText="1"/>
    </xf>
    <xf numFmtId="0" fontId="19" fillId="0" borderId="29" xfId="165" applyFont="1" applyBorder="1" applyAlignment="1">
      <alignment wrapText="1"/>
    </xf>
    <xf numFmtId="0" fontId="10" fillId="0" borderId="0" xfId="0" applyNumberFormat="1" applyFont="1" applyBorder="1" applyAlignment="1">
      <alignment horizontal="center" vertical="top"/>
    </xf>
    <xf numFmtId="0" fontId="19" fillId="0" borderId="0" xfId="0" applyFont="1" applyBorder="1" applyAlignment="1">
      <alignment horizontal="left"/>
    </xf>
    <xf numFmtId="0" fontId="10" fillId="0" borderId="0" xfId="0" applyFont="1" applyAlignment="1">
      <alignment horizontal="center" vertical="center" wrapText="1"/>
    </xf>
    <xf numFmtId="0" fontId="18" fillId="0" borderId="0" xfId="0" applyFont="1" applyAlignment="1">
      <alignment horizontal="center" vertical="center"/>
    </xf>
    <xf numFmtId="0" fontId="17" fillId="0" borderId="0" xfId="0" applyFont="1" applyAlignment="1">
      <alignment horizontal="center" vertical="center"/>
    </xf>
    <xf numFmtId="0" fontId="2" fillId="0" borderId="12" xfId="0" applyFont="1" applyBorder="1" applyAlignment="1">
      <alignment vertical="top" wrapText="1"/>
    </xf>
    <xf numFmtId="49" fontId="19" fillId="0" borderId="0" xfId="165" applyNumberFormat="1" applyFont="1" applyAlignment="1">
      <alignment vertical="top" wrapText="1"/>
    </xf>
    <xf numFmtId="49" fontId="19" fillId="0" borderId="29" xfId="165" applyNumberFormat="1" applyFont="1" applyBorder="1" applyAlignment="1">
      <alignment horizontal="left" wrapText="1"/>
    </xf>
    <xf numFmtId="0" fontId="10" fillId="0" borderId="0" xfId="165" applyFont="1" applyFill="1" applyBorder="1" applyAlignment="1">
      <alignment horizontal="center" vertical="top"/>
    </xf>
    <xf numFmtId="0" fontId="16" fillId="0" borderId="0" xfId="165" applyFont="1" applyAlignment="1">
      <alignment horizontal="center" vertical="center"/>
    </xf>
    <xf numFmtId="0" fontId="10" fillId="0" borderId="0" xfId="165" applyFont="1" applyAlignment="1">
      <alignment horizontal="center" vertical="center"/>
    </xf>
    <xf numFmtId="0" fontId="18" fillId="0" borderId="0" xfId="165" applyFont="1" applyAlignment="1">
      <alignment horizontal="center"/>
    </xf>
    <xf numFmtId="0" fontId="11" fillId="0" borderId="0" xfId="165" applyFont="1" applyAlignment="1">
      <alignment vertical="top" wrapText="1"/>
    </xf>
    <xf numFmtId="0" fontId="19" fillId="0" borderId="29" xfId="165" applyFont="1" applyBorder="1" applyAlignment="1">
      <alignment horizontal="left" wrapText="1"/>
    </xf>
    <xf numFmtId="0" fontId="17" fillId="0" borderId="0" xfId="165" applyFont="1" applyBorder="1" applyAlignment="1">
      <alignment horizontal="center" vertical="center"/>
    </xf>
    <xf numFmtId="0" fontId="19" fillId="0" borderId="0" xfId="165" applyFont="1" applyAlignment="1">
      <alignment horizontal="left" wrapText="1"/>
    </xf>
    <xf numFmtId="0" fontId="2" fillId="0" borderId="0" xfId="165" applyFont="1" applyAlignment="1">
      <alignment horizontal="left" vertical="top" wrapText="1"/>
    </xf>
    <xf numFmtId="0" fontId="19" fillId="0" borderId="0" xfId="165" applyFont="1" applyAlignment="1">
      <alignment horizontal="left" vertical="top" wrapText="1"/>
    </xf>
    <xf numFmtId="177" fontId="2" fillId="82" borderId="0" xfId="165" applyNumberFormat="1" applyFont="1" applyFill="1" applyBorder="1" applyAlignment="1">
      <alignment horizontal="center" vertical="center"/>
    </xf>
    <xf numFmtId="177" fontId="2" fillId="82" borderId="28" xfId="165" applyNumberFormat="1" applyFont="1" applyFill="1" applyBorder="1" applyAlignment="1">
      <alignment horizontal="center" vertical="center"/>
    </xf>
    <xf numFmtId="0" fontId="16" fillId="0" borderId="0" xfId="165" quotePrefix="1" applyFont="1" applyAlignment="1">
      <alignment horizontal="left"/>
    </xf>
    <xf numFmtId="0" fontId="10" fillId="0" borderId="0" xfId="165" applyFont="1" applyFill="1" applyAlignment="1">
      <alignment horizontal="right" vertical="center" wrapText="1"/>
    </xf>
    <xf numFmtId="0" fontId="17" fillId="0" borderId="0" xfId="165" applyAlignment="1">
      <alignment wrapText="1"/>
    </xf>
    <xf numFmtId="0" fontId="10" fillId="0" borderId="0" xfId="165" applyFont="1" applyAlignment="1">
      <alignment horizontal="center" vertical="center" wrapText="1"/>
    </xf>
    <xf numFmtId="0" fontId="17" fillId="0" borderId="12" xfId="165" applyFont="1" applyBorder="1" applyAlignment="1">
      <alignment horizontal="center" vertical="center"/>
    </xf>
    <xf numFmtId="0" fontId="19" fillId="42" borderId="19" xfId="165" applyFont="1" applyFill="1" applyBorder="1" applyAlignment="1">
      <alignment horizontal="center" vertical="center" wrapText="1"/>
    </xf>
    <xf numFmtId="0" fontId="19" fillId="42" borderId="4" xfId="165" applyFont="1" applyFill="1" applyBorder="1" applyAlignment="1">
      <alignment horizontal="center" vertical="center" wrapText="1"/>
    </xf>
    <xf numFmtId="0" fontId="19" fillId="42" borderId="22" xfId="165" applyFont="1" applyFill="1" applyBorder="1" applyAlignment="1">
      <alignment horizontal="center" vertical="center" wrapText="1"/>
    </xf>
    <xf numFmtId="0" fontId="18" fillId="0" borderId="0" xfId="165" applyFont="1" applyBorder="1" applyAlignment="1">
      <alignment horizontal="center" vertical="top"/>
    </xf>
    <xf numFmtId="0" fontId="17" fillId="0" borderId="29" xfId="165" applyBorder="1" applyAlignment="1">
      <alignment wrapText="1"/>
    </xf>
    <xf numFmtId="0" fontId="19" fillId="0" borderId="0" xfId="165" applyFont="1" applyAlignment="1">
      <alignment wrapText="1"/>
    </xf>
    <xf numFmtId="0" fontId="2" fillId="0" borderId="0" xfId="165" applyFont="1" applyAlignment="1">
      <alignment wrapText="1"/>
    </xf>
    <xf numFmtId="0" fontId="2" fillId="0" borderId="0" xfId="165" applyFont="1" applyAlignment="1">
      <alignment vertical="top" wrapText="1"/>
    </xf>
    <xf numFmtId="0" fontId="18" fillId="0" borderId="0" xfId="165" applyFont="1" applyBorder="1" applyAlignment="1">
      <alignment horizontal="center" vertical="center"/>
    </xf>
    <xf numFmtId="0" fontId="17" fillId="0" borderId="29" xfId="165" applyBorder="1" applyAlignment="1">
      <alignment horizontal="left" wrapText="1"/>
    </xf>
    <xf numFmtId="0" fontId="2" fillId="0" borderId="0" xfId="165" applyFont="1" applyBorder="1" applyAlignment="1">
      <alignment vertical="top" wrapText="1"/>
    </xf>
    <xf numFmtId="0" fontId="10" fillId="0" borderId="0" xfId="165" applyFont="1" applyBorder="1" applyAlignment="1">
      <alignment horizontal="center" vertical="top" wrapText="1"/>
    </xf>
    <xf numFmtId="0" fontId="18" fillId="0" borderId="0" xfId="165" applyFont="1" applyBorder="1" applyAlignment="1">
      <alignment horizontal="center" vertical="center" wrapText="1"/>
    </xf>
    <xf numFmtId="0" fontId="19" fillId="0" borderId="29" xfId="165" applyFont="1" applyBorder="1" applyAlignment="1">
      <alignment vertical="center" wrapText="1"/>
    </xf>
    <xf numFmtId="0" fontId="17" fillId="0" borderId="29" xfId="165" applyBorder="1" applyAlignment="1">
      <alignment vertical="center" wrapText="1"/>
    </xf>
    <xf numFmtId="0" fontId="19" fillId="0" borderId="0" xfId="165" applyFont="1" applyBorder="1" applyAlignment="1">
      <alignment wrapText="1"/>
    </xf>
    <xf numFmtId="0" fontId="2" fillId="0" borderId="0" xfId="165" applyFont="1" applyBorder="1" applyAlignment="1">
      <alignment wrapText="1"/>
    </xf>
    <xf numFmtId="0" fontId="10" fillId="0" borderId="0" xfId="165" applyFont="1" applyAlignment="1">
      <alignment horizontal="center" vertical="top"/>
    </xf>
    <xf numFmtId="0" fontId="18" fillId="0" borderId="0" xfId="165" applyFont="1" applyAlignment="1">
      <alignment horizontal="center" vertical="center"/>
    </xf>
    <xf numFmtId="0" fontId="19" fillId="0" borderId="0" xfId="165" applyFont="1" applyBorder="1" applyAlignment="1">
      <alignment horizontal="left" wrapText="1"/>
    </xf>
    <xf numFmtId="0" fontId="17" fillId="0" borderId="0" xfId="165" applyAlignment="1">
      <alignment horizontal="center" vertical="top" wrapText="1"/>
    </xf>
    <xf numFmtId="0" fontId="17" fillId="0" borderId="0" xfId="165" applyBorder="1" applyAlignment="1">
      <alignment wrapText="1"/>
    </xf>
  </cellXfs>
  <cellStyles count="333">
    <cellStyle name="€ : (passage a l'EURO)" xfId="1"/>
    <cellStyle name="20% - Accent1 2" xfId="2"/>
    <cellStyle name="20% - Accent1 3" xfId="3"/>
    <cellStyle name="20% - Accent2 2" xfId="4"/>
    <cellStyle name="20% - Accent2 3" xfId="5"/>
    <cellStyle name="20% - Accent3 2" xfId="6"/>
    <cellStyle name="20% - Accent3 3" xfId="7"/>
    <cellStyle name="20% - Accent4 2" xfId="8"/>
    <cellStyle name="20% - Accent4 3" xfId="9"/>
    <cellStyle name="20% - Accent5 2" xfId="10"/>
    <cellStyle name="20% - Accent5 3" xfId="11"/>
    <cellStyle name="20% - Accent6 2" xfId="12"/>
    <cellStyle name="20% - Accent6 3" xfId="13"/>
    <cellStyle name="40% - Accent1 2" xfId="14"/>
    <cellStyle name="40% - Accent1 3" xfId="15"/>
    <cellStyle name="40% - Accent2 2" xfId="16"/>
    <cellStyle name="40% - Accent2 3" xfId="17"/>
    <cellStyle name="40% - Accent3 2" xfId="18"/>
    <cellStyle name="40% - Accent3 3" xfId="19"/>
    <cellStyle name="40% - Accent4 2" xfId="20"/>
    <cellStyle name="40% - Accent4 3" xfId="21"/>
    <cellStyle name="40% - Accent5 2" xfId="22"/>
    <cellStyle name="40% - Accent5 3" xfId="23"/>
    <cellStyle name="40% - Accent6 2" xfId="24"/>
    <cellStyle name="40% - Accent6 3" xfId="25"/>
    <cellStyle name="60% - Accent1 2" xfId="26"/>
    <cellStyle name="60% - Accent1 3" xfId="27"/>
    <cellStyle name="60% - Accent2 2" xfId="28"/>
    <cellStyle name="60% - Accent2 3" xfId="29"/>
    <cellStyle name="60% - Accent3 2" xfId="30"/>
    <cellStyle name="60% - Accent3 3" xfId="31"/>
    <cellStyle name="60% - Accent4 2" xfId="32"/>
    <cellStyle name="60% - Accent4 3" xfId="33"/>
    <cellStyle name="60% - Accent5 2" xfId="34"/>
    <cellStyle name="60% - Accent5 3" xfId="35"/>
    <cellStyle name="60% - Accent6 2" xfId="36"/>
    <cellStyle name="60% - Accent6 3" xfId="37"/>
    <cellStyle name="A2.Heading1" xfId="38"/>
    <cellStyle name="A2.Heading2" xfId="39"/>
    <cellStyle name="Accent1 2" xfId="40"/>
    <cellStyle name="Accent1 3" xfId="41"/>
    <cellStyle name="Accent2 2" xfId="42"/>
    <cellStyle name="Accent2 3" xfId="43"/>
    <cellStyle name="Accent3 2" xfId="44"/>
    <cellStyle name="Accent3 3" xfId="45"/>
    <cellStyle name="Accent4 2" xfId="46"/>
    <cellStyle name="Accent4 3" xfId="47"/>
    <cellStyle name="Accent5 2" xfId="48"/>
    <cellStyle name="Accent5 3" xfId="49"/>
    <cellStyle name="Accent6 2" xfId="50"/>
    <cellStyle name="Accent6 3" xfId="51"/>
    <cellStyle name="AZ1" xfId="52"/>
    <cellStyle name="Bad 2" xfId="53"/>
    <cellStyle name="Bad 3" xfId="54"/>
    <cellStyle name="C1.general" xfId="55"/>
    <cellStyle name="C1.percentage" xfId="56"/>
    <cellStyle name="Calculation 2" xfId="57"/>
    <cellStyle name="Calculation 3" xfId="58"/>
    <cellStyle name="cells" xfId="59"/>
    <cellStyle name="Check Cell 2" xfId="60"/>
    <cellStyle name="Check Cell 3" xfId="61"/>
    <cellStyle name="coin" xfId="62"/>
    <cellStyle name="column field" xfId="63"/>
    <cellStyle name="Column heading" xfId="64"/>
    <cellStyle name="Comma" xfId="65" builtinId="3"/>
    <cellStyle name="Comma 10" xfId="66"/>
    <cellStyle name="Comma 11" xfId="67"/>
    <cellStyle name="Comma 12" xfId="68"/>
    <cellStyle name="Comma 13" xfId="69"/>
    <cellStyle name="Comma 2" xfId="70"/>
    <cellStyle name="Comma 2 2" xfId="71"/>
    <cellStyle name="Comma 3" xfId="72"/>
    <cellStyle name="Comma 4" xfId="73"/>
    <cellStyle name="Comma 5" xfId="74"/>
    <cellStyle name="Comma 6" xfId="75"/>
    <cellStyle name="Comma 6 2" xfId="76"/>
    <cellStyle name="Comma 7" xfId="77"/>
    <cellStyle name="Comma 8" xfId="78"/>
    <cellStyle name="Comma 9" xfId="79"/>
    <cellStyle name="contenu_unite" xfId="80"/>
    <cellStyle name="Corner heading" xfId="81"/>
    <cellStyle name="Currency 2" xfId="82"/>
    <cellStyle name="Currency 3" xfId="83"/>
    <cellStyle name="Currency 3 2" xfId="84"/>
    <cellStyle name="Currency 4" xfId="85"/>
    <cellStyle name="Data" xfId="86"/>
    <cellStyle name="Data 2" xfId="87"/>
    <cellStyle name="Data 2 2" xfId="88"/>
    <cellStyle name="Data 3" xfId="89"/>
    <cellStyle name="Data no deci" xfId="90"/>
    <cellStyle name="Data no deci 2" xfId="91"/>
    <cellStyle name="Data Superscript" xfId="92"/>
    <cellStyle name="Data Superscript 2" xfId="93"/>
    <cellStyle name="Data_1-1A-Regular" xfId="94"/>
    <cellStyle name="Detail ligne" xfId="95"/>
    <cellStyle name="donn_normal" xfId="96"/>
    <cellStyle name="donnnormal1" xfId="97"/>
    <cellStyle name="donntotal1" xfId="98"/>
    <cellStyle name="ent_col_ser" xfId="99"/>
    <cellStyle name="entete_indice" xfId="100"/>
    <cellStyle name="Euro" xfId="101"/>
    <cellStyle name="Explanatory Text 2" xfId="102"/>
    <cellStyle name="Explanatory Text 3" xfId="103"/>
    <cellStyle name="Explanatory Text 4" xfId="104"/>
    <cellStyle name="FEST" xfId="105"/>
    <cellStyle name="field" xfId="106"/>
    <cellStyle name="field names" xfId="107"/>
    <cellStyle name="Följde hyperlänken" xfId="108"/>
    <cellStyle name="footer" xfId="109"/>
    <cellStyle name="Good 2" xfId="110"/>
    <cellStyle name="Good 3" xfId="111"/>
    <cellStyle name="Heading" xfId="112"/>
    <cellStyle name="Heading 1 2" xfId="113"/>
    <cellStyle name="Heading 1 3" xfId="114"/>
    <cellStyle name="Heading 2 2" xfId="115"/>
    <cellStyle name="Heading 2 3" xfId="116"/>
    <cellStyle name="Heading 3 2" xfId="117"/>
    <cellStyle name="Heading 3 3" xfId="118"/>
    <cellStyle name="Heading 4 2" xfId="119"/>
    <cellStyle name="Heading 4 3" xfId="120"/>
    <cellStyle name="Heading 5" xfId="121"/>
    <cellStyle name="Hed Side" xfId="122"/>
    <cellStyle name="Hed Side 2" xfId="123"/>
    <cellStyle name="Hed Side 2 2" xfId="124"/>
    <cellStyle name="Hed Side 3" xfId="125"/>
    <cellStyle name="Hed Side bold" xfId="126"/>
    <cellStyle name="Hed Side Indent" xfId="127"/>
    <cellStyle name="Hed Side Indent 2" xfId="128"/>
    <cellStyle name="Hed Side Regular" xfId="129"/>
    <cellStyle name="Hed Side Regular 2" xfId="130"/>
    <cellStyle name="Hed Side_1-1A-Regular" xfId="131"/>
    <cellStyle name="Hed Top" xfId="132"/>
    <cellStyle name="Hed Top - SECTION" xfId="133"/>
    <cellStyle name="Hed Top - SECTION 2" xfId="134"/>
    <cellStyle name="Hed Top_3-new4" xfId="135"/>
    <cellStyle name="Hyperlänk 2" xfId="136"/>
    <cellStyle name="Hyperlink" xfId="137" builtinId="8"/>
    <cellStyle name="Hyperlink 2" xfId="138"/>
    <cellStyle name="Hyperlink 2 2" xfId="139"/>
    <cellStyle name="Hyperlink 2 3" xfId="140"/>
    <cellStyle name="Hyperlink 3" xfId="141"/>
    <cellStyle name="Hyperlink 4" xfId="142"/>
    <cellStyle name="Identification requete" xfId="143"/>
    <cellStyle name="Input 2" xfId="144"/>
    <cellStyle name="Input 3" xfId="145"/>
    <cellStyle name="Ligne détail" xfId="146"/>
    <cellStyle name="Ligne détail 2" xfId="147"/>
    <cellStyle name="ligne_titre_0" xfId="148"/>
    <cellStyle name="Linked Cell 2" xfId="149"/>
    <cellStyle name="Linked Cell 3" xfId="150"/>
    <cellStyle name="MEV1" xfId="151"/>
    <cellStyle name="MEV2" xfId="152"/>
    <cellStyle name="Neutral 2" xfId="153"/>
    <cellStyle name="Neutral 3" xfId="154"/>
    <cellStyle name="Normal" xfId="0" builtinId="0" customBuiltin="1"/>
    <cellStyle name="Normal 10" xfId="155"/>
    <cellStyle name="Normal 11" xfId="156"/>
    <cellStyle name="Normal 11 2" xfId="157"/>
    <cellStyle name="Normal 12" xfId="158"/>
    <cellStyle name="Normal 13" xfId="159"/>
    <cellStyle name="Normal 14" xfId="160"/>
    <cellStyle name="Normal 15" xfId="161"/>
    <cellStyle name="Normal 16" xfId="162"/>
    <cellStyle name="Normal 2" xfId="163"/>
    <cellStyle name="Normal 2 2" xfId="164"/>
    <cellStyle name="Normal 2 2 2" xfId="165"/>
    <cellStyle name="Normal 2 3" xfId="166"/>
    <cellStyle name="Normal 2 3 2" xfId="167"/>
    <cellStyle name="Normal 2 4" xfId="168"/>
    <cellStyle name="Normal 2 5" xfId="169"/>
    <cellStyle name="Normal 2_Table 2.2.5" xfId="170"/>
    <cellStyle name="Normal 3" xfId="171"/>
    <cellStyle name="Normal 3 2" xfId="172"/>
    <cellStyle name="Normal 3 2 2" xfId="173"/>
    <cellStyle name="Normal 3 2 2 2" xfId="174"/>
    <cellStyle name="Normal 3 2 3" xfId="175"/>
    <cellStyle name="Normal 3 3" xfId="176"/>
    <cellStyle name="Normal 3 3 2" xfId="177"/>
    <cellStyle name="Normal 3 3 2 2" xfId="178"/>
    <cellStyle name="Normal 3 3 3" xfId="179"/>
    <cellStyle name="Normal 3 4" xfId="180"/>
    <cellStyle name="Normal 3 4 2" xfId="181"/>
    <cellStyle name="Normal 3 5" xfId="182"/>
    <cellStyle name="Normal 3 6" xfId="183"/>
    <cellStyle name="Normal 3 7" xfId="184"/>
    <cellStyle name="Normal 3 8" xfId="185"/>
    <cellStyle name="Normal 3_Table 2.2.5" xfId="186"/>
    <cellStyle name="Normal 4" xfId="187"/>
    <cellStyle name="Normal 4 2" xfId="188"/>
    <cellStyle name="Normal 4 2 2" xfId="189"/>
    <cellStyle name="Normal 4 2 2 2" xfId="190"/>
    <cellStyle name="Normal 4 2 3" xfId="191"/>
    <cellStyle name="Normal 4 2 4" xfId="192"/>
    <cellStyle name="Normal 4 3" xfId="193"/>
    <cellStyle name="Normal 4 3 2" xfId="194"/>
    <cellStyle name="Normal 4 3 2 2" xfId="195"/>
    <cellStyle name="Normal 4 3 3" xfId="196"/>
    <cellStyle name="Normal 4 4" xfId="197"/>
    <cellStyle name="Normal 4 4 2" xfId="198"/>
    <cellStyle name="Normal 4 5" xfId="199"/>
    <cellStyle name="Normal 4 6" xfId="200"/>
    <cellStyle name="Normal 4 7" xfId="201"/>
    <cellStyle name="Normal 4 8" xfId="202"/>
    <cellStyle name="Normal 4 9" xfId="203"/>
    <cellStyle name="Normal 5" xfId="204"/>
    <cellStyle name="Normal 5 2" xfId="205"/>
    <cellStyle name="Normal 5 2 2" xfId="206"/>
    <cellStyle name="Normal 5 3" xfId="207"/>
    <cellStyle name="Normal 5 4" xfId="208"/>
    <cellStyle name="Normal 5 5" xfId="209"/>
    <cellStyle name="Normal 6" xfId="210"/>
    <cellStyle name="Normal 6 2" xfId="211"/>
    <cellStyle name="Normal 6 3" xfId="212"/>
    <cellStyle name="Normal 6 4" xfId="213"/>
    <cellStyle name="Normal 7" xfId="214"/>
    <cellStyle name="Normal 7 2" xfId="215"/>
    <cellStyle name="Normal 7 2 2" xfId="216"/>
    <cellStyle name="Normal 7 3" xfId="217"/>
    <cellStyle name="Normal 7 4" xfId="218"/>
    <cellStyle name="Normal 8" xfId="219"/>
    <cellStyle name="Normal 8 2" xfId="220"/>
    <cellStyle name="Normal 8 3" xfId="221"/>
    <cellStyle name="Normal 8 4" xfId="222"/>
    <cellStyle name="Normal 9" xfId="223"/>
    <cellStyle name="Normal 9 2" xfId="224"/>
    <cellStyle name="Normal 9 3" xfId="225"/>
    <cellStyle name="Normal 9_Table 2.2.5" xfId="226"/>
    <cellStyle name="Normal_T4" xfId="227"/>
    <cellStyle name="Normál_t6" xfId="228"/>
    <cellStyle name="Normalny 2" xfId="229"/>
    <cellStyle name="Normalny 3" xfId="230"/>
    <cellStyle name="Note 2" xfId="231"/>
    <cellStyle name="Note 2 2" xfId="232"/>
    <cellStyle name="Note 3" xfId="233"/>
    <cellStyle name="Note 4" xfId="234"/>
    <cellStyle name="notice_theme" xfId="235"/>
    <cellStyle name="num_note" xfId="236"/>
    <cellStyle name="NumberCellStyle" xfId="237"/>
    <cellStyle name="Output 2" xfId="238"/>
    <cellStyle name="Output 3" xfId="239"/>
    <cellStyle name="Percent" xfId="240" builtinId="5"/>
    <cellStyle name="Percent 2" xfId="241"/>
    <cellStyle name="Percent 2 2" xfId="242"/>
    <cellStyle name="Percent 2 3" xfId="243"/>
    <cellStyle name="Percent 3" xfId="244"/>
    <cellStyle name="Percent 3 2" xfId="245"/>
    <cellStyle name="Percent 3 3" xfId="246"/>
    <cellStyle name="Percent 4" xfId="247"/>
    <cellStyle name="Percent 5" xfId="248"/>
    <cellStyle name="Percent 6" xfId="249"/>
    <cellStyle name="Procent 2" xfId="250"/>
    <cellStyle name="Procent 3" xfId="251"/>
    <cellStyle name="Publication_style" xfId="252"/>
    <cellStyle name="PZ1" xfId="253"/>
    <cellStyle name="Refdb standard" xfId="254"/>
    <cellStyle name="Refdb standard 2" xfId="255"/>
    <cellStyle name="Reference" xfId="256"/>
    <cellStyle name="Resultat" xfId="257"/>
    <cellStyle name="Row heading" xfId="258"/>
    <cellStyle name="Row_Headings" xfId="259"/>
    <cellStyle name="rowfield" xfId="260"/>
    <cellStyle name="Source" xfId="261"/>
    <cellStyle name="Source 2" xfId="262"/>
    <cellStyle name="Source Hed" xfId="263"/>
    <cellStyle name="Source Letter" xfId="264"/>
    <cellStyle name="Source Superscript" xfId="265"/>
    <cellStyle name="Source Superscript 2" xfId="266"/>
    <cellStyle name="Source Text" xfId="267"/>
    <cellStyle name="Source Text 2" xfId="268"/>
    <cellStyle name="Standard 2" xfId="269"/>
    <cellStyle name="Standard 2 2" xfId="270"/>
    <cellStyle name="Standard 3" xfId="271"/>
    <cellStyle name="Standard 5" xfId="272"/>
    <cellStyle name="Standard_02" xfId="273"/>
    <cellStyle name="Standard_E00seit45" xfId="274"/>
    <cellStyle name="State" xfId="275"/>
    <cellStyle name="Superscript" xfId="276"/>
    <cellStyle name="Superscript 2" xfId="277"/>
    <cellStyle name="Table Data" xfId="278"/>
    <cellStyle name="Table Head Top" xfId="279"/>
    <cellStyle name="Table Hed Side" xfId="280"/>
    <cellStyle name="Table Title" xfId="281"/>
    <cellStyle name="tableau | cellule | normal | decimal 1" xfId="282"/>
    <cellStyle name="tableau | cellule | normal | pourcentage | decimal 1" xfId="283"/>
    <cellStyle name="tableau | cellule | total | decimal 1" xfId="284"/>
    <cellStyle name="tableau | coin superieur gauche" xfId="285"/>
    <cellStyle name="tableau | entete-colonne | series" xfId="286"/>
    <cellStyle name="tableau | entete-ligne | normal" xfId="287"/>
    <cellStyle name="tableau | entete-ligne | total" xfId="288"/>
    <cellStyle name="tableau | ligne-titre | niveau1" xfId="289"/>
    <cellStyle name="tableau | ligne-titre | niveau2" xfId="290"/>
    <cellStyle name="Test" xfId="291"/>
    <cellStyle name="Title" xfId="292" builtinId="15" customBuiltin="1"/>
    <cellStyle name="Title 2" xfId="293"/>
    <cellStyle name="Title 2 2" xfId="294"/>
    <cellStyle name="Title Text" xfId="295"/>
    <cellStyle name="Title Text 1" xfId="296"/>
    <cellStyle name="Title Text 2" xfId="297"/>
    <cellStyle name="Title-1" xfId="298"/>
    <cellStyle name="Title-2" xfId="299"/>
    <cellStyle name="Title-3" xfId="300"/>
    <cellStyle name="Titre colonne" xfId="301"/>
    <cellStyle name="Titre colonnes" xfId="302"/>
    <cellStyle name="Titre colonnes 2" xfId="303"/>
    <cellStyle name="Titre general" xfId="304"/>
    <cellStyle name="Titre général" xfId="305"/>
    <cellStyle name="Titre ligne" xfId="306"/>
    <cellStyle name="Titre ligne 2" xfId="307"/>
    <cellStyle name="Titre lignes" xfId="308"/>
    <cellStyle name="Titre lignes 2" xfId="309"/>
    <cellStyle name="Titre tableau" xfId="310"/>
    <cellStyle name="Total 2" xfId="311"/>
    <cellStyle name="Total 3" xfId="312"/>
    <cellStyle name="Total 4" xfId="313"/>
    <cellStyle name="Total 5" xfId="314"/>
    <cellStyle name="Total intermediaire" xfId="315"/>
    <cellStyle name="Total intermediaire 0" xfId="316"/>
    <cellStyle name="Total intermediaire 1" xfId="317"/>
    <cellStyle name="Total intermediaire 2" xfId="318"/>
    <cellStyle name="Total intermediaire 3" xfId="319"/>
    <cellStyle name="Total intermediaire 4" xfId="320"/>
    <cellStyle name="Total intermediaire 5" xfId="321"/>
    <cellStyle name="Total tableau" xfId="322"/>
    <cellStyle name="Tusental 2" xfId="323"/>
    <cellStyle name="Virgül [0]_08-01" xfId="324"/>
    <cellStyle name="Virgül_08-01" xfId="325"/>
    <cellStyle name="Warning Text 2" xfId="326"/>
    <cellStyle name="Warning Text 3" xfId="327"/>
    <cellStyle name="Wrap" xfId="328"/>
    <cellStyle name="Wrap 2" xfId="329"/>
    <cellStyle name="Wrap Bold" xfId="330"/>
    <cellStyle name="Wrap Title" xfId="331"/>
    <cellStyle name="Wrap_NTS99-~11" xfId="33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AF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AF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00FFFF"/>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calcChain" Target="calcChain.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haredStrings" Target="sharedString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styles" Target="styles.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theme" Target="theme/theme1.xml" Id="rId22" /><Relationship Type="http://schemas.openxmlformats.org/officeDocument/2006/relationships/customXml" Target="/customXML/item2.xml" Id="Rf13df9b673a545ec"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inyurl.com/zhrtb5x" TargetMode="External"/><Relationship Id="rId1" Type="http://schemas.openxmlformats.org/officeDocument/2006/relationships/hyperlink" Target="http://tinyurl.com/zhrtb5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3"/>
  <sheetViews>
    <sheetView tabSelected="1" zoomScale="55" zoomScaleNormal="55" workbookViewId="0">
      <pane xSplit="10" ySplit="8" topLeftCell="K9" activePane="bottomRight" state="frozen"/>
      <selection pane="topRight" activeCell="K1" sqref="K1"/>
      <selection pane="bottomLeft" activeCell="A9" sqref="A9"/>
      <selection pane="bottomRight" activeCell="BC45" sqref="BC45"/>
    </sheetView>
  </sheetViews>
  <sheetFormatPr defaultRowHeight="15"/>
  <cols>
    <col min="1" max="1" width="2.28515625" style="2" customWidth="1"/>
    <col min="2" max="2" width="1.28515625" style="2" customWidth="1"/>
    <col min="3" max="3" width="20" style="2" customWidth="1"/>
    <col min="4" max="4" width="0.7109375" style="2" customWidth="1"/>
    <col min="5" max="5" width="9.5703125" style="2" customWidth="1"/>
    <col min="6" max="6" width="0.85546875" style="2" customWidth="1"/>
    <col min="7" max="7" width="12.42578125" style="2" customWidth="1"/>
    <col min="8" max="8" width="0.5703125" style="2" customWidth="1"/>
    <col min="9" max="9" width="9.85546875" style="2" customWidth="1"/>
    <col min="10" max="10" width="2.28515625" style="2" customWidth="1"/>
    <col min="11" max="11" width="9.7109375" style="4" customWidth="1"/>
    <col min="12" max="12" width="0.85546875" style="2" customWidth="1"/>
    <col min="13" max="13" width="10.140625" style="2" customWidth="1"/>
    <col min="14" max="14" width="9.140625" style="2" customWidth="1"/>
    <col min="15" max="15" width="8.5703125" style="2" customWidth="1"/>
    <col min="16" max="16" width="9" style="2" customWidth="1"/>
    <col min="17" max="17" width="8.28515625" style="2" customWidth="1"/>
    <col min="18" max="18" width="10.7109375" style="2" customWidth="1"/>
    <col min="19" max="19" width="11.42578125" style="2" customWidth="1"/>
    <col min="20" max="21" width="8.28515625" style="2" customWidth="1"/>
    <col min="22" max="22" width="9.28515625" style="2" customWidth="1"/>
    <col min="23" max="25" width="10.7109375" style="2" customWidth="1"/>
    <col min="26" max="26" width="8.28515625" style="2" customWidth="1"/>
    <col min="27" max="27" width="11.85546875" style="2" customWidth="1"/>
    <col min="28" max="28" width="11.140625" style="2" customWidth="1"/>
    <col min="29" max="29" width="10.42578125" style="2" customWidth="1"/>
    <col min="30" max="30" width="11" style="2" customWidth="1"/>
    <col min="31" max="36" width="8.28515625" style="2" customWidth="1"/>
    <col min="37" max="37" width="11" style="2" customWidth="1"/>
    <col min="38" max="38" width="10" style="2" customWidth="1"/>
    <col min="39" max="39" width="8.28515625" style="2" customWidth="1"/>
    <col min="40" max="40" width="12.28515625" style="2" customWidth="1"/>
    <col min="41" max="41" width="2.85546875" style="2" customWidth="1"/>
    <col min="42" max="42" width="13.140625" style="2" customWidth="1"/>
    <col min="43" max="43" width="13.28515625" style="2" customWidth="1"/>
    <col min="44" max="45" width="2" style="2" customWidth="1"/>
    <col min="46" max="46" width="9.28515625" style="2" customWidth="1"/>
    <col min="47" max="47" width="10" style="2" customWidth="1"/>
    <col min="48" max="48" width="11.42578125" style="2" customWidth="1"/>
    <col min="49" max="49" width="1.28515625" style="2" customWidth="1"/>
    <col min="50" max="50" width="0" style="2" hidden="1" customWidth="1"/>
    <col min="51" max="51" width="3.85546875" style="2" customWidth="1"/>
    <col min="52" max="52" width="32" style="2" customWidth="1"/>
    <col min="53" max="16384" width="9.140625" style="2"/>
  </cols>
  <sheetData>
    <row r="1" spans="1:53" ht="18">
      <c r="A1" s="66" t="s">
        <v>124</v>
      </c>
      <c r="B1" s="65"/>
    </row>
    <row r="2" spans="1:53" ht="13.5" customHeight="1">
      <c r="A2" s="3"/>
      <c r="AX2" s="3" t="s">
        <v>56</v>
      </c>
    </row>
    <row r="3" spans="1:53" ht="18" customHeight="1">
      <c r="A3" s="3"/>
      <c r="E3" s="6"/>
      <c r="F3" s="6"/>
      <c r="G3" s="6"/>
      <c r="H3" s="6"/>
      <c r="I3" s="6"/>
      <c r="J3" s="6"/>
      <c r="K3" s="67"/>
      <c r="M3" s="5" t="s">
        <v>95</v>
      </c>
      <c r="N3" s="5"/>
      <c r="O3" s="5"/>
      <c r="P3" s="6"/>
      <c r="Q3" s="6" t="s">
        <v>320</v>
      </c>
      <c r="R3" s="6"/>
      <c r="S3" s="6"/>
      <c r="T3" s="6"/>
      <c r="U3" s="6"/>
      <c r="V3" s="6"/>
      <c r="W3" s="6"/>
      <c r="X3" s="6"/>
      <c r="Y3" s="6"/>
      <c r="Z3" s="6"/>
      <c r="AA3" s="6"/>
      <c r="AB3" s="6"/>
      <c r="AC3" s="6"/>
      <c r="AD3" s="6"/>
      <c r="AE3" s="6"/>
      <c r="AF3" s="6"/>
      <c r="AG3" s="6"/>
      <c r="AH3" s="6"/>
      <c r="AI3" s="6"/>
      <c r="AJ3" s="6"/>
      <c r="AK3" s="6"/>
      <c r="AL3" s="6"/>
      <c r="AM3" s="6"/>
      <c r="AN3" s="6"/>
      <c r="AO3" s="6"/>
      <c r="AP3" s="6"/>
      <c r="AQ3" s="6"/>
      <c r="AT3" s="1121" t="s">
        <v>120</v>
      </c>
      <c r="AU3" s="1122"/>
      <c r="AV3" s="1122"/>
      <c r="AX3" s="3" t="s">
        <v>57</v>
      </c>
    </row>
    <row r="4" spans="1:53">
      <c r="I4" s="7"/>
      <c r="M4" s="7"/>
      <c r="O4" s="7"/>
      <c r="Q4" s="7"/>
      <c r="S4" s="7"/>
      <c r="U4" s="7"/>
      <c r="W4" s="7"/>
      <c r="Y4" s="7"/>
      <c r="Z4" s="7"/>
      <c r="AB4" s="7"/>
      <c r="AD4" s="7"/>
      <c r="AF4" s="7"/>
      <c r="AH4" s="7"/>
      <c r="AJ4" s="7"/>
      <c r="AL4" s="7"/>
      <c r="AN4" s="7"/>
      <c r="AP4" s="7"/>
    </row>
    <row r="5" spans="1:53" ht="105.75" customHeight="1">
      <c r="E5" s="8" t="s">
        <v>116</v>
      </c>
      <c r="F5" s="8"/>
      <c r="G5" s="8" t="s">
        <v>117</v>
      </c>
      <c r="I5" s="39" t="s">
        <v>59</v>
      </c>
      <c r="J5" s="9"/>
      <c r="K5" s="10" t="s">
        <v>118</v>
      </c>
      <c r="M5" s="45" t="s">
        <v>10</v>
      </c>
      <c r="N5" s="11" t="s">
        <v>1</v>
      </c>
      <c r="O5" s="45" t="s">
        <v>102</v>
      </c>
      <c r="P5" s="11" t="s">
        <v>70</v>
      </c>
      <c r="Q5" s="45" t="s">
        <v>62</v>
      </c>
      <c r="R5" s="11" t="s">
        <v>3</v>
      </c>
      <c r="S5" s="45" t="s">
        <v>2</v>
      </c>
      <c r="T5" s="11" t="s">
        <v>65</v>
      </c>
      <c r="U5" s="45" t="s">
        <v>119</v>
      </c>
      <c r="V5" s="11" t="s">
        <v>4</v>
      </c>
      <c r="W5" s="45" t="s">
        <v>27</v>
      </c>
      <c r="X5" s="11" t="s">
        <v>5</v>
      </c>
      <c r="Y5" s="45" t="s">
        <v>158</v>
      </c>
      <c r="Z5" s="45" t="s">
        <v>79</v>
      </c>
      <c r="AA5" s="11" t="s">
        <v>6</v>
      </c>
      <c r="AB5" s="45" t="s">
        <v>7</v>
      </c>
      <c r="AC5" s="11" t="s">
        <v>75</v>
      </c>
      <c r="AD5" s="45" t="s">
        <v>8</v>
      </c>
      <c r="AE5" s="11" t="s">
        <v>74</v>
      </c>
      <c r="AF5" s="45" t="s">
        <v>121</v>
      </c>
      <c r="AG5" s="11" t="s">
        <v>9</v>
      </c>
      <c r="AH5" s="45" t="s">
        <v>82</v>
      </c>
      <c r="AI5" s="11" t="s">
        <v>11</v>
      </c>
      <c r="AJ5" s="45" t="s">
        <v>103</v>
      </c>
      <c r="AK5" s="11" t="s">
        <v>12</v>
      </c>
      <c r="AL5" s="45" t="s">
        <v>84</v>
      </c>
      <c r="AM5" s="11" t="s">
        <v>86</v>
      </c>
      <c r="AN5" s="45" t="s">
        <v>13</v>
      </c>
      <c r="AO5" s="11"/>
      <c r="AP5" s="45" t="s">
        <v>257</v>
      </c>
      <c r="AQ5" s="11" t="s">
        <v>113</v>
      </c>
      <c r="AR5" s="9"/>
      <c r="AS5" s="9"/>
      <c r="AT5" s="11" t="s">
        <v>53</v>
      </c>
      <c r="AU5" s="11" t="s">
        <v>54</v>
      </c>
      <c r="AV5" s="11" t="s">
        <v>55</v>
      </c>
      <c r="AX5" s="9" t="s">
        <v>48</v>
      </c>
    </row>
    <row r="6" spans="1:53" ht="6" customHeight="1">
      <c r="I6" s="7"/>
      <c r="K6" s="9"/>
      <c r="M6" s="45"/>
      <c r="N6" s="11"/>
      <c r="O6" s="45"/>
      <c r="P6" s="11"/>
      <c r="Q6" s="45"/>
      <c r="R6" s="11"/>
      <c r="S6" s="45"/>
      <c r="T6" s="11"/>
      <c r="U6" s="45"/>
      <c r="V6" s="11"/>
      <c r="W6" s="45"/>
      <c r="X6" s="11"/>
      <c r="Y6" s="45"/>
      <c r="Z6" s="45"/>
      <c r="AA6" s="11"/>
      <c r="AB6" s="45"/>
      <c r="AC6" s="11"/>
      <c r="AD6" s="45"/>
      <c r="AE6" s="11"/>
      <c r="AF6" s="45"/>
      <c r="AG6" s="11"/>
      <c r="AH6" s="45"/>
      <c r="AI6" s="11"/>
      <c r="AJ6" s="45"/>
      <c r="AK6" s="11"/>
      <c r="AL6" s="45"/>
      <c r="AM6" s="11"/>
      <c r="AN6" s="57"/>
      <c r="AO6" s="10"/>
      <c r="AP6" s="45"/>
      <c r="AQ6" s="11"/>
      <c r="AR6" s="9"/>
      <c r="AS6" s="9"/>
      <c r="AT6" s="9"/>
      <c r="AU6" s="9"/>
      <c r="AV6" s="9"/>
    </row>
    <row r="7" spans="1:53" s="12" customFormat="1" ht="43.5" customHeight="1">
      <c r="A7" s="33"/>
      <c r="B7" s="33"/>
      <c r="C7" s="33"/>
      <c r="D7" s="33"/>
      <c r="E7" s="33"/>
      <c r="F7" s="33"/>
      <c r="G7" s="33"/>
      <c r="H7" s="33"/>
      <c r="I7" s="40"/>
      <c r="J7" s="33"/>
      <c r="K7" s="34" t="s">
        <v>58</v>
      </c>
      <c r="L7" s="34"/>
      <c r="M7" s="46" t="s">
        <v>81</v>
      </c>
      <c r="N7" s="34" t="s">
        <v>60</v>
      </c>
      <c r="O7" s="46" t="s">
        <v>100</v>
      </c>
      <c r="P7" s="34" t="s">
        <v>71</v>
      </c>
      <c r="Q7" s="46" t="s">
        <v>61</v>
      </c>
      <c r="R7" s="34" t="s">
        <v>63</v>
      </c>
      <c r="S7" s="46" t="s">
        <v>14</v>
      </c>
      <c r="T7" s="34" t="s">
        <v>64</v>
      </c>
      <c r="U7" s="46" t="s">
        <v>15</v>
      </c>
      <c r="V7" s="34" t="s">
        <v>66</v>
      </c>
      <c r="W7" s="46" t="s">
        <v>87</v>
      </c>
      <c r="X7" s="34" t="s">
        <v>67</v>
      </c>
      <c r="Y7" s="46" t="s">
        <v>144</v>
      </c>
      <c r="Z7" s="46" t="s">
        <v>77</v>
      </c>
      <c r="AA7" s="34" t="s">
        <v>68</v>
      </c>
      <c r="AB7" s="46" t="s">
        <v>69</v>
      </c>
      <c r="AC7" s="34" t="s">
        <v>73</v>
      </c>
      <c r="AD7" s="46" t="s">
        <v>76</v>
      </c>
      <c r="AE7" s="34" t="s">
        <v>72</v>
      </c>
      <c r="AF7" s="46" t="s">
        <v>78</v>
      </c>
      <c r="AG7" s="34" t="s">
        <v>16</v>
      </c>
      <c r="AH7" s="46" t="s">
        <v>80</v>
      </c>
      <c r="AI7" s="34" t="s">
        <v>92</v>
      </c>
      <c r="AJ7" s="46" t="s">
        <v>101</v>
      </c>
      <c r="AK7" s="34" t="s">
        <v>88</v>
      </c>
      <c r="AL7" s="46" t="s">
        <v>83</v>
      </c>
      <c r="AM7" s="34" t="s">
        <v>85</v>
      </c>
      <c r="AN7" s="46" t="s">
        <v>13</v>
      </c>
      <c r="AO7" s="34"/>
      <c r="AP7" s="46" t="s">
        <v>237</v>
      </c>
      <c r="AQ7" s="34" t="s">
        <v>89</v>
      </c>
      <c r="AR7" s="34"/>
      <c r="AS7" s="34"/>
      <c r="AT7" s="34" t="s">
        <v>58</v>
      </c>
      <c r="AU7" s="34" t="s">
        <v>50</v>
      </c>
      <c r="AV7" s="34" t="s">
        <v>13</v>
      </c>
    </row>
    <row r="8" spans="1:53" s="13" customFormat="1" ht="6" customHeight="1">
      <c r="I8" s="41"/>
      <c r="M8" s="41"/>
      <c r="O8" s="41"/>
      <c r="Q8" s="41"/>
      <c r="S8" s="41"/>
      <c r="U8" s="41"/>
      <c r="W8" s="41"/>
      <c r="Y8" s="41"/>
      <c r="Z8" s="41"/>
      <c r="AB8" s="41"/>
      <c r="AD8" s="41"/>
      <c r="AF8" s="41"/>
      <c r="AH8" s="41"/>
      <c r="AJ8" s="41"/>
      <c r="AL8" s="41"/>
      <c r="AN8" s="41"/>
      <c r="AP8" s="41"/>
    </row>
    <row r="9" spans="1:53" ht="15" customHeight="1">
      <c r="A9" s="32" t="s">
        <v>28</v>
      </c>
      <c r="I9" s="7"/>
      <c r="M9" s="7"/>
      <c r="O9" s="7"/>
      <c r="Q9" s="7"/>
      <c r="S9" s="7"/>
      <c r="U9" s="7"/>
      <c r="W9" s="7"/>
      <c r="Y9" s="7"/>
      <c r="Z9" s="7"/>
      <c r="AB9" s="7"/>
      <c r="AD9" s="7"/>
      <c r="AF9" s="7"/>
      <c r="AH9" s="7"/>
      <c r="AJ9" s="7"/>
      <c r="AL9" s="7"/>
      <c r="AN9" s="7"/>
      <c r="AP9" s="7"/>
    </row>
    <row r="10" spans="1:53" s="14" customFormat="1" ht="15.75">
      <c r="B10" s="1" t="s">
        <v>106</v>
      </c>
      <c r="I10" s="42"/>
      <c r="K10" s="15"/>
      <c r="M10" s="42"/>
      <c r="O10" s="42"/>
      <c r="Q10" s="42"/>
      <c r="S10" s="42"/>
      <c r="U10" s="42"/>
      <c r="W10" s="42"/>
      <c r="Y10" s="42"/>
      <c r="Z10" s="42"/>
      <c r="AB10" s="42"/>
      <c r="AD10" s="42"/>
      <c r="AF10" s="42"/>
      <c r="AH10" s="42"/>
      <c r="AJ10" s="42"/>
      <c r="AL10" s="42"/>
      <c r="AN10" s="42"/>
      <c r="AP10" s="58"/>
    </row>
    <row r="11" spans="1:53" s="14" customFormat="1">
      <c r="C11" s="14" t="s">
        <v>0</v>
      </c>
      <c r="E11" s="16">
        <v>2018</v>
      </c>
      <c r="F11" s="16"/>
      <c r="G11" s="16"/>
      <c r="I11" s="43" t="s">
        <v>97</v>
      </c>
      <c r="K11" s="17">
        <v>5.4381000000000004</v>
      </c>
      <c r="M11" s="82">
        <v>8.8222670000000001</v>
      </c>
      <c r="N11" s="18">
        <v>11.398588999999999</v>
      </c>
      <c r="O11" s="47">
        <v>7.0500340000000001</v>
      </c>
      <c r="P11" s="18">
        <v>0.864236</v>
      </c>
      <c r="Q11" s="47">
        <v>10.610054999999999</v>
      </c>
      <c r="R11" s="18">
        <v>82.792350999999996</v>
      </c>
      <c r="S11" s="47">
        <v>5.7811899999999996</v>
      </c>
      <c r="T11" s="18">
        <v>1.3191329999999999</v>
      </c>
      <c r="U11" s="47">
        <v>10.741165000000001</v>
      </c>
      <c r="V11" s="18">
        <v>46.658447000000002</v>
      </c>
      <c r="W11" s="47">
        <v>5.5131300000000003</v>
      </c>
      <c r="X11" s="18">
        <v>66.926165999999995</v>
      </c>
      <c r="Y11" s="47">
        <v>4.1054930000000001</v>
      </c>
      <c r="Z11" s="47">
        <v>9.7783709999999999</v>
      </c>
      <c r="AA11" s="18">
        <v>4.8303919999999998</v>
      </c>
      <c r="AB11" s="47">
        <v>60.483972999999999</v>
      </c>
      <c r="AC11" s="18">
        <v>2.8089010000000001</v>
      </c>
      <c r="AD11" s="47">
        <v>0.60200500000000001</v>
      </c>
      <c r="AE11" s="18">
        <v>1.9343790000000001</v>
      </c>
      <c r="AF11" s="47">
        <v>0.47570099999999998</v>
      </c>
      <c r="AG11" s="18">
        <v>17.181083999999998</v>
      </c>
      <c r="AH11" s="47">
        <v>37.976686999999998</v>
      </c>
      <c r="AI11" s="18">
        <v>10.291027</v>
      </c>
      <c r="AJ11" s="47">
        <v>19.530631</v>
      </c>
      <c r="AK11" s="18">
        <v>10.120241999999999</v>
      </c>
      <c r="AL11" s="47">
        <v>2.0668799999999998</v>
      </c>
      <c r="AM11" s="18">
        <v>5.4431200000000004</v>
      </c>
      <c r="AN11" s="47">
        <v>66.273576000000006</v>
      </c>
      <c r="AO11" s="19"/>
      <c r="AP11" s="52">
        <v>512.37922500000002</v>
      </c>
      <c r="AQ11" s="17">
        <v>408.41560400000003</v>
      </c>
      <c r="AT11" s="17">
        <f>K11</f>
        <v>5.4381000000000004</v>
      </c>
      <c r="AU11" s="17">
        <v>64.553909000000004</v>
      </c>
      <c r="AV11" s="17">
        <v>66.435550000000006</v>
      </c>
      <c r="AX11" s="20">
        <v>-103.28693499999997</v>
      </c>
      <c r="BA11" s="14">
        <f>RANK(K11,K11:AN11,1)</f>
        <v>10</v>
      </c>
    </row>
    <row r="12" spans="1:53" s="14" customFormat="1" ht="6" customHeight="1">
      <c r="I12" s="42"/>
      <c r="K12" s="15"/>
      <c r="M12" s="76"/>
      <c r="O12" s="42"/>
      <c r="Q12" s="42"/>
      <c r="S12" s="42"/>
      <c r="U12" s="42"/>
      <c r="W12" s="42"/>
      <c r="Y12" s="42"/>
      <c r="Z12" s="42"/>
      <c r="AB12" s="42"/>
      <c r="AD12" s="42"/>
      <c r="AF12" s="42"/>
      <c r="AH12" s="42"/>
      <c r="AJ12" s="42"/>
      <c r="AL12" s="42"/>
      <c r="AN12" s="42"/>
      <c r="AP12" s="42"/>
      <c r="AT12" s="22"/>
      <c r="AU12" s="15"/>
    </row>
    <row r="13" spans="1:53" s="14" customFormat="1" ht="15.75">
      <c r="B13" s="1" t="s">
        <v>17</v>
      </c>
      <c r="I13" s="42"/>
      <c r="K13" s="15"/>
      <c r="L13" s="21"/>
      <c r="M13" s="76"/>
      <c r="O13" s="42"/>
      <c r="Q13" s="42"/>
      <c r="S13" s="42"/>
      <c r="U13" s="42"/>
      <c r="W13" s="42"/>
      <c r="Y13" s="42"/>
      <c r="Z13" s="42"/>
      <c r="AB13" s="42"/>
      <c r="AD13" s="42"/>
      <c r="AF13" s="42"/>
      <c r="AH13" s="42"/>
      <c r="AJ13" s="42"/>
      <c r="AL13" s="42"/>
      <c r="AN13" s="42"/>
      <c r="AP13" s="42"/>
      <c r="AT13" s="22"/>
      <c r="AU13" s="15"/>
    </row>
    <row r="14" spans="1:53" s="14" customFormat="1">
      <c r="C14" s="21" t="s">
        <v>18</v>
      </c>
      <c r="D14" s="21"/>
      <c r="E14" s="21"/>
      <c r="F14" s="21"/>
      <c r="G14" s="21"/>
      <c r="H14" s="21"/>
      <c r="I14" s="43" t="s">
        <v>97</v>
      </c>
      <c r="J14" s="21"/>
      <c r="K14" s="22">
        <v>77.957999999999998</v>
      </c>
      <c r="L14" s="21"/>
      <c r="M14" s="83">
        <v>83.879000000000005</v>
      </c>
      <c r="N14" s="23">
        <v>30.527999999999999</v>
      </c>
      <c r="O14" s="48">
        <v>111.002</v>
      </c>
      <c r="P14" s="23">
        <v>9.25</v>
      </c>
      <c r="Q14" s="48">
        <v>78.867999999999995</v>
      </c>
      <c r="R14" s="23">
        <v>357.10399999999998</v>
      </c>
      <c r="S14" s="48">
        <v>43.097999999999999</v>
      </c>
      <c r="T14" s="23">
        <v>45.226999999999997</v>
      </c>
      <c r="U14" s="48">
        <v>131.95699999999999</v>
      </c>
      <c r="V14" s="23">
        <v>505.99700000000001</v>
      </c>
      <c r="W14" s="48">
        <v>338.41899999999998</v>
      </c>
      <c r="X14" s="23">
        <v>633.13300000000004</v>
      </c>
      <c r="Y14" s="48">
        <v>56.594000000000001</v>
      </c>
      <c r="Z14" s="48">
        <v>93.03</v>
      </c>
      <c r="AA14" s="23">
        <v>70.281999999999996</v>
      </c>
      <c r="AB14" s="48">
        <v>301.33600000000001</v>
      </c>
      <c r="AC14" s="23">
        <v>65.3</v>
      </c>
      <c r="AD14" s="48">
        <v>2.5859999999999999</v>
      </c>
      <c r="AE14" s="23">
        <v>64.558999999999997</v>
      </c>
      <c r="AF14" s="48">
        <v>0.316</v>
      </c>
      <c r="AG14" s="23">
        <v>41.526000000000003</v>
      </c>
      <c r="AH14" s="42">
        <v>312.685</v>
      </c>
      <c r="AI14" s="23">
        <v>92.09</v>
      </c>
      <c r="AJ14" s="48">
        <v>238.39099999999999</v>
      </c>
      <c r="AK14" s="23">
        <v>450.29500000000002</v>
      </c>
      <c r="AL14" s="48">
        <v>20.273</v>
      </c>
      <c r="AM14" s="23">
        <v>49.034999999999997</v>
      </c>
      <c r="AN14" s="48">
        <v>243.82</v>
      </c>
      <c r="AO14" s="20"/>
      <c r="AP14" s="58">
        <v>4470.58</v>
      </c>
      <c r="AQ14" s="22">
        <v>3326.05</v>
      </c>
      <c r="AT14" s="22">
        <v>77.957999999999998</v>
      </c>
      <c r="AU14" s="22">
        <v>228.97200000000001</v>
      </c>
      <c r="AV14" s="150">
        <v>243.82</v>
      </c>
      <c r="AX14" s="20">
        <v>-1087.9990000000003</v>
      </c>
    </row>
    <row r="15" spans="1:53" s="14" customFormat="1" ht="6" customHeight="1">
      <c r="I15" s="42"/>
      <c r="K15" s="15"/>
      <c r="M15" s="76"/>
      <c r="O15" s="42"/>
      <c r="Q15" s="42"/>
      <c r="S15" s="42"/>
      <c r="U15" s="42"/>
      <c r="W15" s="42"/>
      <c r="Y15" s="42"/>
      <c r="Z15" s="42"/>
      <c r="AB15" s="42"/>
      <c r="AD15" s="42"/>
      <c r="AF15" s="42"/>
      <c r="AH15" s="42"/>
      <c r="AJ15" s="42"/>
      <c r="AL15" s="42"/>
      <c r="AN15" s="42"/>
      <c r="AP15" s="42"/>
      <c r="AU15" s="15"/>
    </row>
    <row r="16" spans="1:53" s="14" customFormat="1" ht="15.75">
      <c r="B16" s="1" t="s">
        <v>107</v>
      </c>
      <c r="I16" s="42"/>
      <c r="K16" s="15"/>
      <c r="M16" s="76"/>
      <c r="O16" s="42"/>
      <c r="Q16" s="42"/>
      <c r="S16" s="42"/>
      <c r="U16" s="42"/>
      <c r="W16" s="42"/>
      <c r="Y16" s="42"/>
      <c r="Z16" s="42"/>
      <c r="AB16" s="42"/>
      <c r="AD16" s="42"/>
      <c r="AF16" s="42"/>
      <c r="AH16" s="42"/>
      <c r="AJ16" s="42"/>
      <c r="AL16" s="42"/>
      <c r="AN16" s="42"/>
      <c r="AP16" s="42"/>
      <c r="AU16" s="15"/>
    </row>
    <row r="17" spans="1:67" s="14" customFormat="1">
      <c r="C17" s="14" t="s">
        <v>19</v>
      </c>
      <c r="E17" s="14">
        <v>2018</v>
      </c>
      <c r="I17" s="44" t="s">
        <v>26</v>
      </c>
      <c r="K17" s="36">
        <f t="shared" ref="K17:AN17" si="0">1000*K11/K14</f>
        <v>69.756792118833218</v>
      </c>
      <c r="M17" s="74">
        <f t="shared" si="0"/>
        <v>105.17849521334303</v>
      </c>
      <c r="N17" s="24">
        <f t="shared" si="0"/>
        <v>373.38145309224319</v>
      </c>
      <c r="O17" s="49">
        <f t="shared" si="0"/>
        <v>63.512675447289247</v>
      </c>
      <c r="P17" s="24">
        <f t="shared" si="0"/>
        <v>93.43091891891892</v>
      </c>
      <c r="Q17" s="49">
        <f t="shared" si="0"/>
        <v>134.5292767662423</v>
      </c>
      <c r="R17" s="24">
        <f t="shared" si="0"/>
        <v>231.84380740624579</v>
      </c>
      <c r="S17" s="49">
        <f t="shared" si="0"/>
        <v>134.14056336720961</v>
      </c>
      <c r="T17" s="24">
        <f t="shared" si="0"/>
        <v>29.166935680014149</v>
      </c>
      <c r="U17" s="49">
        <f t="shared" si="0"/>
        <v>81.398978455102807</v>
      </c>
      <c r="V17" s="24">
        <f t="shared" si="0"/>
        <v>92.210916270254558</v>
      </c>
      <c r="W17" s="49">
        <f t="shared" si="0"/>
        <v>16.290840644290068</v>
      </c>
      <c r="X17" s="24">
        <f t="shared" si="0"/>
        <v>105.70633026552082</v>
      </c>
      <c r="Y17" s="49">
        <f>1000*Y11/Y14</f>
        <v>72.542902074424859</v>
      </c>
      <c r="Z17" s="49">
        <f t="shared" si="0"/>
        <v>105.1098677845856</v>
      </c>
      <c r="AA17" s="24">
        <f t="shared" si="0"/>
        <v>68.728721436498674</v>
      </c>
      <c r="AB17" s="49">
        <f t="shared" si="0"/>
        <v>200.71937305864549</v>
      </c>
      <c r="AC17" s="24">
        <f t="shared" si="0"/>
        <v>43.01532924961716</v>
      </c>
      <c r="AD17" s="51">
        <f t="shared" si="0"/>
        <v>232.79389017788091</v>
      </c>
      <c r="AE17" s="24">
        <f t="shared" si="0"/>
        <v>29.962964110348675</v>
      </c>
      <c r="AF17" s="49">
        <f t="shared" si="0"/>
        <v>1505.382911392405</v>
      </c>
      <c r="AG17" s="24">
        <f t="shared" si="0"/>
        <v>413.74281173240854</v>
      </c>
      <c r="AH17" s="49">
        <f t="shared" si="0"/>
        <v>121.45349792922589</v>
      </c>
      <c r="AI17" s="24">
        <f t="shared" si="0"/>
        <v>111.74966880225865</v>
      </c>
      <c r="AJ17" s="49">
        <f t="shared" si="0"/>
        <v>81.926880628882813</v>
      </c>
      <c r="AK17" s="24">
        <f t="shared" si="0"/>
        <v>22.474693256642865</v>
      </c>
      <c r="AL17" s="49">
        <f t="shared" si="0"/>
        <v>101.95235041681052</v>
      </c>
      <c r="AM17" s="24">
        <f t="shared" si="0"/>
        <v>111.00479249515655</v>
      </c>
      <c r="AN17" s="49">
        <f t="shared" si="0"/>
        <v>271.81353457468623</v>
      </c>
      <c r="AO17" s="24"/>
      <c r="AP17" s="49">
        <f>1000*AP11/AP14</f>
        <v>114.61135356038815</v>
      </c>
      <c r="AQ17" s="24">
        <f>1000*AQ11/AQ14</f>
        <v>122.79298386975542</v>
      </c>
      <c r="AT17" s="24">
        <f>(AT11/AT14)*1000</f>
        <v>69.756792118833218</v>
      </c>
      <c r="AU17" s="36">
        <f>(AU11/AU14)*1000</f>
        <v>281.92927082787418</v>
      </c>
      <c r="AV17" s="36">
        <f>(AV11/AV14)*1000</f>
        <v>272.47785251414979</v>
      </c>
      <c r="BA17" s="14">
        <f>RANK(K17,K17:AN17,1)</f>
        <v>8</v>
      </c>
    </row>
    <row r="18" spans="1:67" s="14" customFormat="1" ht="6" customHeight="1">
      <c r="I18" s="42"/>
      <c r="K18" s="15"/>
      <c r="M18" s="76"/>
      <c r="O18" s="42"/>
      <c r="Q18" s="42"/>
      <c r="S18" s="42"/>
      <c r="U18" s="42"/>
      <c r="W18" s="42"/>
      <c r="Y18" s="42"/>
      <c r="Z18" s="42"/>
      <c r="AB18" s="42"/>
      <c r="AD18" s="42"/>
      <c r="AF18" s="42"/>
      <c r="AH18" s="42"/>
      <c r="AJ18" s="42"/>
      <c r="AL18" s="42"/>
      <c r="AN18" s="42"/>
      <c r="AP18" s="42"/>
    </row>
    <row r="19" spans="1:67" s="14" customFormat="1" ht="15.75">
      <c r="A19" s="1" t="s">
        <v>40</v>
      </c>
      <c r="I19" s="42"/>
      <c r="L19" s="15"/>
      <c r="M19" s="76"/>
      <c r="O19" s="42"/>
      <c r="Q19" s="42"/>
      <c r="S19" s="42"/>
      <c r="U19" s="42"/>
      <c r="W19" s="42"/>
      <c r="Y19" s="42"/>
      <c r="Z19" s="42"/>
      <c r="AB19" s="42"/>
      <c r="AD19" s="42"/>
      <c r="AF19" s="42"/>
      <c r="AH19" s="42"/>
      <c r="AJ19" s="42"/>
      <c r="AL19" s="42"/>
      <c r="AN19" s="42"/>
      <c r="AP19" s="42"/>
    </row>
    <row r="20" spans="1:67" s="14" customFormat="1" ht="6" customHeight="1">
      <c r="A20" s="1"/>
      <c r="I20" s="42"/>
      <c r="K20" s="15"/>
      <c r="M20" s="76"/>
      <c r="O20" s="42"/>
      <c r="Q20" s="42"/>
      <c r="S20" s="42"/>
      <c r="U20" s="42"/>
      <c r="W20" s="42"/>
      <c r="Y20" s="42"/>
      <c r="Z20" s="42"/>
      <c r="AB20" s="42"/>
      <c r="AD20" s="42"/>
      <c r="AF20" s="42"/>
      <c r="AH20" s="42"/>
      <c r="AJ20" s="42"/>
      <c r="AL20" s="42"/>
      <c r="AN20" s="42"/>
      <c r="AP20" s="42"/>
    </row>
    <row r="21" spans="1:67" s="14" customFormat="1" ht="15" customHeight="1">
      <c r="B21" s="1" t="s">
        <v>20</v>
      </c>
      <c r="I21" s="42"/>
      <c r="K21" s="15"/>
      <c r="M21" s="76"/>
      <c r="O21" s="42"/>
      <c r="Q21" s="42"/>
      <c r="S21" s="42"/>
      <c r="U21" s="42"/>
      <c r="W21" s="42"/>
      <c r="Y21" s="42"/>
      <c r="Z21" s="42"/>
      <c r="AB21" s="42"/>
      <c r="AD21" s="42"/>
      <c r="AF21" s="42"/>
      <c r="AH21" s="42"/>
      <c r="AJ21" s="42"/>
      <c r="AL21" s="42"/>
      <c r="AN21" s="42"/>
      <c r="AP21" s="59"/>
      <c r="AZ21" s="1115" t="s">
        <v>221</v>
      </c>
    </row>
    <row r="22" spans="1:67" s="14" customFormat="1" ht="15.75" customHeight="1">
      <c r="C22" s="119" t="s">
        <v>21</v>
      </c>
      <c r="D22" s="119"/>
      <c r="E22" s="119">
        <v>2017</v>
      </c>
      <c r="F22" s="119"/>
      <c r="G22" s="120"/>
      <c r="H22" s="119"/>
      <c r="I22" s="121" t="s">
        <v>126</v>
      </c>
      <c r="J22" s="105"/>
      <c r="K22" s="123">
        <v>476.4</v>
      </c>
      <c r="L22" s="105"/>
      <c r="M22" s="112">
        <v>1743</v>
      </c>
      <c r="N22" s="113">
        <v>1763</v>
      </c>
      <c r="O22" s="114">
        <v>734</v>
      </c>
      <c r="P22" s="113">
        <v>257</v>
      </c>
      <c r="Q22" s="114">
        <v>1240</v>
      </c>
      <c r="R22" s="113">
        <v>13009</v>
      </c>
      <c r="S22" s="114">
        <v>1308</v>
      </c>
      <c r="T22" s="113">
        <v>154</v>
      </c>
      <c r="U22" s="114">
        <v>2133.1999999999998</v>
      </c>
      <c r="V22" s="113">
        <v>15523</v>
      </c>
      <c r="W22" s="114">
        <v>893</v>
      </c>
      <c r="X22" s="113">
        <v>11618</v>
      </c>
      <c r="Y22" s="114">
        <v>1310</v>
      </c>
      <c r="Z22" s="114">
        <v>1936.6</v>
      </c>
      <c r="AA22" s="113">
        <v>916</v>
      </c>
      <c r="AB22" s="114">
        <v>6943.2</v>
      </c>
      <c r="AC22" s="113">
        <v>324</v>
      </c>
      <c r="AD22" s="114">
        <v>165</v>
      </c>
      <c r="AE22" s="166" t="s">
        <v>142</v>
      </c>
      <c r="AF22" s="167" t="s">
        <v>142</v>
      </c>
      <c r="AG22" s="113">
        <v>2758</v>
      </c>
      <c r="AH22" s="114">
        <v>1640</v>
      </c>
      <c r="AI22" s="113">
        <v>3065</v>
      </c>
      <c r="AJ22" s="114">
        <v>763</v>
      </c>
      <c r="AK22" s="113">
        <v>2132</v>
      </c>
      <c r="AL22" s="114">
        <v>783</v>
      </c>
      <c r="AM22" s="113">
        <v>482.3</v>
      </c>
      <c r="AN22" s="114">
        <v>3803.1</v>
      </c>
      <c r="AO22" s="115"/>
      <c r="AP22" s="114">
        <v>77396.400000000009</v>
      </c>
      <c r="AQ22" s="113">
        <v>67772.5</v>
      </c>
      <c r="AR22" s="105"/>
      <c r="AS22" s="105"/>
      <c r="AT22" s="153">
        <v>461</v>
      </c>
      <c r="AU22" s="132">
        <v>3688</v>
      </c>
      <c r="AV22" s="152">
        <f>AU22+114.9</f>
        <v>3802.9</v>
      </c>
      <c r="AX22" s="25">
        <v>-4483</v>
      </c>
      <c r="AZ22" s="1117"/>
    </row>
    <row r="23" spans="1:67" s="14" customFormat="1" ht="15.75">
      <c r="C23" s="119" t="s">
        <v>47</v>
      </c>
      <c r="D23" s="119"/>
      <c r="E23" s="119">
        <v>2017</v>
      </c>
      <c r="F23" s="119"/>
      <c r="G23" s="120"/>
      <c r="H23" s="119"/>
      <c r="I23" s="122" t="s">
        <v>26</v>
      </c>
      <c r="J23" s="105"/>
      <c r="K23" s="117">
        <f>K22/K14</f>
        <v>6.110982836912183</v>
      </c>
      <c r="L23" s="107"/>
      <c r="M23" s="116">
        <f>M22/M14</f>
        <v>20.779932998724352</v>
      </c>
      <c r="N23" s="117">
        <f t="shared" ref="N23:AN23" si="1">N22/N14</f>
        <v>57.750262054507338</v>
      </c>
      <c r="O23" s="118">
        <f t="shared" si="1"/>
        <v>6.6124934685861518</v>
      </c>
      <c r="P23" s="117">
        <f t="shared" si="1"/>
        <v>27.783783783783782</v>
      </c>
      <c r="Q23" s="118">
        <f t="shared" si="1"/>
        <v>15.722472992848811</v>
      </c>
      <c r="R23" s="117">
        <f t="shared" si="1"/>
        <v>36.429163492988039</v>
      </c>
      <c r="S23" s="118">
        <f t="shared" si="1"/>
        <v>30.349436168731728</v>
      </c>
      <c r="T23" s="117">
        <f t="shared" si="1"/>
        <v>3.4050456585667854</v>
      </c>
      <c r="U23" s="118">
        <f t="shared" si="1"/>
        <v>16.165872215949133</v>
      </c>
      <c r="V23" s="117">
        <f t="shared" si="1"/>
        <v>30.678047498305325</v>
      </c>
      <c r="W23" s="118">
        <f t="shared" si="1"/>
        <v>2.6387407326420798</v>
      </c>
      <c r="X23" s="117">
        <f t="shared" si="1"/>
        <v>18.350014925773888</v>
      </c>
      <c r="Y23" s="118">
        <f>Y22/Y14</f>
        <v>23.14733010566491</v>
      </c>
      <c r="Z23" s="118">
        <f t="shared" si="1"/>
        <v>20.816940771794044</v>
      </c>
      <c r="AA23" s="117">
        <f t="shared" si="1"/>
        <v>13.033209072024132</v>
      </c>
      <c r="AB23" s="118">
        <f t="shared" si="1"/>
        <v>23.041389014256509</v>
      </c>
      <c r="AC23" s="117">
        <f t="shared" si="1"/>
        <v>4.9617151607963246</v>
      </c>
      <c r="AD23" s="118">
        <f t="shared" si="1"/>
        <v>63.805104408352669</v>
      </c>
      <c r="AE23" s="166">
        <v>0</v>
      </c>
      <c r="AF23" s="167">
        <v>0</v>
      </c>
      <c r="AG23" s="117">
        <f t="shared" si="1"/>
        <v>66.416221162645087</v>
      </c>
      <c r="AH23" s="118">
        <f t="shared" si="1"/>
        <v>5.2448950221468893</v>
      </c>
      <c r="AI23" s="117">
        <f t="shared" si="1"/>
        <v>33.282658269084592</v>
      </c>
      <c r="AJ23" s="118">
        <f t="shared" si="1"/>
        <v>3.2006241846378432</v>
      </c>
      <c r="AK23" s="117">
        <f t="shared" si="1"/>
        <v>4.7346739359753052</v>
      </c>
      <c r="AL23" s="118">
        <f t="shared" si="1"/>
        <v>38.622798796428746</v>
      </c>
      <c r="AM23" s="117">
        <f t="shared" si="1"/>
        <v>9.8358315488936476</v>
      </c>
      <c r="AN23" s="118">
        <f t="shared" si="1"/>
        <v>15.597982117955869</v>
      </c>
      <c r="AO23" s="117"/>
      <c r="AP23" s="118">
        <f>AP22/AP14</f>
        <v>17.312384522813598</v>
      </c>
      <c r="AQ23" s="117">
        <f>AQ22/AQ14</f>
        <v>20.376272154657926</v>
      </c>
      <c r="AR23" s="107"/>
      <c r="AS23" s="107"/>
      <c r="AT23" s="127">
        <f>K23</f>
        <v>6.110982836912183</v>
      </c>
      <c r="AU23" s="22">
        <f>AU22/AU14</f>
        <v>16.106772880526876</v>
      </c>
      <c r="AV23" s="22">
        <f>AV22/AV14</f>
        <v>15.597161840702158</v>
      </c>
      <c r="AZ23" s="1117"/>
      <c r="BA23" s="14">
        <f>RANK(K23,K23:AN23,1)</f>
        <v>9</v>
      </c>
    </row>
    <row r="24" spans="1:67" s="14" customFormat="1" ht="6" customHeight="1">
      <c r="I24" s="42"/>
      <c r="K24" s="15"/>
      <c r="M24" s="76"/>
      <c r="O24" s="42"/>
      <c r="Q24" s="42"/>
      <c r="S24" s="42"/>
      <c r="U24" s="42"/>
      <c r="W24" s="42"/>
      <c r="Y24" s="42"/>
      <c r="Z24" s="42"/>
      <c r="AB24" s="42"/>
      <c r="AD24" s="42"/>
      <c r="AF24" s="42"/>
      <c r="AH24" s="42"/>
      <c r="AJ24" s="42"/>
      <c r="AL24" s="42"/>
      <c r="AN24" s="42"/>
      <c r="AP24" s="42"/>
      <c r="AZ24" s="1117"/>
    </row>
    <row r="25" spans="1:67" s="14" customFormat="1" ht="15.75">
      <c r="B25" s="1" t="s">
        <v>108</v>
      </c>
      <c r="I25" s="42"/>
      <c r="K25" s="15"/>
      <c r="M25" s="76"/>
      <c r="O25" s="42"/>
      <c r="Q25" s="42"/>
      <c r="S25" s="42"/>
      <c r="U25" s="42"/>
      <c r="W25" s="42"/>
      <c r="Y25" s="42"/>
      <c r="Z25" s="42"/>
      <c r="AB25" s="42"/>
      <c r="AD25" s="42"/>
      <c r="AF25" s="42"/>
      <c r="AH25" s="42"/>
      <c r="AJ25" s="42"/>
      <c r="AL25" s="42"/>
      <c r="AN25" s="42"/>
      <c r="AP25" s="42"/>
      <c r="AZ25" s="1117"/>
    </row>
    <row r="26" spans="1:67" s="129" customFormat="1" ht="27" customHeight="1">
      <c r="A26" s="119"/>
      <c r="B26" s="119"/>
      <c r="C26" s="125" t="s">
        <v>51</v>
      </c>
      <c r="D26" s="119"/>
      <c r="E26" s="119">
        <v>2017</v>
      </c>
      <c r="F26" s="119"/>
      <c r="G26" s="1124" t="s">
        <v>216</v>
      </c>
      <c r="H26" s="119"/>
      <c r="I26" s="121" t="s">
        <v>127</v>
      </c>
      <c r="J26" s="119"/>
      <c r="K26" s="126">
        <v>28.729500000000002</v>
      </c>
      <c r="L26" s="119"/>
      <c r="M26" s="116">
        <v>36.242563000000004</v>
      </c>
      <c r="N26" s="117">
        <v>16.341000000000001</v>
      </c>
      <c r="O26" s="118">
        <v>7.69</v>
      </c>
      <c r="P26" s="117">
        <v>4.8040000000000003</v>
      </c>
      <c r="Q26" s="118">
        <v>55.739699999999999</v>
      </c>
      <c r="R26" s="117">
        <v>229.89</v>
      </c>
      <c r="S26" s="118">
        <v>74.674000000000007</v>
      </c>
      <c r="T26" s="117">
        <v>16.603779000000003</v>
      </c>
      <c r="U26" s="118">
        <v>42.005800000000001</v>
      </c>
      <c r="V26" s="117">
        <v>165.608</v>
      </c>
      <c r="W26" s="118">
        <v>26.916</v>
      </c>
      <c r="X26" s="117">
        <v>398.54599999999999</v>
      </c>
      <c r="Y26" s="118">
        <v>17.8</v>
      </c>
      <c r="Z26" s="118">
        <v>31.992999999999999</v>
      </c>
      <c r="AA26" s="117">
        <v>18.425999999999998</v>
      </c>
      <c r="AB26" s="118">
        <v>182.97620000000001</v>
      </c>
      <c r="AC26" s="117">
        <v>21.242000000000001</v>
      </c>
      <c r="AD26" s="118">
        <v>2.8889999999999998</v>
      </c>
      <c r="AE26" s="117">
        <v>7.13</v>
      </c>
      <c r="AF26" s="118">
        <v>2.85548</v>
      </c>
      <c r="AG26" s="117">
        <v>13.167</v>
      </c>
      <c r="AH26" s="118">
        <v>156.822</v>
      </c>
      <c r="AI26" s="117">
        <v>14.3129152284189</v>
      </c>
      <c r="AJ26" s="118">
        <v>52.786999999999999</v>
      </c>
      <c r="AK26" s="117">
        <v>172.89099999999999</v>
      </c>
      <c r="AL26" s="118">
        <v>20.05095</v>
      </c>
      <c r="AM26" s="117">
        <v>18.023768</v>
      </c>
      <c r="AN26" s="118">
        <v>86.17622999999999</v>
      </c>
      <c r="AO26" s="127"/>
      <c r="AP26" s="128">
        <v>1894.6033852284188</v>
      </c>
      <c r="AQ26" s="123">
        <v>1481.0617082284189</v>
      </c>
      <c r="AR26" s="119"/>
      <c r="AS26" s="119"/>
      <c r="AT26" s="126">
        <f>K26</f>
        <v>28.729500000000002</v>
      </c>
      <c r="AU26" s="127">
        <v>165.077</v>
      </c>
      <c r="AV26" s="127">
        <f>AU26+10.0305</f>
        <v>175.10749999999999</v>
      </c>
      <c r="AW26" s="119"/>
      <c r="AX26" s="127">
        <v>-980.79300000000012</v>
      </c>
      <c r="AY26" s="119"/>
      <c r="AZ26" s="1117"/>
      <c r="BA26" s="119"/>
      <c r="BB26" s="119"/>
      <c r="BC26" s="119"/>
      <c r="BD26" s="119"/>
      <c r="BE26" s="119"/>
      <c r="BF26" s="119"/>
      <c r="BG26" s="119"/>
      <c r="BH26" s="119"/>
      <c r="BI26" s="119"/>
      <c r="BJ26" s="119"/>
      <c r="BK26" s="119"/>
      <c r="BL26" s="119"/>
      <c r="BM26" s="119"/>
      <c r="BN26" s="119"/>
      <c r="BO26" s="119"/>
    </row>
    <row r="27" spans="1:67" s="119" customFormat="1">
      <c r="C27" s="119" t="s">
        <v>47</v>
      </c>
      <c r="E27" s="119">
        <v>2017</v>
      </c>
      <c r="G27" s="1124"/>
      <c r="I27" s="122" t="s">
        <v>26</v>
      </c>
      <c r="K27" s="115">
        <f>1000*K26/K14</f>
        <v>368.52535980912802</v>
      </c>
      <c r="L27" s="115"/>
      <c r="M27" s="130">
        <f>1000*M26/M14</f>
        <v>432.08148642687684</v>
      </c>
      <c r="N27" s="115">
        <f t="shared" ref="N27:AN27" si="2">1000*N26/N14</f>
        <v>535.2790880503145</v>
      </c>
      <c r="O27" s="131">
        <f t="shared" si="2"/>
        <v>69.278031026468</v>
      </c>
      <c r="P27" s="115">
        <f t="shared" si="2"/>
        <v>519.35135135135135</v>
      </c>
      <c r="Q27" s="131">
        <f t="shared" si="2"/>
        <v>706.74671603185072</v>
      </c>
      <c r="R27" s="115">
        <f t="shared" si="2"/>
        <v>643.76204131009456</v>
      </c>
      <c r="S27" s="131">
        <f t="shared" si="2"/>
        <v>1732.6558076940926</v>
      </c>
      <c r="T27" s="115">
        <f t="shared" si="2"/>
        <v>367.12094545293746</v>
      </c>
      <c r="U27" s="131">
        <f t="shared" si="2"/>
        <v>318.32945580757371</v>
      </c>
      <c r="V27" s="115">
        <f t="shared" si="2"/>
        <v>327.2904780067866</v>
      </c>
      <c r="W27" s="131">
        <f t="shared" si="2"/>
        <v>79.534541500329482</v>
      </c>
      <c r="X27" s="115">
        <f t="shared" si="2"/>
        <v>629.48227307690479</v>
      </c>
      <c r="Y27" s="131">
        <f t="shared" si="2"/>
        <v>314.52097395483622</v>
      </c>
      <c r="Z27" s="131">
        <f t="shared" si="2"/>
        <v>343.89981726324839</v>
      </c>
      <c r="AA27" s="115">
        <f t="shared" si="2"/>
        <v>262.17239122392647</v>
      </c>
      <c r="AB27" s="131">
        <f t="shared" si="2"/>
        <v>607.21652905726501</v>
      </c>
      <c r="AC27" s="115">
        <f t="shared" si="2"/>
        <v>325.29862174578869</v>
      </c>
      <c r="AD27" s="131">
        <f t="shared" si="2"/>
        <v>1117.1693735498841</v>
      </c>
      <c r="AE27" s="115">
        <f t="shared" si="2"/>
        <v>110.44161154912561</v>
      </c>
      <c r="AF27" s="131">
        <f t="shared" si="2"/>
        <v>9036.32911392405</v>
      </c>
      <c r="AG27" s="115">
        <f t="shared" si="2"/>
        <v>317.0784568703944</v>
      </c>
      <c r="AH27" s="131">
        <f t="shared" si="2"/>
        <v>501.53349217263377</v>
      </c>
      <c r="AI27" s="115">
        <f t="shared" si="2"/>
        <v>155.42312116862743</v>
      </c>
      <c r="AJ27" s="131">
        <f t="shared" si="2"/>
        <v>221.43033923260526</v>
      </c>
      <c r="AK27" s="115">
        <f t="shared" si="2"/>
        <v>383.95052132490923</v>
      </c>
      <c r="AL27" s="131">
        <f t="shared" si="2"/>
        <v>989.04700833621075</v>
      </c>
      <c r="AM27" s="115">
        <f t="shared" si="2"/>
        <v>367.56945039257675</v>
      </c>
      <c r="AN27" s="131">
        <f t="shared" si="2"/>
        <v>353.44200639816256</v>
      </c>
      <c r="AO27" s="115"/>
      <c r="AP27" s="131">
        <f>1000*AP26/AP14</f>
        <v>423.79364315780475</v>
      </c>
      <c r="AQ27" s="115">
        <f>1000*AQ26/AQ14</f>
        <v>445.29147433995843</v>
      </c>
      <c r="AR27" s="115"/>
      <c r="AS27" s="115"/>
      <c r="AT27" s="115">
        <f>K27</f>
        <v>368.52535980912802</v>
      </c>
      <c r="AU27" s="115">
        <f>1000*AU26/AU14</f>
        <v>720.94841290638158</v>
      </c>
      <c r="AV27" s="115">
        <f>1000*AV26/AV14</f>
        <v>718.18349602165529</v>
      </c>
      <c r="AZ27" s="1117"/>
      <c r="BA27" s="119">
        <f>RANK(K27,K27:AN27,1)</f>
        <v>16</v>
      </c>
    </row>
    <row r="28" spans="1:67" s="14" customFormat="1" ht="6" customHeight="1">
      <c r="I28" s="42"/>
      <c r="K28" s="15"/>
      <c r="M28" s="76"/>
      <c r="O28" s="42"/>
      <c r="Q28" s="42"/>
      <c r="S28" s="42"/>
      <c r="U28" s="42"/>
      <c r="W28" s="42"/>
      <c r="Y28" s="42"/>
      <c r="Z28" s="42"/>
      <c r="AB28" s="42"/>
      <c r="AD28" s="42"/>
      <c r="AF28" s="42"/>
      <c r="AH28" s="42"/>
      <c r="AJ28" s="42"/>
      <c r="AL28" s="42"/>
      <c r="AN28" s="42"/>
      <c r="AP28" s="42"/>
      <c r="AU28" s="15"/>
    </row>
    <row r="29" spans="1:67" s="14" customFormat="1" ht="15.75">
      <c r="B29" s="1" t="s">
        <v>22</v>
      </c>
      <c r="I29" s="42"/>
      <c r="K29" s="15"/>
      <c r="M29" s="76"/>
      <c r="O29" s="42"/>
      <c r="Q29" s="42"/>
      <c r="S29" s="42"/>
      <c r="U29" s="42"/>
      <c r="W29" s="42"/>
      <c r="Y29" s="42"/>
      <c r="Z29" s="42"/>
      <c r="AB29" s="42"/>
      <c r="AD29" s="42"/>
      <c r="AF29" s="42"/>
      <c r="AH29" s="42"/>
      <c r="AJ29" s="42"/>
      <c r="AL29" s="42"/>
      <c r="AN29" s="42"/>
      <c r="AP29" s="42"/>
      <c r="AU29" s="15"/>
      <c r="AZ29" s="1125" t="s">
        <v>362</v>
      </c>
    </row>
    <row r="30" spans="1:67" s="14" customFormat="1">
      <c r="C30" s="14" t="s">
        <v>21</v>
      </c>
      <c r="E30" s="119">
        <v>2017</v>
      </c>
      <c r="I30" s="42" t="s">
        <v>128</v>
      </c>
      <c r="J30" s="105"/>
      <c r="K30" s="132">
        <v>2819</v>
      </c>
      <c r="L30" s="105"/>
      <c r="M30" s="84">
        <v>4953</v>
      </c>
      <c r="N30" s="25">
        <v>3605</v>
      </c>
      <c r="O30" s="51">
        <v>4030</v>
      </c>
      <c r="P30" s="36">
        <v>0</v>
      </c>
      <c r="Q30" s="51">
        <v>9408</v>
      </c>
      <c r="R30" s="25">
        <v>39219</v>
      </c>
      <c r="S30" s="51">
        <v>2487</v>
      </c>
      <c r="T30" s="25">
        <v>1033</v>
      </c>
      <c r="U30" s="51">
        <v>2240</v>
      </c>
      <c r="V30" s="25">
        <v>15904</v>
      </c>
      <c r="W30" s="51">
        <v>5926</v>
      </c>
      <c r="X30" s="25">
        <v>28120</v>
      </c>
      <c r="Y30" s="51">
        <v>2605</v>
      </c>
      <c r="Z30" s="51">
        <v>7751.7</v>
      </c>
      <c r="AA30" s="25">
        <v>1894</v>
      </c>
      <c r="AB30" s="51">
        <v>17105</v>
      </c>
      <c r="AC30" s="25">
        <v>1911</v>
      </c>
      <c r="AD30" s="51">
        <v>275</v>
      </c>
      <c r="AE30" s="25">
        <v>1860</v>
      </c>
      <c r="AF30" s="81">
        <v>0</v>
      </c>
      <c r="AG30" s="25">
        <v>3055</v>
      </c>
      <c r="AH30" s="51">
        <v>18513</v>
      </c>
      <c r="AI30" s="25">
        <v>2546</v>
      </c>
      <c r="AJ30" s="51">
        <v>10766</v>
      </c>
      <c r="AK30" s="25">
        <v>10874</v>
      </c>
      <c r="AL30" s="51">
        <v>1209</v>
      </c>
      <c r="AM30" s="25">
        <v>3626</v>
      </c>
      <c r="AN30" s="51">
        <v>16320</v>
      </c>
      <c r="AO30" s="25"/>
      <c r="AP30" s="51">
        <v>217235.7</v>
      </c>
      <c r="AQ30" s="25">
        <v>154523</v>
      </c>
      <c r="AR30" s="109"/>
      <c r="AS30" s="109"/>
      <c r="AT30" s="25">
        <f>K30</f>
        <v>2819</v>
      </c>
      <c r="AU30" s="25">
        <v>15878</v>
      </c>
      <c r="AV30" s="132">
        <f>AU30+(211*1.61)</f>
        <v>16217.71</v>
      </c>
      <c r="AX30" s="25">
        <v>-61723</v>
      </c>
      <c r="AZ30" s="1125"/>
    </row>
    <row r="31" spans="1:67" s="14" customFormat="1">
      <c r="C31" s="14" t="s">
        <v>47</v>
      </c>
      <c r="E31" s="119">
        <v>2017</v>
      </c>
      <c r="I31" s="44" t="s">
        <v>26</v>
      </c>
      <c r="K31" s="22">
        <f>K30/K14</f>
        <v>36.160496677698248</v>
      </c>
      <c r="L31" s="22"/>
      <c r="M31" s="75">
        <f>M30/M14</f>
        <v>59.049344889662486</v>
      </c>
      <c r="N31" s="22">
        <f t="shared" ref="N31:AN31" si="3">N30/N14</f>
        <v>118.08831236897275</v>
      </c>
      <c r="O31" s="50">
        <f t="shared" si="3"/>
        <v>36.305652150411703</v>
      </c>
      <c r="P31" s="36" t="s">
        <v>142</v>
      </c>
      <c r="Q31" s="50">
        <f t="shared" si="3"/>
        <v>119.2879241263884</v>
      </c>
      <c r="R31" s="22">
        <f t="shared" si="3"/>
        <v>109.82514897620861</v>
      </c>
      <c r="S31" s="50">
        <f t="shared" si="3"/>
        <v>57.705693999721568</v>
      </c>
      <c r="T31" s="22">
        <f t="shared" si="3"/>
        <v>22.840338735710972</v>
      </c>
      <c r="U31" s="50">
        <f t="shared" si="3"/>
        <v>16.975226778420243</v>
      </c>
      <c r="V31" s="22">
        <f t="shared" si="3"/>
        <v>31.431016389425231</v>
      </c>
      <c r="W31" s="50">
        <f t="shared" si="3"/>
        <v>17.510837157488204</v>
      </c>
      <c r="X31" s="22">
        <f t="shared" si="3"/>
        <v>44.414048864930429</v>
      </c>
      <c r="Y31" s="50">
        <f t="shared" si="3"/>
        <v>46.029614446761137</v>
      </c>
      <c r="Z31" s="50">
        <f t="shared" si="3"/>
        <v>83.324733956788137</v>
      </c>
      <c r="AA31" s="22">
        <f t="shared" si="3"/>
        <v>26.948578583421078</v>
      </c>
      <c r="AB31" s="50">
        <f t="shared" si="3"/>
        <v>56.763878195768179</v>
      </c>
      <c r="AC31" s="22">
        <f t="shared" si="3"/>
        <v>29.264931087289433</v>
      </c>
      <c r="AD31" s="50">
        <f t="shared" si="3"/>
        <v>106.34184068058778</v>
      </c>
      <c r="AE31" s="22">
        <f t="shared" si="3"/>
        <v>28.810855186728421</v>
      </c>
      <c r="AF31" s="81" t="s">
        <v>142</v>
      </c>
      <c r="AG31" s="22">
        <f t="shared" si="3"/>
        <v>73.56836680633819</v>
      </c>
      <c r="AH31" s="50">
        <f t="shared" si="3"/>
        <v>59.20654972256424</v>
      </c>
      <c r="AI31" s="22">
        <f t="shared" si="3"/>
        <v>27.646867195135194</v>
      </c>
      <c r="AJ31" s="50">
        <f t="shared" si="3"/>
        <v>45.161100880486259</v>
      </c>
      <c r="AK31" s="22">
        <f t="shared" si="3"/>
        <v>24.148613686583239</v>
      </c>
      <c r="AL31" s="50">
        <f t="shared" si="3"/>
        <v>59.63596902283826</v>
      </c>
      <c r="AM31" s="22">
        <f t="shared" si="3"/>
        <v>73.947180585296223</v>
      </c>
      <c r="AN31" s="50">
        <f t="shared" si="3"/>
        <v>66.934623902879181</v>
      </c>
      <c r="AO31" s="22"/>
      <c r="AP31" s="50">
        <f>AP30/AP14</f>
        <v>48.592285564736571</v>
      </c>
      <c r="AQ31" s="22">
        <f>AQ30/AQ14</f>
        <v>46.458411629410257</v>
      </c>
      <c r="AR31" s="22"/>
      <c r="AS31" s="22"/>
      <c r="AT31" s="22">
        <f>AT30/AT14</f>
        <v>36.160496677698248</v>
      </c>
      <c r="AU31" s="22">
        <f>AU30/AU14</f>
        <v>69.344723372290062</v>
      </c>
      <c r="AV31" s="22">
        <f>AV30/AV14</f>
        <v>66.515093101468295</v>
      </c>
      <c r="AZ31" s="1125"/>
      <c r="BA31" s="14">
        <f>RANK(K31,K31:AN31,1)</f>
        <v>10</v>
      </c>
    </row>
    <row r="32" spans="1:67" s="14" customFormat="1" ht="6" customHeight="1">
      <c r="I32" s="42"/>
      <c r="K32" s="15"/>
      <c r="M32" s="76"/>
      <c r="O32" s="42"/>
      <c r="Q32" s="42"/>
      <c r="S32" s="42"/>
      <c r="U32" s="42"/>
      <c r="W32" s="42"/>
      <c r="Y32" s="42"/>
      <c r="Z32" s="42"/>
      <c r="AB32" s="42"/>
      <c r="AD32" s="42"/>
      <c r="AF32" s="42"/>
      <c r="AH32" s="42"/>
      <c r="AJ32" s="42"/>
      <c r="AL32" s="42"/>
      <c r="AN32" s="42"/>
      <c r="AP32" s="42"/>
      <c r="AU32" s="15"/>
    </row>
    <row r="33" spans="1:53" s="14" customFormat="1" ht="15.75">
      <c r="B33" s="1" t="s">
        <v>23</v>
      </c>
      <c r="I33" s="42"/>
      <c r="K33" s="15"/>
      <c r="M33" s="76"/>
      <c r="O33" s="42"/>
      <c r="Q33" s="42"/>
      <c r="S33" s="42"/>
      <c r="U33" s="42"/>
      <c r="W33" s="42"/>
      <c r="Y33" s="42"/>
      <c r="Z33" s="42"/>
      <c r="AB33" s="42"/>
      <c r="AD33" s="42"/>
      <c r="AF33" s="42"/>
      <c r="AH33" s="42"/>
      <c r="AJ33" s="42"/>
      <c r="AL33" s="42"/>
      <c r="AN33" s="42"/>
      <c r="AP33" s="42"/>
      <c r="AU33" s="15"/>
      <c r="AZ33" s="1115" t="s">
        <v>296</v>
      </c>
    </row>
    <row r="34" spans="1:53" s="14" customFormat="1">
      <c r="C34" s="14" t="s">
        <v>0</v>
      </c>
      <c r="E34" s="119">
        <v>2017</v>
      </c>
      <c r="G34" s="21"/>
      <c r="I34" s="42" t="s">
        <v>129</v>
      </c>
      <c r="K34" s="744">
        <v>2.4620000000000002</v>
      </c>
      <c r="M34" s="73">
        <v>4.899</v>
      </c>
      <c r="N34" s="17">
        <v>5.7990000000000004</v>
      </c>
      <c r="O34" s="52">
        <v>2.7706</v>
      </c>
      <c r="P34" s="17">
        <v>0.526617</v>
      </c>
      <c r="Q34" s="52">
        <v>5.5380000000000003</v>
      </c>
      <c r="R34" s="17">
        <v>46.474593999999996</v>
      </c>
      <c r="S34" s="52">
        <v>2.5299999999999998</v>
      </c>
      <c r="T34" s="17">
        <v>0.72589999999999999</v>
      </c>
      <c r="U34" s="52">
        <v>5.2826949999999995</v>
      </c>
      <c r="V34" s="17">
        <v>23.500401</v>
      </c>
      <c r="W34" s="52">
        <v>3.423</v>
      </c>
      <c r="X34" s="17">
        <v>32.006076999999998</v>
      </c>
      <c r="Y34" s="52">
        <v>1.596087</v>
      </c>
      <c r="Z34" s="52">
        <v>3.472</v>
      </c>
      <c r="AA34" s="17">
        <v>2.0874000000000001</v>
      </c>
      <c r="AB34" s="52">
        <v>38.520321000000003</v>
      </c>
      <c r="AC34" s="17">
        <v>1.357</v>
      </c>
      <c r="AD34" s="52">
        <v>0.40329999999999999</v>
      </c>
      <c r="AE34" s="17">
        <v>0.69</v>
      </c>
      <c r="AF34" s="52">
        <v>0.29166400000000003</v>
      </c>
      <c r="AG34" s="17">
        <v>8.3729999999999993</v>
      </c>
      <c r="AH34" s="52">
        <v>22.503</v>
      </c>
      <c r="AI34" s="17">
        <v>5.0594719999999995</v>
      </c>
      <c r="AJ34" s="52">
        <v>5.9980000000000002</v>
      </c>
      <c r="AK34" s="17">
        <v>4.8448229999999999</v>
      </c>
      <c r="AL34" s="52">
        <v>1.1179349999999999</v>
      </c>
      <c r="AM34" s="17">
        <v>2.2231170000000002</v>
      </c>
      <c r="AN34" s="52">
        <v>32.201073999999998</v>
      </c>
      <c r="AO34" s="17"/>
      <c r="AP34" s="52">
        <v>264.21407699999997</v>
      </c>
      <c r="AQ34" s="17">
        <v>215.404157</v>
      </c>
      <c r="AR34" s="105"/>
      <c r="AS34" s="105"/>
      <c r="AT34" s="178">
        <f>K34</f>
        <v>2.4620000000000002</v>
      </c>
      <c r="AU34" s="151">
        <v>31.200199999999999</v>
      </c>
      <c r="AV34" s="99">
        <v>32.1599</v>
      </c>
      <c r="AX34" s="20">
        <v>-36.083999999999918</v>
      </c>
      <c r="AZ34" s="1116"/>
    </row>
    <row r="35" spans="1:53" s="14" customFormat="1">
      <c r="C35" s="14" t="s">
        <v>39</v>
      </c>
      <c r="E35" s="119">
        <v>2017</v>
      </c>
      <c r="G35" s="21"/>
      <c r="I35" s="44" t="s">
        <v>26</v>
      </c>
      <c r="K35" s="26">
        <f>K34/5.314*1000</f>
        <v>463.3044787354159</v>
      </c>
      <c r="M35" s="85">
        <f>M34/M11*1000</f>
        <v>555.29944854310122</v>
      </c>
      <c r="N35" s="27">
        <f t="shared" ref="N35:AQ35" si="4">N34/N11*1000</f>
        <v>508.74717914647158</v>
      </c>
      <c r="O35" s="53">
        <f t="shared" si="4"/>
        <v>392.99101252561337</v>
      </c>
      <c r="P35" s="27">
        <f t="shared" si="4"/>
        <v>609.34397548817685</v>
      </c>
      <c r="Q35" s="53">
        <f>Q34/Q11*1000</f>
        <v>521.9577089845435</v>
      </c>
      <c r="R35" s="27">
        <f t="shared" si="4"/>
        <v>561.33922323331535</v>
      </c>
      <c r="S35" s="53">
        <f t="shared" si="4"/>
        <v>437.62616347153437</v>
      </c>
      <c r="T35" s="27">
        <f t="shared" si="4"/>
        <v>550.28568006410273</v>
      </c>
      <c r="U35" s="53">
        <f t="shared" si="4"/>
        <v>491.8176938907464</v>
      </c>
      <c r="V35" s="27">
        <f t="shared" si="4"/>
        <v>503.66873548105872</v>
      </c>
      <c r="W35" s="53">
        <f t="shared" si="4"/>
        <v>620.88142307545797</v>
      </c>
      <c r="X35" s="27">
        <f t="shared" si="4"/>
        <v>478.22965086629944</v>
      </c>
      <c r="Y35" s="53">
        <f t="shared" si="4"/>
        <v>388.7686570163437</v>
      </c>
      <c r="Z35" s="53">
        <f t="shared" si="4"/>
        <v>355.06936687102586</v>
      </c>
      <c r="AA35" s="27">
        <f t="shared" si="4"/>
        <v>432.13884090566569</v>
      </c>
      <c r="AB35" s="53">
        <f t="shared" si="4"/>
        <v>636.86823284574916</v>
      </c>
      <c r="AC35" s="27">
        <f t="shared" si="4"/>
        <v>483.10709419805107</v>
      </c>
      <c r="AD35" s="53">
        <f t="shared" si="4"/>
        <v>669.92799063130701</v>
      </c>
      <c r="AE35" s="27">
        <f t="shared" si="4"/>
        <v>356.70362426391102</v>
      </c>
      <c r="AF35" s="53">
        <f t="shared" si="4"/>
        <v>613.12463080800762</v>
      </c>
      <c r="AG35" s="27">
        <f t="shared" si="4"/>
        <v>487.33828435970628</v>
      </c>
      <c r="AH35" s="53">
        <f t="shared" si="4"/>
        <v>592.5477385639249</v>
      </c>
      <c r="AI35" s="27">
        <f t="shared" si="4"/>
        <v>491.63917265011548</v>
      </c>
      <c r="AJ35" s="53">
        <f t="shared" si="4"/>
        <v>307.10733309128625</v>
      </c>
      <c r="AK35" s="27">
        <f t="shared" si="4"/>
        <v>478.7260027971663</v>
      </c>
      <c r="AL35" s="53">
        <f t="shared" si="4"/>
        <v>540.88045750116123</v>
      </c>
      <c r="AM35" s="27">
        <f t="shared" si="4"/>
        <v>408.4269683563839</v>
      </c>
      <c r="AN35" s="53">
        <f t="shared" si="4"/>
        <v>485.88103952622077</v>
      </c>
      <c r="AP35" s="49">
        <f t="shared" si="4"/>
        <v>515.66118239864227</v>
      </c>
      <c r="AQ35" s="24">
        <f t="shared" si="4"/>
        <v>527.41412152313353</v>
      </c>
      <c r="AT35" s="24">
        <f>K35</f>
        <v>463.3044787354159</v>
      </c>
      <c r="AU35" s="24">
        <f>AU34/AU11*1000</f>
        <v>483.32007284020551</v>
      </c>
      <c r="AV35" s="24">
        <f>AV34/AV11*1000</f>
        <v>484.07667280544825</v>
      </c>
      <c r="AZ35" s="1116"/>
      <c r="BA35" s="14">
        <f>RANK(K35,K35:AN35,1)</f>
        <v>9</v>
      </c>
    </row>
    <row r="36" spans="1:53" s="14" customFormat="1" ht="6" customHeight="1">
      <c r="I36" s="42"/>
      <c r="K36" s="15"/>
      <c r="M36" s="76"/>
      <c r="O36" s="42"/>
      <c r="Q36" s="42"/>
      <c r="S36" s="42"/>
      <c r="U36" s="42"/>
      <c r="W36" s="42"/>
      <c r="Y36" s="42"/>
      <c r="Z36" s="42"/>
      <c r="AB36" s="42"/>
      <c r="AD36" s="42"/>
      <c r="AF36" s="42"/>
      <c r="AH36" s="42"/>
      <c r="AJ36" s="42"/>
      <c r="AL36" s="42"/>
      <c r="AN36" s="42"/>
      <c r="AP36" s="42"/>
      <c r="AU36" s="15"/>
    </row>
    <row r="37" spans="1:53" s="14" customFormat="1" ht="15.75">
      <c r="B37" s="1" t="s">
        <v>109</v>
      </c>
      <c r="I37" s="42"/>
      <c r="K37" s="15"/>
      <c r="M37" s="76"/>
      <c r="O37" s="42"/>
      <c r="Q37" s="42"/>
      <c r="S37" s="42"/>
      <c r="U37" s="42"/>
      <c r="W37" s="42"/>
      <c r="Y37" s="42"/>
      <c r="Z37" s="42"/>
      <c r="AB37" s="42"/>
      <c r="AD37" s="42"/>
      <c r="AF37" s="42"/>
      <c r="AH37" s="42"/>
      <c r="AJ37" s="42"/>
      <c r="AL37" s="42"/>
      <c r="AN37" s="42"/>
      <c r="AP37" s="42"/>
      <c r="AU37" s="15"/>
      <c r="AZ37" s="1126" t="s">
        <v>297</v>
      </c>
    </row>
    <row r="38" spans="1:53" s="14" customFormat="1">
      <c r="C38" s="14" t="s">
        <v>25</v>
      </c>
      <c r="E38" s="119">
        <v>2017</v>
      </c>
      <c r="G38" s="21" t="s">
        <v>104</v>
      </c>
      <c r="I38" s="43" t="s">
        <v>132</v>
      </c>
      <c r="K38" s="36">
        <v>70</v>
      </c>
      <c r="L38" s="105"/>
      <c r="M38" s="84">
        <v>832.2</v>
      </c>
      <c r="N38" s="25">
        <v>630.65300000000002</v>
      </c>
      <c r="O38" s="51">
        <v>180.9</v>
      </c>
      <c r="P38" s="25">
        <v>39.4</v>
      </c>
      <c r="Q38" s="51">
        <v>1102.4000000000001</v>
      </c>
      <c r="R38" s="25">
        <v>4372.9780000000001</v>
      </c>
      <c r="S38" s="51">
        <v>198</v>
      </c>
      <c r="T38" s="25">
        <v>51.7</v>
      </c>
      <c r="U38" s="51">
        <v>1583.491</v>
      </c>
      <c r="V38" s="25">
        <v>5284.8040000000001</v>
      </c>
      <c r="W38" s="51">
        <v>603.79999999999995</v>
      </c>
      <c r="X38" s="25">
        <v>3034</v>
      </c>
      <c r="Y38" s="51">
        <v>154.26900000000001</v>
      </c>
      <c r="Z38" s="51">
        <v>167.4</v>
      </c>
      <c r="AA38" s="25">
        <v>39.872999999999998</v>
      </c>
      <c r="AB38" s="51">
        <v>9218.33</v>
      </c>
      <c r="AC38" s="25">
        <v>42.1</v>
      </c>
      <c r="AD38" s="51">
        <v>30.3</v>
      </c>
      <c r="AE38" s="25">
        <v>52.8</v>
      </c>
      <c r="AF38" s="51">
        <v>24.606000000000002</v>
      </c>
      <c r="AG38" s="25">
        <v>1873.1610000000001</v>
      </c>
      <c r="AH38" s="51">
        <v>2755</v>
      </c>
      <c r="AI38" s="25">
        <v>592.51700000000005</v>
      </c>
      <c r="AJ38" s="51">
        <v>127.3</v>
      </c>
      <c r="AK38" s="25">
        <v>611.31500000000005</v>
      </c>
      <c r="AL38" s="51">
        <v>125.127</v>
      </c>
      <c r="AM38" s="25">
        <v>133.309</v>
      </c>
      <c r="AN38" s="51">
        <v>1255.8599999999999</v>
      </c>
      <c r="AO38" s="25"/>
      <c r="AP38" s="51">
        <v>35117.593000000008</v>
      </c>
      <c r="AQ38" s="25">
        <v>30161.281999999999</v>
      </c>
      <c r="AR38" s="105"/>
      <c r="AS38" s="105"/>
      <c r="AT38" s="153">
        <f>K38</f>
        <v>70</v>
      </c>
      <c r="AU38" s="36">
        <v>1233.5999999999999</v>
      </c>
      <c r="AV38" s="25">
        <v>1255.9000000000001</v>
      </c>
      <c r="AX38" s="20">
        <v>-3744.7</v>
      </c>
      <c r="AZ38" s="1127"/>
    </row>
    <row r="39" spans="1:53" s="14" customFormat="1" ht="6" customHeight="1">
      <c r="C39" s="105"/>
      <c r="D39" s="105"/>
      <c r="E39" s="105"/>
      <c r="F39" s="105"/>
      <c r="G39" s="105"/>
      <c r="H39" s="105"/>
      <c r="I39" s="106"/>
      <c r="J39" s="105"/>
      <c r="K39" s="110"/>
      <c r="L39" s="105"/>
      <c r="M39" s="111"/>
      <c r="N39" s="105"/>
      <c r="O39" s="106"/>
      <c r="P39" s="105"/>
      <c r="Q39" s="106"/>
      <c r="R39" s="105"/>
      <c r="S39" s="106"/>
      <c r="T39" s="105"/>
      <c r="U39" s="106"/>
      <c r="V39" s="105"/>
      <c r="W39" s="106"/>
      <c r="X39" s="105"/>
      <c r="Y39" s="106"/>
      <c r="Z39" s="106"/>
      <c r="AA39" s="105"/>
      <c r="AB39" s="106"/>
      <c r="AC39" s="105"/>
      <c r="AD39" s="106"/>
      <c r="AE39" s="105"/>
      <c r="AF39" s="106"/>
      <c r="AG39" s="105"/>
      <c r="AH39" s="106"/>
      <c r="AI39" s="105"/>
      <c r="AJ39" s="106"/>
      <c r="AK39" s="105"/>
      <c r="AL39" s="106"/>
      <c r="AM39" s="105"/>
      <c r="AN39" s="106"/>
      <c r="AO39" s="105"/>
      <c r="AP39" s="106"/>
      <c r="AQ39" s="105"/>
      <c r="AR39" s="105"/>
      <c r="AS39" s="105"/>
      <c r="AU39" s="15"/>
    </row>
    <row r="40" spans="1:53" s="14" customFormat="1" ht="15.75">
      <c r="B40" s="1" t="s">
        <v>24</v>
      </c>
      <c r="I40" s="42"/>
      <c r="K40" s="15"/>
      <c r="M40" s="76"/>
      <c r="O40" s="42"/>
      <c r="Q40" s="42"/>
      <c r="S40" s="42"/>
      <c r="U40" s="42"/>
      <c r="W40" s="42"/>
      <c r="Y40" s="42"/>
      <c r="Z40" s="42"/>
      <c r="AB40" s="42"/>
      <c r="AD40" s="42"/>
      <c r="AF40" s="42"/>
      <c r="AH40" s="42"/>
      <c r="AJ40" s="42"/>
      <c r="AL40" s="42"/>
      <c r="AN40" s="42"/>
      <c r="AP40" s="42"/>
      <c r="AU40" s="15"/>
      <c r="AZ40" s="1126" t="s">
        <v>297</v>
      </c>
    </row>
    <row r="41" spans="1:53" s="14" customFormat="1">
      <c r="C41" s="14" t="s">
        <v>25</v>
      </c>
      <c r="E41" s="119">
        <v>2017</v>
      </c>
      <c r="G41" s="14" t="s">
        <v>99</v>
      </c>
      <c r="I41" s="43" t="s">
        <v>131</v>
      </c>
      <c r="J41" s="105"/>
      <c r="K41" s="25">
        <v>332</v>
      </c>
      <c r="L41" s="105"/>
      <c r="M41" s="84">
        <v>476.3</v>
      </c>
      <c r="N41" s="25">
        <v>887.48399999999992</v>
      </c>
      <c r="O41" s="51">
        <v>423.2</v>
      </c>
      <c r="P41" s="25">
        <v>107.745</v>
      </c>
      <c r="Q41" s="51">
        <v>693.5</v>
      </c>
      <c r="R41" s="25">
        <v>3242.08</v>
      </c>
      <c r="S41" s="51">
        <v>437.93900000000002</v>
      </c>
      <c r="T41" s="25">
        <v>114.8</v>
      </c>
      <c r="U41" s="51">
        <v>1344.0619999999999</v>
      </c>
      <c r="V41" s="25">
        <v>5142.6299999999992</v>
      </c>
      <c r="W41" s="51">
        <v>604.5</v>
      </c>
      <c r="X41" s="25">
        <v>6742.16</v>
      </c>
      <c r="Y41" s="51">
        <v>168.05799999999999</v>
      </c>
      <c r="Z41" s="51">
        <v>542.52699999999993</v>
      </c>
      <c r="AA41" s="25">
        <v>349.14299999999997</v>
      </c>
      <c r="AB41" s="51">
        <v>4256.4049999999997</v>
      </c>
      <c r="AC41" s="25">
        <v>115.5</v>
      </c>
      <c r="AD41" s="51">
        <v>43.2</v>
      </c>
      <c r="AE41" s="25">
        <v>87.1</v>
      </c>
      <c r="AF41" s="51">
        <v>47.070999999999998</v>
      </c>
      <c r="AG41" s="25">
        <v>1023.0060000000001</v>
      </c>
      <c r="AH41" s="51">
        <v>3640</v>
      </c>
      <c r="AI41" s="25">
        <v>1336.8</v>
      </c>
      <c r="AJ41" s="51">
        <v>975.2</v>
      </c>
      <c r="AK41" s="25">
        <v>632.5</v>
      </c>
      <c r="AL41" s="51">
        <v>103.3</v>
      </c>
      <c r="AM41" s="25">
        <v>316.7</v>
      </c>
      <c r="AN41" s="51">
        <v>4534.6000000000004</v>
      </c>
      <c r="AO41" s="25"/>
      <c r="AP41" s="59">
        <v>38387.509999999995</v>
      </c>
      <c r="AQ41" s="91">
        <v>31052.809000000001</v>
      </c>
      <c r="AR41" s="109"/>
      <c r="AS41" s="105"/>
      <c r="AT41" s="153">
        <f>K41</f>
        <v>332</v>
      </c>
      <c r="AU41" s="36">
        <v>4397.5019999999995</v>
      </c>
      <c r="AV41" s="25">
        <v>4534.6580000000004</v>
      </c>
      <c r="AX41" s="25">
        <v>-5810.6</v>
      </c>
      <c r="AZ41" s="1126"/>
    </row>
    <row r="42" spans="1:53" s="14" customFormat="1" ht="15.75" customHeight="1">
      <c r="C42" s="14" t="s">
        <v>39</v>
      </c>
      <c r="E42" s="119">
        <v>2017</v>
      </c>
      <c r="G42" s="14" t="s">
        <v>99</v>
      </c>
      <c r="I42" s="44" t="s">
        <v>26</v>
      </c>
      <c r="K42" s="24">
        <f>K41/5.314</f>
        <v>62.476477229958597</v>
      </c>
      <c r="M42" s="74">
        <f>M41/M11</f>
        <v>53.98839096572344</v>
      </c>
      <c r="N42" s="24">
        <f t="shared" ref="N42:AQ42" si="5">N41/N11</f>
        <v>77.859110456566157</v>
      </c>
      <c r="O42" s="49">
        <f t="shared" si="5"/>
        <v>60.028079297206226</v>
      </c>
      <c r="P42" s="24">
        <f t="shared" si="5"/>
        <v>124.67080751091137</v>
      </c>
      <c r="Q42" s="49">
        <f t="shared" si="5"/>
        <v>65.362526395951775</v>
      </c>
      <c r="R42" s="24">
        <f t="shared" si="5"/>
        <v>39.159173049693926</v>
      </c>
      <c r="S42" s="49">
        <f t="shared" si="5"/>
        <v>75.752396997849928</v>
      </c>
      <c r="T42" s="24">
        <f t="shared" si="5"/>
        <v>87.026857792201398</v>
      </c>
      <c r="U42" s="49">
        <f t="shared" si="5"/>
        <v>125.13186418791629</v>
      </c>
      <c r="V42" s="24">
        <f t="shared" si="5"/>
        <v>110.21862772243574</v>
      </c>
      <c r="W42" s="49">
        <f t="shared" si="5"/>
        <v>109.64733282182716</v>
      </c>
      <c r="X42" s="24">
        <f t="shared" si="5"/>
        <v>100.74026950834148</v>
      </c>
      <c r="Y42" s="49">
        <f t="shared" si="5"/>
        <v>40.934913297867027</v>
      </c>
      <c r="Z42" s="49">
        <f t="shared" si="5"/>
        <v>55.482349769711121</v>
      </c>
      <c r="AA42" s="24">
        <f t="shared" si="5"/>
        <v>72.280469162751174</v>
      </c>
      <c r="AB42" s="49">
        <f t="shared" si="5"/>
        <v>70.372443953045206</v>
      </c>
      <c r="AC42" s="24">
        <f t="shared" si="5"/>
        <v>41.119284730932129</v>
      </c>
      <c r="AD42" s="49">
        <f t="shared" si="5"/>
        <v>71.760201327231499</v>
      </c>
      <c r="AE42" s="24">
        <f t="shared" si="5"/>
        <v>45.027370541140073</v>
      </c>
      <c r="AF42" s="49">
        <f t="shared" si="5"/>
        <v>98.950811539181117</v>
      </c>
      <c r="AG42" s="24">
        <f t="shared" si="5"/>
        <v>59.542576009755855</v>
      </c>
      <c r="AH42" s="49">
        <f t="shared" si="5"/>
        <v>95.848276601905795</v>
      </c>
      <c r="AI42" s="24">
        <f t="shared" si="5"/>
        <v>129.8995717337055</v>
      </c>
      <c r="AJ42" s="49">
        <f t="shared" si="5"/>
        <v>49.931822479263474</v>
      </c>
      <c r="AK42" s="24">
        <f t="shared" si="5"/>
        <v>62.498505470521359</v>
      </c>
      <c r="AL42" s="49">
        <f t="shared" si="5"/>
        <v>49.97871187490324</v>
      </c>
      <c r="AM42" s="24">
        <f t="shared" si="5"/>
        <v>58.183541792207407</v>
      </c>
      <c r="AN42" s="49">
        <f t="shared" si="5"/>
        <v>68.422443358119082</v>
      </c>
      <c r="AO42" s="24"/>
      <c r="AP42" s="49">
        <f t="shared" si="5"/>
        <v>74.92011410103521</v>
      </c>
      <c r="AQ42" s="24">
        <f t="shared" si="5"/>
        <v>76.032376569040196</v>
      </c>
      <c r="AR42" s="24"/>
      <c r="AS42" s="24"/>
      <c r="AT42" s="24">
        <f>K42</f>
        <v>62.476477229958597</v>
      </c>
      <c r="AU42" s="24">
        <f>AU41/AU11</f>
        <v>68.121389829390495</v>
      </c>
      <c r="AV42" s="24">
        <f>AV41/AV11</f>
        <v>68.256498215187506</v>
      </c>
      <c r="AZ42" s="1126"/>
      <c r="BA42" s="14">
        <f>RANK(K42,K42:AN42,1)</f>
        <v>12</v>
      </c>
    </row>
    <row r="43" spans="1:53" s="14" customFormat="1" ht="6" customHeight="1">
      <c r="I43" s="44"/>
      <c r="K43" s="36"/>
      <c r="M43" s="74"/>
      <c r="N43" s="24"/>
      <c r="O43" s="49"/>
      <c r="P43" s="24"/>
      <c r="Q43" s="49"/>
      <c r="R43" s="24"/>
      <c r="S43" s="49"/>
      <c r="T43" s="24"/>
      <c r="U43" s="49"/>
      <c r="V43" s="24"/>
      <c r="W43" s="49"/>
      <c r="X43" s="24"/>
      <c r="Y43" s="49"/>
      <c r="Z43" s="49"/>
      <c r="AA43" s="24"/>
      <c r="AB43" s="49"/>
      <c r="AC43" s="24"/>
      <c r="AD43" s="49"/>
      <c r="AE43" s="24"/>
      <c r="AF43" s="49"/>
      <c r="AG43" s="24"/>
      <c r="AH43" s="49"/>
      <c r="AI43" s="24"/>
      <c r="AJ43" s="49"/>
      <c r="AK43" s="24"/>
      <c r="AL43" s="49"/>
      <c r="AM43" s="24"/>
      <c r="AN43" s="49"/>
      <c r="AO43" s="24"/>
      <c r="AP43" s="49"/>
      <c r="AQ43" s="24"/>
      <c r="AR43" s="24"/>
      <c r="AS43" s="24"/>
      <c r="AT43" s="24"/>
      <c r="AU43" s="36"/>
    </row>
    <row r="44" spans="1:53" s="14" customFormat="1" ht="14.25" customHeight="1">
      <c r="B44" s="1" t="s">
        <v>217</v>
      </c>
      <c r="I44" s="43"/>
      <c r="J44" s="105"/>
      <c r="K44" s="36"/>
      <c r="L44" s="105"/>
      <c r="M44" s="84"/>
      <c r="N44" s="25"/>
      <c r="O44" s="51"/>
      <c r="P44" s="25"/>
      <c r="Q44" s="51"/>
      <c r="R44" s="25"/>
      <c r="S44" s="51"/>
      <c r="T44" s="25"/>
      <c r="U44" s="51"/>
      <c r="V44" s="25"/>
      <c r="W44" s="51"/>
      <c r="X44" s="25"/>
      <c r="Y44" s="51"/>
      <c r="Z44" s="51"/>
      <c r="AA44" s="25"/>
      <c r="AB44" s="51"/>
      <c r="AC44" s="25"/>
      <c r="AD44" s="51"/>
      <c r="AE44" s="25"/>
      <c r="AF44" s="51"/>
      <c r="AG44" s="25"/>
      <c r="AH44" s="51"/>
      <c r="AI44" s="25"/>
      <c r="AJ44" s="51"/>
      <c r="AK44" s="25"/>
      <c r="AL44" s="51"/>
      <c r="AM44" s="25"/>
      <c r="AN44" s="51"/>
      <c r="AO44" s="25"/>
      <c r="AP44" s="59"/>
      <c r="AU44" s="15"/>
      <c r="AZ44" s="1118" t="s">
        <v>298</v>
      </c>
    </row>
    <row r="45" spans="1:53" s="14" customFormat="1">
      <c r="C45" s="14" t="s">
        <v>25</v>
      </c>
      <c r="E45" s="119">
        <v>2018</v>
      </c>
      <c r="I45" s="43" t="s">
        <v>130</v>
      </c>
      <c r="J45" s="105"/>
      <c r="K45" s="743">
        <v>188</v>
      </c>
      <c r="L45" s="105"/>
      <c r="M45" s="84">
        <v>341.096</v>
      </c>
      <c r="N45" s="25">
        <v>549.79999999999995</v>
      </c>
      <c r="O45" s="51">
        <v>38.031999999999996</v>
      </c>
      <c r="P45" s="25">
        <v>13.125999999999999</v>
      </c>
      <c r="Q45" s="51">
        <v>261.46499999999997</v>
      </c>
      <c r="R45" s="25">
        <v>3435.7779999999998</v>
      </c>
      <c r="S45" s="51">
        <v>218.357</v>
      </c>
      <c r="T45" s="25">
        <v>26.297000000000001</v>
      </c>
      <c r="U45" s="51">
        <v>103.431</v>
      </c>
      <c r="V45" s="25">
        <v>1321.4380000000001</v>
      </c>
      <c r="W45" s="51">
        <v>120.438</v>
      </c>
      <c r="X45" s="25">
        <v>2173.4810000000002</v>
      </c>
      <c r="Y45" s="51">
        <v>60.040999999999997</v>
      </c>
      <c r="Z45" s="51">
        <v>136.601</v>
      </c>
      <c r="AA45" s="25">
        <v>125.595</v>
      </c>
      <c r="AB45" s="51">
        <v>1910.0250000000001</v>
      </c>
      <c r="AC45" s="25">
        <v>32.381999999999998</v>
      </c>
      <c r="AD45" s="51">
        <v>52.613999999999997</v>
      </c>
      <c r="AE45" s="25">
        <v>16.878</v>
      </c>
      <c r="AF45" s="51">
        <v>8.1750000000000007</v>
      </c>
      <c r="AG45" s="25">
        <v>443.93900000000002</v>
      </c>
      <c r="AH45" s="51">
        <v>531.55600000000004</v>
      </c>
      <c r="AI45" s="25">
        <v>228.298</v>
      </c>
      <c r="AJ45" s="51">
        <v>128.79300000000001</v>
      </c>
      <c r="AK45" s="25">
        <v>353.72899999999998</v>
      </c>
      <c r="AL45" s="51">
        <v>65.122</v>
      </c>
      <c r="AM45" s="25">
        <v>98.192999999999998</v>
      </c>
      <c r="AN45" s="51">
        <v>2367.1469999999999</v>
      </c>
      <c r="AO45" s="25"/>
      <c r="AP45" s="59">
        <v>15161.826999999997</v>
      </c>
      <c r="AQ45" s="162">
        <v>13745.166000000001</v>
      </c>
      <c r="AR45" s="105"/>
      <c r="AS45" s="105"/>
      <c r="AT45" s="24">
        <f>K45</f>
        <v>188</v>
      </c>
      <c r="AU45" s="745">
        <v>2341.5050000000001</v>
      </c>
      <c r="AV45" s="745">
        <v>2394.0419999999999</v>
      </c>
      <c r="AX45" s="25">
        <v>-880.30000000000109</v>
      </c>
      <c r="AZ45" s="1119"/>
    </row>
    <row r="46" spans="1:53" s="14" customFormat="1">
      <c r="C46" s="14" t="s">
        <v>39</v>
      </c>
      <c r="E46" s="119">
        <v>2018</v>
      </c>
      <c r="I46" s="43" t="s">
        <v>26</v>
      </c>
      <c r="J46" s="105"/>
      <c r="K46" s="36">
        <f>K45/K11</f>
        <v>34.570897923907246</v>
      </c>
      <c r="L46" s="105"/>
      <c r="M46" s="84">
        <f>M45/M11</f>
        <v>38.663078322159144</v>
      </c>
      <c r="N46" s="25">
        <f t="shared" ref="N46:AQ46" si="6">N45/N11</f>
        <v>48.234040195676847</v>
      </c>
      <c r="O46" s="51">
        <f t="shared" si="6"/>
        <v>5.3945839126449595</v>
      </c>
      <c r="P46" s="25">
        <f t="shared" si="6"/>
        <v>15.187981060728781</v>
      </c>
      <c r="Q46" s="51">
        <f>Q45/Q11</f>
        <v>24.643133329657573</v>
      </c>
      <c r="R46" s="25">
        <f t="shared" si="6"/>
        <v>41.498737002890522</v>
      </c>
      <c r="S46" s="51">
        <f t="shared" si="6"/>
        <v>37.770251453420492</v>
      </c>
      <c r="T46" s="25">
        <f t="shared" si="6"/>
        <v>19.935063409072477</v>
      </c>
      <c r="U46" s="51">
        <f t="shared" si="6"/>
        <v>9.6294023972259986</v>
      </c>
      <c r="V46" s="25">
        <f t="shared" si="6"/>
        <v>28.321517002055383</v>
      </c>
      <c r="W46" s="51">
        <f t="shared" si="6"/>
        <v>21.845666617692672</v>
      </c>
      <c r="X46" s="25">
        <f t="shared" si="6"/>
        <v>32.475803260566288</v>
      </c>
      <c r="Y46" s="51">
        <f t="shared" si="6"/>
        <v>14.624553007397649</v>
      </c>
      <c r="Z46" s="51">
        <f t="shared" si="6"/>
        <v>13.969709269570565</v>
      </c>
      <c r="AA46" s="25">
        <f t="shared" si="6"/>
        <v>26.000995364351382</v>
      </c>
      <c r="AB46" s="51">
        <f t="shared" si="6"/>
        <v>31.579026728287179</v>
      </c>
      <c r="AC46" s="25">
        <f t="shared" si="6"/>
        <v>11.52835219183588</v>
      </c>
      <c r="AD46" s="51">
        <f t="shared" si="6"/>
        <v>87.397945199790698</v>
      </c>
      <c r="AE46" s="25">
        <f t="shared" si="6"/>
        <v>8.7252808265598407</v>
      </c>
      <c r="AF46" s="51">
        <f t="shared" si="6"/>
        <v>17.185164630723921</v>
      </c>
      <c r="AG46" s="25">
        <f t="shared" si="6"/>
        <v>25.838823673756561</v>
      </c>
      <c r="AH46" s="51">
        <f t="shared" si="6"/>
        <v>13.996902889396331</v>
      </c>
      <c r="AI46" s="25">
        <f t="shared" si="6"/>
        <v>22.184180451572036</v>
      </c>
      <c r="AJ46" s="51">
        <f t="shared" si="6"/>
        <v>6.5944105953361163</v>
      </c>
      <c r="AK46" s="25">
        <f t="shared" si="6"/>
        <v>34.952622674438025</v>
      </c>
      <c r="AL46" s="51">
        <f t="shared" si="6"/>
        <v>31.50739278526088</v>
      </c>
      <c r="AM46" s="25">
        <f t="shared" si="6"/>
        <v>18.039837446170576</v>
      </c>
      <c r="AN46" s="51">
        <f t="shared" si="6"/>
        <v>35.717810066564084</v>
      </c>
      <c r="AO46" s="25"/>
      <c r="AP46" s="59">
        <f t="shared" si="6"/>
        <v>29.591026060824376</v>
      </c>
      <c r="AQ46" s="26">
        <f t="shared" si="6"/>
        <v>33.654850268649383</v>
      </c>
      <c r="AR46" s="109"/>
      <c r="AS46" s="109"/>
      <c r="AT46" s="26">
        <f>K46</f>
        <v>34.570897923907246</v>
      </c>
      <c r="AU46" s="26">
        <f>AU45/AU11</f>
        <v>36.272086946740899</v>
      </c>
      <c r="AV46" s="26">
        <f>AV45/AV11</f>
        <v>36.035556264680579</v>
      </c>
      <c r="AZ46" s="1119"/>
      <c r="BA46" s="14">
        <f>RANK(K46,K46:AN46,0)</f>
        <v>8</v>
      </c>
    </row>
    <row r="47" spans="1:53" s="14" customFormat="1" ht="6" customHeight="1">
      <c r="I47" s="43"/>
      <c r="J47" s="105"/>
      <c r="K47" s="36"/>
      <c r="L47" s="105"/>
      <c r="M47" s="84"/>
      <c r="N47" s="25"/>
      <c r="O47" s="51"/>
      <c r="P47" s="25"/>
      <c r="Q47" s="51"/>
      <c r="R47" s="25"/>
      <c r="S47" s="51"/>
      <c r="T47" s="25"/>
      <c r="U47" s="51"/>
      <c r="V47" s="25"/>
      <c r="W47" s="51"/>
      <c r="X47" s="25"/>
      <c r="Y47" s="51"/>
      <c r="Z47" s="51"/>
      <c r="AA47" s="25"/>
      <c r="AB47" s="51"/>
      <c r="AC47" s="25"/>
      <c r="AD47" s="51"/>
      <c r="AE47" s="25"/>
      <c r="AF47" s="51"/>
      <c r="AG47" s="25"/>
      <c r="AH47" s="51"/>
      <c r="AI47" s="25"/>
      <c r="AJ47" s="51"/>
      <c r="AK47" s="25"/>
      <c r="AL47" s="51"/>
      <c r="AM47" s="25"/>
      <c r="AN47" s="51"/>
      <c r="AO47" s="25"/>
      <c r="AP47" s="59"/>
    </row>
    <row r="48" spans="1:53" s="14" customFormat="1" ht="18.75">
      <c r="A48" s="1" t="s">
        <v>266</v>
      </c>
      <c r="I48" s="42"/>
      <c r="K48" s="15"/>
      <c r="M48" s="76"/>
      <c r="O48" s="42"/>
      <c r="Q48" s="42"/>
      <c r="S48" s="42"/>
      <c r="U48" s="42"/>
      <c r="W48" s="42"/>
      <c r="Y48" s="42"/>
      <c r="Z48" s="42"/>
      <c r="AB48" s="42"/>
      <c r="AD48" s="42"/>
      <c r="AF48" s="42"/>
      <c r="AH48" s="42"/>
      <c r="AJ48" s="42"/>
      <c r="AL48" s="42"/>
      <c r="AN48" s="42"/>
      <c r="AP48" s="42"/>
    </row>
    <row r="49" spans="1:52" s="14" customFormat="1" ht="6" customHeight="1">
      <c r="A49" s="1"/>
      <c r="I49" s="42"/>
      <c r="K49" s="15"/>
      <c r="M49" s="76"/>
      <c r="O49" s="42"/>
      <c r="Q49" s="42"/>
      <c r="S49" s="42"/>
      <c r="U49" s="42"/>
      <c r="W49" s="42"/>
      <c r="Y49" s="42"/>
      <c r="Z49" s="42"/>
      <c r="AB49" s="42"/>
      <c r="AD49" s="42"/>
      <c r="AF49" s="42"/>
      <c r="AH49" s="42"/>
      <c r="AJ49" s="42"/>
      <c r="AL49" s="42"/>
      <c r="AN49" s="42"/>
      <c r="AP49" s="42"/>
    </row>
    <row r="50" spans="1:52" s="14" customFormat="1" ht="15.75">
      <c r="A50" s="1"/>
      <c r="B50" s="1" t="s">
        <v>110</v>
      </c>
      <c r="I50" s="42"/>
      <c r="K50" s="15"/>
      <c r="M50" s="76"/>
      <c r="O50" s="42"/>
      <c r="Q50" s="42"/>
      <c r="S50" s="42"/>
      <c r="U50" s="42"/>
      <c r="W50" s="42"/>
      <c r="Y50" s="42"/>
      <c r="Z50" s="42"/>
      <c r="AB50" s="42"/>
      <c r="AD50" s="42"/>
      <c r="AF50" s="42"/>
      <c r="AH50" s="42"/>
      <c r="AJ50" s="42"/>
      <c r="AL50" s="42"/>
      <c r="AN50" s="42"/>
      <c r="AP50" s="42"/>
    </row>
    <row r="51" spans="1:52" s="14" customFormat="1" ht="18.75">
      <c r="A51" s="1"/>
      <c r="C51" s="14" t="s">
        <v>23</v>
      </c>
      <c r="E51" s="119">
        <v>2017</v>
      </c>
      <c r="G51" s="62"/>
      <c r="I51" s="43" t="s">
        <v>258</v>
      </c>
      <c r="K51" s="36">
        <v>8557</v>
      </c>
      <c r="L51" s="25"/>
      <c r="M51" s="88">
        <v>9323.6360071652762</v>
      </c>
      <c r="N51" s="28">
        <v>9420.5930075661618</v>
      </c>
      <c r="O51" s="55">
        <v>8120.8884841774225</v>
      </c>
      <c r="P51" s="28">
        <v>7671.243383558196</v>
      </c>
      <c r="Q51" s="54">
        <v>7026.019915264651</v>
      </c>
      <c r="R51" s="28">
        <v>11338.842182426957</v>
      </c>
      <c r="S51" s="54">
        <v>10445.018750970859</v>
      </c>
      <c r="T51" s="28">
        <v>9942.9120586812242</v>
      </c>
      <c r="U51" s="54">
        <v>9460.9269635976016</v>
      </c>
      <c r="V51" s="28">
        <v>7153.9251269299548</v>
      </c>
      <c r="W51" s="54">
        <v>12103.108373035293</v>
      </c>
      <c r="X51" s="28">
        <v>11097.33059041874</v>
      </c>
      <c r="Y51" s="54">
        <v>6304.2025047824945</v>
      </c>
      <c r="Z51" s="54">
        <v>6189.8058098336924</v>
      </c>
      <c r="AA51" s="28">
        <v>11819.485202677466</v>
      </c>
      <c r="AB51" s="54">
        <v>12294.534138743142</v>
      </c>
      <c r="AC51" s="28">
        <v>11011.958268256232</v>
      </c>
      <c r="AD51" s="54">
        <v>12991.948314309164</v>
      </c>
      <c r="AE51" s="28">
        <v>7680.5687456541045</v>
      </c>
      <c r="AF51" s="54">
        <v>5688.2756784408139</v>
      </c>
      <c r="AG51" s="28">
        <v>8119.8924661623832</v>
      </c>
      <c r="AH51" s="54">
        <v>5418.2474610879253</v>
      </c>
      <c r="AI51" s="28">
        <v>8942.3206279584374</v>
      </c>
      <c r="AJ51" s="55">
        <v>4953.2476401756421</v>
      </c>
      <c r="AK51" s="28">
        <v>11608.22650738813</v>
      </c>
      <c r="AL51" s="54">
        <v>13134.220671788724</v>
      </c>
      <c r="AM51" s="28">
        <v>5173.5465452686249</v>
      </c>
      <c r="AN51" s="71">
        <v>10187.1225805185</v>
      </c>
      <c r="AO51" s="29"/>
      <c r="AP51" s="60">
        <v>9582.0131487076851</v>
      </c>
      <c r="AQ51" s="28">
        <v>10447.419922243978</v>
      </c>
      <c r="AR51" s="78"/>
      <c r="AS51" s="78"/>
      <c r="AT51" s="25">
        <f t="shared" ref="AT51:AT57" si="7">K51</f>
        <v>8557</v>
      </c>
      <c r="AU51" s="138">
        <v>8684</v>
      </c>
      <c r="AZ51" s="1125" t="s">
        <v>268</v>
      </c>
    </row>
    <row r="52" spans="1:52" s="14" customFormat="1" ht="15.75">
      <c r="A52" s="1"/>
      <c r="C52" s="14" t="s">
        <v>29</v>
      </c>
      <c r="E52" s="14">
        <v>2002</v>
      </c>
      <c r="G52" s="62"/>
      <c r="I52" s="42" t="s">
        <v>94</v>
      </c>
      <c r="K52" s="92">
        <v>55</v>
      </c>
      <c r="L52" s="25"/>
      <c r="M52" s="88">
        <v>198.40309702395353</v>
      </c>
      <c r="N52" s="28">
        <v>99.895347730948544</v>
      </c>
      <c r="O52" s="55" t="s">
        <v>326</v>
      </c>
      <c r="P52" s="92" t="s">
        <v>326</v>
      </c>
      <c r="Q52" s="55" t="s">
        <v>326</v>
      </c>
      <c r="R52" s="28">
        <v>217.13287561561415</v>
      </c>
      <c r="S52" s="54">
        <v>143.69933677229182</v>
      </c>
      <c r="T52" s="92" t="s">
        <v>326</v>
      </c>
      <c r="U52" s="54">
        <v>2013.4831460674156</v>
      </c>
      <c r="V52" s="28">
        <v>334.0339974410528</v>
      </c>
      <c r="W52" s="54">
        <v>171.23287671232876</v>
      </c>
      <c r="X52" s="28">
        <v>201.49070357932672</v>
      </c>
      <c r="Y52" s="56" t="s">
        <v>326</v>
      </c>
      <c r="Z52" s="56" t="s">
        <v>326</v>
      </c>
      <c r="AA52" s="28">
        <v>92.658588738417691</v>
      </c>
      <c r="AB52" s="54">
        <v>1188.0446623093681</v>
      </c>
      <c r="AC52" s="30" t="s">
        <v>326</v>
      </c>
      <c r="AD52" s="54">
        <v>130.43478260869566</v>
      </c>
      <c r="AE52" s="30" t="s">
        <v>326</v>
      </c>
      <c r="AF52" s="55" t="s">
        <v>326</v>
      </c>
      <c r="AG52" s="28">
        <v>55.099791845230811</v>
      </c>
      <c r="AH52" s="55" t="s">
        <v>326</v>
      </c>
      <c r="AI52" s="28">
        <v>754.02081362346257</v>
      </c>
      <c r="AJ52" s="55" t="s">
        <v>326</v>
      </c>
      <c r="AK52" s="28">
        <v>110.53387863380125</v>
      </c>
      <c r="AL52" s="55" t="s">
        <v>326</v>
      </c>
      <c r="AM52" s="30" t="s">
        <v>326</v>
      </c>
      <c r="AN52" s="71">
        <v>85</v>
      </c>
      <c r="AO52" s="29"/>
      <c r="AP52" s="60" t="s">
        <v>326</v>
      </c>
      <c r="AQ52" s="28">
        <v>404.66124266920576</v>
      </c>
      <c r="AR52" s="25"/>
      <c r="AS52" s="25"/>
      <c r="AT52" s="25">
        <f t="shared" si="7"/>
        <v>55</v>
      </c>
      <c r="AU52" s="25">
        <v>57.936</v>
      </c>
      <c r="AZ52" s="1125"/>
    </row>
    <row r="53" spans="1:52" s="14" customFormat="1" ht="18.75">
      <c r="A53" s="1"/>
      <c r="C53" s="14" t="s">
        <v>32</v>
      </c>
      <c r="E53" s="119">
        <v>2017</v>
      </c>
      <c r="G53" s="62"/>
      <c r="I53" s="43" t="s">
        <v>259</v>
      </c>
      <c r="K53" s="36">
        <v>651</v>
      </c>
      <c r="L53" s="25"/>
      <c r="M53" s="88">
        <v>1239.845820037126</v>
      </c>
      <c r="N53" s="28">
        <v>1177.1461525516356</v>
      </c>
      <c r="O53" s="55">
        <v>1485.9489606876173</v>
      </c>
      <c r="P53" s="28">
        <v>1796.9421329687746</v>
      </c>
      <c r="Q53" s="54">
        <v>1671.6420167844808</v>
      </c>
      <c r="R53" s="28">
        <v>757.37697595563191</v>
      </c>
      <c r="S53" s="54">
        <v>1269.8370729455298</v>
      </c>
      <c r="T53" s="28">
        <v>2134.8322293037204</v>
      </c>
      <c r="U53" s="54">
        <v>1900.4998714717203</v>
      </c>
      <c r="V53" s="28">
        <v>655.73384332848514</v>
      </c>
      <c r="W53" s="54">
        <v>1496.1940087914572</v>
      </c>
      <c r="X53" s="28">
        <v>853.80615330843364</v>
      </c>
      <c r="Y53" s="54">
        <v>998.98584882383261</v>
      </c>
      <c r="Z53" s="54">
        <v>1868.9564474260483</v>
      </c>
      <c r="AA53" s="28">
        <v>2052.3440535592567</v>
      </c>
      <c r="AB53" s="54">
        <v>1702.8378457667011</v>
      </c>
      <c r="AC53" s="28">
        <v>961.75994696450425</v>
      </c>
      <c r="AD53" s="54">
        <v>1939.3575793753455</v>
      </c>
      <c r="AE53" s="28">
        <v>1110.7031581711035</v>
      </c>
      <c r="AF53" s="54">
        <v>1208.1594275756777</v>
      </c>
      <c r="AG53" s="28">
        <v>270.37415363053969</v>
      </c>
      <c r="AH53" s="54">
        <v>949.75467282459169</v>
      </c>
      <c r="AI53" s="28">
        <v>719.23444356036862</v>
      </c>
      <c r="AJ53" s="55">
        <v>925.35512755576042</v>
      </c>
      <c r="AK53" s="28">
        <v>997.58352873637853</v>
      </c>
      <c r="AL53" s="54">
        <v>1781.4174735720396</v>
      </c>
      <c r="AM53" s="28">
        <v>1090.0875988875036</v>
      </c>
      <c r="AN53" s="71">
        <v>599.90428587388317</v>
      </c>
      <c r="AO53" s="29"/>
      <c r="AP53" s="60">
        <v>997.84136077347955</v>
      </c>
      <c r="AQ53" s="28">
        <v>947.76717253000572</v>
      </c>
      <c r="AR53" s="25"/>
      <c r="AS53" s="25"/>
      <c r="AT53" s="25">
        <f t="shared" si="7"/>
        <v>651</v>
      </c>
      <c r="AU53" s="25">
        <v>564.88</v>
      </c>
      <c r="AZ53" s="1125"/>
    </row>
    <row r="54" spans="1:52" s="14" customFormat="1" ht="18.75">
      <c r="A54" s="1"/>
      <c r="C54" s="14" t="s">
        <v>46</v>
      </c>
      <c r="E54" s="119">
        <v>2017</v>
      </c>
      <c r="G54" s="62"/>
      <c r="I54" s="42" t="s">
        <v>260</v>
      </c>
      <c r="K54" s="36">
        <v>0</v>
      </c>
      <c r="L54" s="25"/>
      <c r="M54" s="88">
        <v>819.4586375146547</v>
      </c>
      <c r="N54" s="28">
        <v>123.01535603052341</v>
      </c>
      <c r="O54" s="55">
        <v>150.66477664510094</v>
      </c>
      <c r="P54" s="92">
        <v>0</v>
      </c>
      <c r="Q54" s="54">
        <v>1034.121007825069</v>
      </c>
      <c r="R54" s="28">
        <v>208.43014378298989</v>
      </c>
      <c r="S54" s="54">
        <v>59.317046832113107</v>
      </c>
      <c r="T54" s="28">
        <v>91.439418987789168</v>
      </c>
      <c r="U54" s="54">
        <v>156.8088703954204</v>
      </c>
      <c r="V54" s="28">
        <v>164.23650400455432</v>
      </c>
      <c r="W54" s="54">
        <v>101.34977332573118</v>
      </c>
      <c r="X54" s="28">
        <v>248.99579532981517</v>
      </c>
      <c r="Y54" s="54">
        <v>146.35335260854461</v>
      </c>
      <c r="Z54" s="54">
        <v>310.85621207155538</v>
      </c>
      <c r="AA54" s="28">
        <v>38.646418357393216</v>
      </c>
      <c r="AB54" s="54">
        <v>111.43855171474175</v>
      </c>
      <c r="AC54" s="92">
        <v>0</v>
      </c>
      <c r="AD54" s="92">
        <v>0</v>
      </c>
      <c r="AE54" s="28">
        <v>65.560715362573291</v>
      </c>
      <c r="AF54" s="92">
        <v>0</v>
      </c>
      <c r="AG54" s="28">
        <v>51.611488502792049</v>
      </c>
      <c r="AH54" s="54">
        <v>113.53940911800019</v>
      </c>
      <c r="AI54" s="28">
        <v>108.74136106315946</v>
      </c>
      <c r="AJ54" s="55">
        <v>403.93983206367221</v>
      </c>
      <c r="AK54" s="28">
        <v>264.82836230721028</v>
      </c>
      <c r="AL54" s="92">
        <v>0</v>
      </c>
      <c r="AM54" s="28">
        <v>52.407553672325747</v>
      </c>
      <c r="AN54" s="71">
        <v>219.57446304146421</v>
      </c>
      <c r="AO54" s="29"/>
      <c r="AP54" s="60">
        <v>210.0275078678186</v>
      </c>
      <c r="AQ54" s="28">
        <v>193.27893244802848</v>
      </c>
      <c r="AR54" s="25"/>
      <c r="AS54" s="25"/>
      <c r="AT54" s="25">
        <f t="shared" si="7"/>
        <v>0</v>
      </c>
      <c r="AU54" s="25">
        <v>117.48</v>
      </c>
      <c r="AZ54" s="1125"/>
    </row>
    <row r="55" spans="1:52" s="31" customFormat="1" ht="18.75">
      <c r="A55" s="103"/>
      <c r="C55" s="15" t="s">
        <v>52</v>
      </c>
      <c r="E55" s="119">
        <v>2017</v>
      </c>
      <c r="G55" s="104"/>
      <c r="I55" s="44" t="s">
        <v>261</v>
      </c>
      <c r="K55" s="36">
        <v>778</v>
      </c>
      <c r="L55" s="36"/>
      <c r="M55" s="88">
        <v>1442.7441890420064</v>
      </c>
      <c r="N55" s="28">
        <v>895.6346466048733</v>
      </c>
      <c r="O55" s="55">
        <v>201.91896234492967</v>
      </c>
      <c r="P55" s="92">
        <v>0</v>
      </c>
      <c r="Q55" s="54">
        <v>888.8514976150459</v>
      </c>
      <c r="R55" s="28">
        <v>1160.386353385335</v>
      </c>
      <c r="S55" s="54">
        <v>1092.4077833010858</v>
      </c>
      <c r="T55" s="28">
        <v>278.19265981826265</v>
      </c>
      <c r="U55" s="54">
        <v>103.26709411690523</v>
      </c>
      <c r="V55" s="28">
        <v>591.38552713951492</v>
      </c>
      <c r="W55" s="54">
        <v>776.08022972410902</v>
      </c>
      <c r="X55" s="28">
        <v>1494.273328088399</v>
      </c>
      <c r="Y55" s="54">
        <v>177.1695384902026</v>
      </c>
      <c r="Z55" s="54">
        <v>789.07393380862845</v>
      </c>
      <c r="AA55" s="28">
        <v>443.5263648416107</v>
      </c>
      <c r="AB55" s="54">
        <v>878.55236171910815</v>
      </c>
      <c r="AC55" s="28">
        <v>110.60766093239097</v>
      </c>
      <c r="AD55" s="54">
        <v>741.53457024008435</v>
      </c>
      <c r="AE55" s="28">
        <v>305.62284499998975</v>
      </c>
      <c r="AF55" s="92">
        <v>0</v>
      </c>
      <c r="AG55" s="28">
        <v>1079.3544152749521</v>
      </c>
      <c r="AH55" s="54">
        <v>535.09122964433334</v>
      </c>
      <c r="AI55" s="28">
        <v>438.03948039361086</v>
      </c>
      <c r="AJ55" s="55">
        <v>288.27627282144744</v>
      </c>
      <c r="AK55" s="28">
        <v>1333.7464669125125</v>
      </c>
      <c r="AL55" s="54">
        <v>275.90947264986846</v>
      </c>
      <c r="AM55" s="28">
        <v>690.66478417277449</v>
      </c>
      <c r="AN55" s="71">
        <v>1047.1583998637991</v>
      </c>
      <c r="AO55" s="29"/>
      <c r="AP55" s="60">
        <v>918.30533939325653</v>
      </c>
      <c r="AQ55" s="28">
        <v>1028.2417777776384</v>
      </c>
      <c r="AR55" s="36"/>
      <c r="AS55" s="36"/>
      <c r="AT55" s="36">
        <f t="shared" si="7"/>
        <v>778</v>
      </c>
      <c r="AU55" s="139">
        <v>778.92</v>
      </c>
      <c r="AZ55" s="1125"/>
    </row>
    <row r="56" spans="1:52" s="14" customFormat="1" ht="15.75">
      <c r="A56" s="1"/>
      <c r="C56" s="14" t="s">
        <v>33</v>
      </c>
      <c r="E56" s="14">
        <v>2001</v>
      </c>
      <c r="G56" s="62"/>
      <c r="I56" s="42" t="s">
        <v>94</v>
      </c>
      <c r="K56" s="36">
        <v>56</v>
      </c>
      <c r="L56" s="25"/>
      <c r="M56" s="88">
        <v>136</v>
      </c>
      <c r="N56" s="28">
        <v>322</v>
      </c>
      <c r="O56" s="55" t="s">
        <v>326</v>
      </c>
      <c r="P56" s="30" t="s">
        <v>326</v>
      </c>
      <c r="Q56" s="56" t="s">
        <v>326</v>
      </c>
      <c r="R56" s="28">
        <v>291</v>
      </c>
      <c r="S56" s="54">
        <v>936</v>
      </c>
      <c r="T56" s="30" t="s">
        <v>326</v>
      </c>
      <c r="U56" s="54">
        <v>76</v>
      </c>
      <c r="V56" s="28">
        <v>20</v>
      </c>
      <c r="W56" s="54">
        <v>251</v>
      </c>
      <c r="X56" s="28">
        <v>75</v>
      </c>
      <c r="Y56" s="56" t="s">
        <v>326</v>
      </c>
      <c r="Z56" s="56" t="s">
        <v>326</v>
      </c>
      <c r="AA56" s="28">
        <v>184</v>
      </c>
      <c r="AB56" s="54">
        <v>154</v>
      </c>
      <c r="AC56" s="30" t="s">
        <v>326</v>
      </c>
      <c r="AD56" s="54">
        <v>23</v>
      </c>
      <c r="AE56" s="30" t="s">
        <v>326</v>
      </c>
      <c r="AF56" s="56" t="s">
        <v>326</v>
      </c>
      <c r="AG56" s="28">
        <v>848</v>
      </c>
      <c r="AH56" s="56" t="s">
        <v>326</v>
      </c>
      <c r="AI56" s="28">
        <v>29</v>
      </c>
      <c r="AJ56" s="55" t="s">
        <v>326</v>
      </c>
      <c r="AK56" s="28">
        <v>271</v>
      </c>
      <c r="AL56" s="56" t="s">
        <v>326</v>
      </c>
      <c r="AM56" s="30" t="s">
        <v>326</v>
      </c>
      <c r="AN56" s="71">
        <v>75</v>
      </c>
      <c r="AO56" s="25"/>
      <c r="AP56" s="60" t="s">
        <v>326</v>
      </c>
      <c r="AQ56" s="28">
        <v>185.64083712530282</v>
      </c>
      <c r="AR56" s="25"/>
      <c r="AS56" s="25"/>
      <c r="AT56" s="25">
        <f t="shared" si="7"/>
        <v>56</v>
      </c>
      <c r="AU56" s="25">
        <f>42*1.6</f>
        <v>67.2</v>
      </c>
      <c r="AZ56" s="1125"/>
    </row>
    <row r="57" spans="1:52" s="14" customFormat="1" ht="15.75">
      <c r="A57" s="1"/>
      <c r="C57" s="14" t="s">
        <v>34</v>
      </c>
      <c r="E57" s="14">
        <v>2001</v>
      </c>
      <c r="G57" s="62"/>
      <c r="I57" s="42" t="s">
        <v>94</v>
      </c>
      <c r="K57" s="36">
        <v>288</v>
      </c>
      <c r="L57" s="25"/>
      <c r="M57" s="88">
        <v>419</v>
      </c>
      <c r="N57" s="28">
        <v>380</v>
      </c>
      <c r="O57" s="55" t="s">
        <v>326</v>
      </c>
      <c r="P57" s="30" t="s">
        <v>326</v>
      </c>
      <c r="Q57" s="56" t="s">
        <v>326</v>
      </c>
      <c r="R57" s="28">
        <v>372</v>
      </c>
      <c r="S57" s="54">
        <v>431</v>
      </c>
      <c r="T57" s="30" t="s">
        <v>326</v>
      </c>
      <c r="U57" s="54">
        <v>389</v>
      </c>
      <c r="V57" s="28">
        <v>368</v>
      </c>
      <c r="W57" s="54">
        <v>386</v>
      </c>
      <c r="X57" s="28">
        <v>404</v>
      </c>
      <c r="Y57" s="56" t="s">
        <v>326</v>
      </c>
      <c r="Z57" s="56" t="s">
        <v>326</v>
      </c>
      <c r="AA57" s="28">
        <v>368</v>
      </c>
      <c r="AB57" s="54">
        <v>410</v>
      </c>
      <c r="AC57" s="30" t="s">
        <v>326</v>
      </c>
      <c r="AD57" s="54">
        <v>457</v>
      </c>
      <c r="AE57" s="30" t="s">
        <v>326</v>
      </c>
      <c r="AF57" s="56" t="s">
        <v>326</v>
      </c>
      <c r="AG57" s="28">
        <v>377</v>
      </c>
      <c r="AH57" s="56" t="s">
        <v>326</v>
      </c>
      <c r="AI57" s="28">
        <v>342</v>
      </c>
      <c r="AJ57" s="55" t="s">
        <v>326</v>
      </c>
      <c r="AK57" s="28">
        <v>383</v>
      </c>
      <c r="AL57" s="56" t="s">
        <v>326</v>
      </c>
      <c r="AM57" s="30" t="s">
        <v>326</v>
      </c>
      <c r="AN57" s="71">
        <v>355</v>
      </c>
      <c r="AO57" s="25"/>
      <c r="AP57" s="60" t="s">
        <v>326</v>
      </c>
      <c r="AQ57" s="28">
        <v>382.13200513267816</v>
      </c>
      <c r="AR57" s="25"/>
      <c r="AS57" s="25"/>
      <c r="AT57" s="25">
        <f t="shared" si="7"/>
        <v>288</v>
      </c>
      <c r="AU57" s="25">
        <f>179*1.6</f>
        <v>286.40000000000003</v>
      </c>
      <c r="AZ57" s="1125"/>
    </row>
    <row r="58" spans="1:52" s="14" customFormat="1" ht="15.75">
      <c r="A58" s="1"/>
      <c r="C58" s="14" t="s">
        <v>31</v>
      </c>
      <c r="G58" s="62"/>
      <c r="I58" s="44" t="s">
        <v>26</v>
      </c>
      <c r="K58" s="36">
        <f>SUM(K51:K57)</f>
        <v>10385</v>
      </c>
      <c r="L58" s="25"/>
      <c r="M58" s="87">
        <f>SUM(M51:M57)</f>
        <v>13579.087750783017</v>
      </c>
      <c r="N58" s="78">
        <f>SUM(N51:N57)</f>
        <v>12418.28451048414</v>
      </c>
      <c r="O58" s="77">
        <f t="shared" ref="O58:AM58" si="8">SUM(O51:O57)</f>
        <v>9959.4211838550691</v>
      </c>
      <c r="P58" s="78">
        <f>SUM(P51:P57)</f>
        <v>9468.1855165269699</v>
      </c>
      <c r="Q58" s="77">
        <f t="shared" si="8"/>
        <v>10620.634437489247</v>
      </c>
      <c r="R58" s="78">
        <f>SUM(R51:R57)</f>
        <v>14345.168531166528</v>
      </c>
      <c r="S58" s="77">
        <f t="shared" si="8"/>
        <v>14377.279990821879</v>
      </c>
      <c r="T58" s="78">
        <f t="shared" si="8"/>
        <v>12447.376366790995</v>
      </c>
      <c r="U58" s="77">
        <f t="shared" si="8"/>
        <v>14099.985945649063</v>
      </c>
      <c r="V58" s="78">
        <f t="shared" si="8"/>
        <v>9287.3149988435616</v>
      </c>
      <c r="W58" s="77">
        <f t="shared" si="8"/>
        <v>15284.965261588921</v>
      </c>
      <c r="X58" s="78">
        <f t="shared" si="8"/>
        <v>14374.896570724713</v>
      </c>
      <c r="Y58" s="77">
        <f t="shared" si="8"/>
        <v>7626.711244705074</v>
      </c>
      <c r="Z58" s="77">
        <f t="shared" si="8"/>
        <v>9158.6924031399249</v>
      </c>
      <c r="AA58" s="78">
        <f t="shared" si="8"/>
        <v>14998.660628174144</v>
      </c>
      <c r="AB58" s="77">
        <f t="shared" si="8"/>
        <v>16739.407560253061</v>
      </c>
      <c r="AC58" s="78">
        <f t="shared" si="8"/>
        <v>12084.325876153129</v>
      </c>
      <c r="AD58" s="77">
        <f t="shared" si="8"/>
        <v>16283.275246533291</v>
      </c>
      <c r="AE58" s="78">
        <f t="shared" si="8"/>
        <v>9162.4554641877694</v>
      </c>
      <c r="AF58" s="77">
        <f t="shared" si="8"/>
        <v>6896.4351060164918</v>
      </c>
      <c r="AG58" s="78">
        <f t="shared" si="8"/>
        <v>10801.332315415901</v>
      </c>
      <c r="AH58" s="77">
        <f t="shared" si="8"/>
        <v>7016.6327726748505</v>
      </c>
      <c r="AI58" s="78">
        <f t="shared" si="8"/>
        <v>11333.356726599039</v>
      </c>
      <c r="AJ58" s="77">
        <f t="shared" si="8"/>
        <v>6570.8188726165217</v>
      </c>
      <c r="AK58" s="78">
        <f t="shared" si="8"/>
        <v>14968.918743978034</v>
      </c>
      <c r="AL58" s="77">
        <f t="shared" si="8"/>
        <v>15191.547618010631</v>
      </c>
      <c r="AM58" s="78">
        <f t="shared" si="8"/>
        <v>7006.7064820012292</v>
      </c>
      <c r="AN58" s="71">
        <f>SUM(AN51:AN57)</f>
        <v>12568.759729297648</v>
      </c>
      <c r="AO58" s="78"/>
      <c r="AP58" s="77">
        <f>SUM(AP51:AP57)</f>
        <v>11708.187356742241</v>
      </c>
      <c r="AQ58" s="78">
        <f>SUM(AQ51:AQ57)</f>
        <v>13589.141889926841</v>
      </c>
      <c r="AR58" s="25"/>
      <c r="AS58" s="25"/>
      <c r="AT58" s="25">
        <f>SUM(AT51:AT57)</f>
        <v>10385</v>
      </c>
      <c r="AU58" s="25">
        <f>SUM(AU51:AU57)</f>
        <v>10556.815999999999</v>
      </c>
      <c r="AZ58" s="1125"/>
    </row>
    <row r="59" spans="1:52" s="14" customFormat="1" ht="10.5" customHeight="1">
      <c r="I59" s="42"/>
      <c r="K59" s="37"/>
      <c r="M59" s="76"/>
      <c r="O59" s="42"/>
      <c r="Q59" s="42"/>
      <c r="S59" s="42"/>
      <c r="U59" s="42"/>
      <c r="W59" s="42"/>
      <c r="Y59" s="42"/>
      <c r="Z59" s="42"/>
      <c r="AB59" s="42"/>
      <c r="AD59" s="42"/>
      <c r="AF59" s="42"/>
      <c r="AH59" s="42"/>
      <c r="AJ59" s="42"/>
      <c r="AL59" s="42"/>
      <c r="AN59" s="71"/>
      <c r="AP59" s="42"/>
      <c r="AT59" s="38"/>
      <c r="AU59" s="38"/>
    </row>
    <row r="60" spans="1:52" s="14" customFormat="1" ht="18.75">
      <c r="B60" s="1" t="s">
        <v>267</v>
      </c>
      <c r="I60" s="42"/>
      <c r="K60" s="37"/>
      <c r="M60" s="76"/>
      <c r="O60" s="42"/>
      <c r="Q60" s="42"/>
      <c r="S60" s="42"/>
      <c r="U60" s="42"/>
      <c r="W60" s="42"/>
      <c r="Y60" s="42"/>
      <c r="Z60" s="42"/>
      <c r="AB60" s="42"/>
      <c r="AD60" s="42"/>
      <c r="AF60" s="42"/>
      <c r="AH60" s="42"/>
      <c r="AJ60" s="42"/>
      <c r="AL60" s="42"/>
      <c r="AN60" s="71"/>
      <c r="AP60" s="42"/>
      <c r="AT60" s="38"/>
      <c r="AU60" s="38"/>
    </row>
    <row r="61" spans="1:52" s="14" customFormat="1" ht="12.75" customHeight="1">
      <c r="C61" s="14" t="s">
        <v>23</v>
      </c>
      <c r="E61" s="119">
        <v>2017</v>
      </c>
      <c r="G61" s="1123" t="s">
        <v>105</v>
      </c>
      <c r="I61" s="42" t="s">
        <v>218</v>
      </c>
      <c r="K61" s="79">
        <f>AT61</f>
        <v>85.689965952333267</v>
      </c>
      <c r="L61" s="79"/>
      <c r="M61" s="89">
        <v>72.695035460992912</v>
      </c>
      <c r="N61" s="79">
        <v>81.097429464332734</v>
      </c>
      <c r="O61" s="80">
        <v>81.539763549130356</v>
      </c>
      <c r="P61" s="79">
        <v>81.021261889808088</v>
      </c>
      <c r="Q61" s="80">
        <v>66.154427559090578</v>
      </c>
      <c r="R61" s="79">
        <v>84.209522146735324</v>
      </c>
      <c r="S61" s="80">
        <v>81.179444887585007</v>
      </c>
      <c r="T61" s="79">
        <v>79.879580770196981</v>
      </c>
      <c r="U61" s="80">
        <v>81.408808540132839</v>
      </c>
      <c r="V61" s="79">
        <v>83.5079050243029</v>
      </c>
      <c r="W61" s="80">
        <v>83.603868962025217</v>
      </c>
      <c r="X61" s="79">
        <v>81.035502365550897</v>
      </c>
      <c r="Y61" s="80">
        <v>82.65951473066788</v>
      </c>
      <c r="Z61" s="80">
        <v>67.58394689302601</v>
      </c>
      <c r="AA61" s="79">
        <v>82.342786145668569</v>
      </c>
      <c r="AB61" s="80">
        <v>82.032671274210529</v>
      </c>
      <c r="AC61" s="79">
        <v>91.125962516344615</v>
      </c>
      <c r="AD61" s="80">
        <v>82.894663186381237</v>
      </c>
      <c r="AE61" s="79">
        <v>83.826532916577378</v>
      </c>
      <c r="AF61" s="80">
        <v>82.481392067016287</v>
      </c>
      <c r="AG61" s="79">
        <v>85.281946912449186</v>
      </c>
      <c r="AH61" s="80">
        <v>77.22005179162889</v>
      </c>
      <c r="AI61" s="79">
        <v>87.598220750083883</v>
      </c>
      <c r="AJ61" s="80">
        <v>75.382501575534107</v>
      </c>
      <c r="AK61" s="79">
        <v>81.722838527909843</v>
      </c>
      <c r="AL61" s="80">
        <v>86.457423575575632</v>
      </c>
      <c r="AM61" s="79">
        <v>73.837066795339439</v>
      </c>
      <c r="AN61" s="156">
        <v>84.514067057084844</v>
      </c>
      <c r="AO61" s="22"/>
      <c r="AP61" s="80">
        <v>81.842889573406453</v>
      </c>
      <c r="AQ61" s="79">
        <f>100*AQ51/(AQ$51+AQ$53+AQ$54+AQ$55)</f>
        <v>82.80622872239266</v>
      </c>
      <c r="AT61" s="79">
        <f>100*AT51/(AT$51+AT$53+AT$54+AT$55)</f>
        <v>85.689965952333267</v>
      </c>
      <c r="AU61" s="79">
        <f>100*AU51/(AU$51+AU$53+AU$54+AU$55)</f>
        <v>85.596454706030798</v>
      </c>
    </row>
    <row r="62" spans="1:52" s="14" customFormat="1">
      <c r="C62" s="14" t="s">
        <v>30</v>
      </c>
      <c r="E62" s="119">
        <v>2017</v>
      </c>
      <c r="G62" s="1123"/>
      <c r="I62" s="42" t="s">
        <v>137</v>
      </c>
      <c r="K62" s="79">
        <f>AT62</f>
        <v>6.5191267774884842</v>
      </c>
      <c r="L62" s="79"/>
      <c r="M62" s="89">
        <v>9.6668977408059167</v>
      </c>
      <c r="N62" s="79">
        <v>10.133494462513696</v>
      </c>
      <c r="O62" s="80">
        <v>14.920033335837291</v>
      </c>
      <c r="P62" s="79">
        <v>18.978738110191905</v>
      </c>
      <c r="Q62" s="80">
        <v>15.739568352751462</v>
      </c>
      <c r="R62" s="79">
        <v>5.6247676970941098</v>
      </c>
      <c r="S62" s="80">
        <v>9.8692660240377474</v>
      </c>
      <c r="T62" s="79">
        <v>17.150861084263109</v>
      </c>
      <c r="U62" s="80">
        <v>16.353305628770613</v>
      </c>
      <c r="V62" s="79">
        <v>7.6543937123081953</v>
      </c>
      <c r="W62" s="80">
        <v>10.335163827125012</v>
      </c>
      <c r="X62" s="79">
        <v>6.2347075265004559</v>
      </c>
      <c r="Y62" s="80">
        <v>13.098514114027711</v>
      </c>
      <c r="Z62" s="80">
        <v>20.40636769049372</v>
      </c>
      <c r="AA62" s="79">
        <v>14.298061599271842</v>
      </c>
      <c r="AB62" s="80">
        <v>11.361824340693953</v>
      </c>
      <c r="AC62" s="79">
        <v>7.958738921981694</v>
      </c>
      <c r="AD62" s="80">
        <v>12.374001916495715</v>
      </c>
      <c r="AE62" s="79">
        <v>12.122330771618815</v>
      </c>
      <c r="AF62" s="80">
        <v>17.518607932983699</v>
      </c>
      <c r="AG62" s="79">
        <v>2.8396969926026294</v>
      </c>
      <c r="AH62" s="80">
        <v>13.535761434220397</v>
      </c>
      <c r="AI62" s="79">
        <v>7.0455601156910062</v>
      </c>
      <c r="AJ62" s="80">
        <v>14.082797677046315</v>
      </c>
      <c r="AK62" s="79">
        <v>7.0230674414509604</v>
      </c>
      <c r="AL62" s="80">
        <v>11.726372574839221</v>
      </c>
      <c r="AM62" s="79">
        <v>15.557774564807472</v>
      </c>
      <c r="AN62" s="156">
        <v>4.9769059558717341</v>
      </c>
      <c r="AO62" s="22"/>
      <c r="AP62" s="80">
        <v>8.5228666496430083</v>
      </c>
      <c r="AQ62" s="79">
        <f>100*AQ53/(AQ$51+AQ$53+AQ$54+AQ$55)</f>
        <v>7.5120006516631213</v>
      </c>
      <c r="AT62" s="79">
        <f>100*AT53/(AT$51+AT$53+AT$54+AT$55)</f>
        <v>6.5191267774884842</v>
      </c>
      <c r="AU62" s="79">
        <f>100*AU53/(AU$51+AU$53+AU$54+AU$55)</f>
        <v>5.56790941206157</v>
      </c>
    </row>
    <row r="63" spans="1:52" s="14" customFormat="1">
      <c r="C63" s="14" t="s">
        <v>52</v>
      </c>
      <c r="E63" s="119">
        <v>2017</v>
      </c>
      <c r="G63" s="1123"/>
      <c r="I63" s="42" t="s">
        <v>137</v>
      </c>
      <c r="K63" s="79">
        <f>AT63</f>
        <v>7.7909072701782494</v>
      </c>
      <c r="L63" s="79"/>
      <c r="M63" s="89">
        <v>11.248866847970991</v>
      </c>
      <c r="N63" s="79">
        <v>7.710095056703488</v>
      </c>
      <c r="O63" s="80">
        <v>2.0274166401583122</v>
      </c>
      <c r="P63" s="79" t="s">
        <v>142</v>
      </c>
      <c r="Q63" s="80">
        <v>8.369099820228568</v>
      </c>
      <c r="R63" s="79">
        <v>8.6177740859302503</v>
      </c>
      <c r="S63" s="80">
        <v>8.4902726891721993</v>
      </c>
      <c r="T63" s="79">
        <v>2.2349501744035578</v>
      </c>
      <c r="U63" s="80">
        <v>0.88858640657577115</v>
      </c>
      <c r="V63" s="79">
        <v>6.9205654065559354</v>
      </c>
      <c r="W63" s="80">
        <v>5.3608798525201511</v>
      </c>
      <c r="X63" s="79">
        <v>10.911560111368905</v>
      </c>
      <c r="Y63" s="80">
        <v>2.3230135874516615</v>
      </c>
      <c r="Z63" s="80">
        <v>8.6155741352128619</v>
      </c>
      <c r="AA63" s="79">
        <v>3.0899143223129024</v>
      </c>
      <c r="AB63" s="80">
        <v>5.8619542857646287</v>
      </c>
      <c r="AC63" s="79">
        <v>0.91529856167368884</v>
      </c>
      <c r="AD63" s="80">
        <v>4.7313348971230367</v>
      </c>
      <c r="AE63" s="79">
        <v>3.3355997875737828</v>
      </c>
      <c r="AF63" s="80" t="s">
        <v>142</v>
      </c>
      <c r="AG63" s="79">
        <v>11.336288790373656</v>
      </c>
      <c r="AH63" s="80">
        <v>7.6260401104096553</v>
      </c>
      <c r="AI63" s="79">
        <v>4.2909979072772195</v>
      </c>
      <c r="AJ63" s="80">
        <v>4.3872198946591094</v>
      </c>
      <c r="AK63" s="79">
        <v>9.3896812819158306</v>
      </c>
      <c r="AL63" s="80">
        <v>1.8162038495851383</v>
      </c>
      <c r="AM63" s="79">
        <v>9.857195901483081</v>
      </c>
      <c r="AN63" s="156">
        <v>8.6874006399728998</v>
      </c>
      <c r="AO63" s="22"/>
      <c r="AP63" s="80">
        <v>7.844677441008165</v>
      </c>
      <c r="AQ63" s="79">
        <f>100*AQ55/(AQ$51+AQ$53+AQ$54+AQ$55)</f>
        <v>8.1498422066188656</v>
      </c>
      <c r="AT63" s="79">
        <f>100*AT55/(AT$51+AT$53+AT$54+AT$55)</f>
        <v>7.7909072701782494</v>
      </c>
      <c r="AU63" s="79">
        <f>100*AU55/(AU$51+AU$53+AU$54+AU$55)</f>
        <v>7.6776589704769123</v>
      </c>
    </row>
    <row r="64" spans="1:52" s="14" customFormat="1">
      <c r="C64" s="14" t="s">
        <v>46</v>
      </c>
      <c r="E64" s="119">
        <v>2017</v>
      </c>
      <c r="G64" s="1123"/>
      <c r="I64" s="42" t="s">
        <v>137</v>
      </c>
      <c r="K64" s="79">
        <f>AT64</f>
        <v>0</v>
      </c>
      <c r="L64" s="79"/>
      <c r="M64" s="89">
        <v>6.3891999502301857</v>
      </c>
      <c r="N64" s="79">
        <v>1.0589810164501037</v>
      </c>
      <c r="O64" s="80">
        <v>1.5127864748740549</v>
      </c>
      <c r="P64" s="102" t="s">
        <v>142</v>
      </c>
      <c r="Q64" s="80">
        <v>9.7369042679293916</v>
      </c>
      <c r="R64" s="79">
        <v>1.5479360702402987</v>
      </c>
      <c r="S64" s="80">
        <v>0.46101639920505089</v>
      </c>
      <c r="T64" s="79">
        <v>0.73460797113635234</v>
      </c>
      <c r="U64" s="80">
        <v>1.3492994245207703</v>
      </c>
      <c r="V64" s="79">
        <v>1.9171358568329828</v>
      </c>
      <c r="W64" s="80">
        <v>0.70008735832962055</v>
      </c>
      <c r="X64" s="79">
        <v>1.8182299965797535</v>
      </c>
      <c r="Y64" s="80">
        <v>1.9189575678527495</v>
      </c>
      <c r="Z64" s="80">
        <v>3.3941112812674312</v>
      </c>
      <c r="AA64" s="79">
        <v>0.26923793274668117</v>
      </c>
      <c r="AB64" s="80">
        <v>0.74355009933089322</v>
      </c>
      <c r="AC64" s="79" t="s">
        <v>142</v>
      </c>
      <c r="AD64" s="80" t="s">
        <v>142</v>
      </c>
      <c r="AE64" s="79">
        <v>0.71553652423002634</v>
      </c>
      <c r="AF64" s="80" t="s">
        <v>142</v>
      </c>
      <c r="AG64" s="79">
        <v>0.54206730457451979</v>
      </c>
      <c r="AH64" s="80">
        <v>1.6181466637410638</v>
      </c>
      <c r="AI64" s="79">
        <v>1.0652212269478794</v>
      </c>
      <c r="AJ64" s="80">
        <v>6.1474808527604718</v>
      </c>
      <c r="AK64" s="79">
        <v>1.864412748723367</v>
      </c>
      <c r="AL64" s="80" t="s">
        <v>142</v>
      </c>
      <c r="AM64" s="79">
        <v>0.74796273837001526</v>
      </c>
      <c r="AN64" s="156">
        <v>1.8216263470705378</v>
      </c>
      <c r="AO64" s="22"/>
      <c r="AP64" s="80">
        <v>1.7895663359423903</v>
      </c>
      <c r="AQ64" s="79">
        <f>100*AQ54/(AQ$51+AQ$53+AQ$54+AQ$55)</f>
        <v>1.5319284193253442</v>
      </c>
      <c r="AT64" s="79">
        <f>100*AT54/(AT$51+AT$53+AT$54+AT$55)</f>
        <v>0</v>
      </c>
      <c r="AU64" s="79">
        <f>100*AU54/(AU$51+AU$53+AU$54+AU$55)</f>
        <v>1.1579769114307343</v>
      </c>
    </row>
    <row r="65" spans="2:54" s="14" customFormat="1">
      <c r="C65" s="14" t="s">
        <v>222</v>
      </c>
      <c r="E65" s="119">
        <v>2017</v>
      </c>
      <c r="F65" s="15"/>
      <c r="G65" s="1123"/>
      <c r="I65" s="44" t="s">
        <v>26</v>
      </c>
      <c r="K65" s="149">
        <f>AT65</f>
        <v>9986</v>
      </c>
      <c r="L65" s="36"/>
      <c r="M65" s="72">
        <f>M51+M53+M55+M54</f>
        <v>12825.684653759065</v>
      </c>
      <c r="N65" s="36">
        <f t="shared" ref="N65:AQ65" si="9">N51+N53+N55+N54</f>
        <v>11616.389162753192</v>
      </c>
      <c r="O65" s="81">
        <f t="shared" si="9"/>
        <v>9959.4211838550691</v>
      </c>
      <c r="P65" s="36">
        <f>P51+P53</f>
        <v>9468.1855165269699</v>
      </c>
      <c r="Q65" s="81">
        <f t="shared" si="9"/>
        <v>10620.634437489247</v>
      </c>
      <c r="R65" s="36">
        <f t="shared" si="9"/>
        <v>13465.035655550913</v>
      </c>
      <c r="S65" s="81">
        <f t="shared" si="9"/>
        <v>12866.580654049587</v>
      </c>
      <c r="T65" s="36">
        <f t="shared" si="9"/>
        <v>12447.376366790995</v>
      </c>
      <c r="U65" s="81">
        <f t="shared" si="9"/>
        <v>11621.502799581647</v>
      </c>
      <c r="V65" s="36">
        <f t="shared" si="9"/>
        <v>8565.281001402509</v>
      </c>
      <c r="W65" s="81">
        <f t="shared" si="9"/>
        <v>14476.732384876592</v>
      </c>
      <c r="X65" s="36">
        <f t="shared" si="9"/>
        <v>13694.405867145386</v>
      </c>
      <c r="Y65" s="81">
        <f t="shared" si="9"/>
        <v>7626.711244705074</v>
      </c>
      <c r="Z65" s="81">
        <f t="shared" si="9"/>
        <v>9158.6924031399249</v>
      </c>
      <c r="AA65" s="36">
        <f t="shared" si="9"/>
        <v>14354.002039435727</v>
      </c>
      <c r="AB65" s="81">
        <f t="shared" si="9"/>
        <v>14987.362897943693</v>
      </c>
      <c r="AC65" s="36">
        <f>AC51+AC53+AC55</f>
        <v>12084.325876153129</v>
      </c>
      <c r="AD65" s="81">
        <f>AD51+AD53+AD55</f>
        <v>15672.840463924595</v>
      </c>
      <c r="AE65" s="36">
        <f t="shared" si="9"/>
        <v>9162.4554641877694</v>
      </c>
      <c r="AF65" s="81">
        <f>AF51+AF53</f>
        <v>6896.4351060164918</v>
      </c>
      <c r="AG65" s="36">
        <f t="shared" si="9"/>
        <v>9521.2325235706685</v>
      </c>
      <c r="AH65" s="81">
        <f t="shared" si="9"/>
        <v>7016.6327726748505</v>
      </c>
      <c r="AI65" s="36">
        <f t="shared" si="9"/>
        <v>10208.335912975575</v>
      </c>
      <c r="AJ65" s="81">
        <f t="shared" si="9"/>
        <v>6570.8188726165217</v>
      </c>
      <c r="AK65" s="36">
        <f t="shared" si="9"/>
        <v>14204.384865344233</v>
      </c>
      <c r="AL65" s="81">
        <f>AL51+AL53+AL55</f>
        <v>15191.547618010631</v>
      </c>
      <c r="AM65" s="36">
        <f t="shared" si="9"/>
        <v>7006.7064820012292</v>
      </c>
      <c r="AN65" s="71">
        <f t="shared" si="9"/>
        <v>12053.759729297648</v>
      </c>
      <c r="AO65" s="22"/>
      <c r="AP65" s="81">
        <f t="shared" si="9"/>
        <v>11708.187356742241</v>
      </c>
      <c r="AQ65" s="36">
        <f t="shared" si="9"/>
        <v>12616.707804999653</v>
      </c>
      <c r="AR65" s="25"/>
      <c r="AS65" s="25"/>
      <c r="AT65" s="36">
        <f>AT51+AT53+AT55+AT54</f>
        <v>9986</v>
      </c>
      <c r="AU65" s="36">
        <f>AU51+AU53+AU55+AU54</f>
        <v>10145.279999999999</v>
      </c>
    </row>
    <row r="66" spans="2:54" s="14" customFormat="1" ht="9.75" customHeight="1">
      <c r="I66" s="42"/>
      <c r="K66" s="163"/>
      <c r="M66" s="76"/>
      <c r="O66" s="42"/>
      <c r="Q66" s="42"/>
      <c r="S66" s="42"/>
      <c r="U66" s="42"/>
      <c r="W66" s="42"/>
      <c r="Y66" s="42"/>
      <c r="Z66" s="42"/>
      <c r="AB66" s="42"/>
      <c r="AD66" s="42"/>
      <c r="AF66" s="42"/>
      <c r="AH66" s="42"/>
      <c r="AJ66" s="42"/>
      <c r="AL66" s="42"/>
      <c r="AN66" s="42"/>
      <c r="AP66" s="42"/>
    </row>
    <row r="67" spans="2:54" s="14" customFormat="1" ht="15.75">
      <c r="B67" s="1" t="s">
        <v>111</v>
      </c>
      <c r="I67" s="42"/>
      <c r="K67" s="15"/>
      <c r="M67" s="76"/>
      <c r="O67" s="42"/>
      <c r="Q67" s="42"/>
      <c r="S67" s="42"/>
      <c r="U67" s="42"/>
      <c r="W67" s="42"/>
      <c r="Y67" s="42"/>
      <c r="Z67" s="42"/>
      <c r="AB67" s="42"/>
      <c r="AD67" s="42"/>
      <c r="AF67" s="42"/>
      <c r="AH67" s="42"/>
      <c r="AJ67" s="42"/>
      <c r="AL67" s="42"/>
      <c r="AN67" s="42"/>
      <c r="AP67" s="42"/>
    </row>
    <row r="68" spans="2:54" s="14" customFormat="1">
      <c r="C68" s="14" t="s">
        <v>0</v>
      </c>
      <c r="E68" s="119">
        <v>2017</v>
      </c>
      <c r="I68" s="43" t="s">
        <v>138</v>
      </c>
      <c r="J68" s="105"/>
      <c r="K68" s="95">
        <v>12.6523</v>
      </c>
      <c r="L68" s="105"/>
      <c r="M68" s="73">
        <v>20.092275000000001</v>
      </c>
      <c r="N68" s="17">
        <v>24.521850999999995</v>
      </c>
      <c r="O68" s="52">
        <v>8.7885480000000005</v>
      </c>
      <c r="P68" s="17">
        <v>6.811064</v>
      </c>
      <c r="Q68" s="52">
        <v>11.44961</v>
      </c>
      <c r="R68" s="17">
        <v>141.725402</v>
      </c>
      <c r="S68" s="52">
        <v>24.681784</v>
      </c>
      <c r="T68" s="17">
        <v>2.1191659999999999</v>
      </c>
      <c r="U68" s="52">
        <v>41.663620999999999</v>
      </c>
      <c r="V68" s="17">
        <v>179.91631699999999</v>
      </c>
      <c r="W68" s="52">
        <v>15.236349000000002</v>
      </c>
      <c r="X68" s="17">
        <v>99.597431000000014</v>
      </c>
      <c r="Y68" s="52">
        <v>7.4014089999999984</v>
      </c>
      <c r="Z68" s="52">
        <v>10.605402000000002</v>
      </c>
      <c r="AA68" s="17">
        <v>28.802550000000004</v>
      </c>
      <c r="AB68" s="52">
        <v>116.80899799999997</v>
      </c>
      <c r="AC68" s="17">
        <v>4.0022830000000003</v>
      </c>
      <c r="AD68" s="52">
        <v>3.2156340000000001</v>
      </c>
      <c r="AE68" s="17">
        <v>4.4198719999999998</v>
      </c>
      <c r="AF68" s="52">
        <v>5.497128</v>
      </c>
      <c r="AG68" s="17">
        <v>48.367461999999982</v>
      </c>
      <c r="AH68" s="52">
        <v>30.246350000000007</v>
      </c>
      <c r="AI68" s="17">
        <v>39.110779000000008</v>
      </c>
      <c r="AJ68" s="52">
        <v>15.710426999999999</v>
      </c>
      <c r="AK68" s="17">
        <v>31.337411999999997</v>
      </c>
      <c r="AL68" s="52">
        <v>1.8166849999999999</v>
      </c>
      <c r="AM68" s="17">
        <v>1.0085990000000002</v>
      </c>
      <c r="AN68" s="52">
        <v>188.60853800000004</v>
      </c>
      <c r="AO68" s="17"/>
      <c r="AP68" s="52">
        <v>1113.5629459999998</v>
      </c>
      <c r="AQ68" s="19">
        <v>1003.6864029999999</v>
      </c>
      <c r="AR68" s="105"/>
      <c r="AS68" s="105"/>
      <c r="AT68" s="95">
        <f>K68</f>
        <v>12.6523</v>
      </c>
      <c r="AV68" s="95">
        <v>164.23660899999999</v>
      </c>
      <c r="AX68" s="20">
        <v>-61.482500000000073</v>
      </c>
      <c r="AZ68" s="1115" t="s">
        <v>278</v>
      </c>
    </row>
    <row r="69" spans="2:54" s="14" customFormat="1">
      <c r="C69" s="14" t="s">
        <v>38</v>
      </c>
      <c r="E69" s="119">
        <v>2017</v>
      </c>
      <c r="I69" s="44" t="s">
        <v>26</v>
      </c>
      <c r="K69" s="95">
        <f>K68/5.314</f>
        <v>2.3809371471584493</v>
      </c>
      <c r="M69" s="90">
        <f>M68/M11</f>
        <v>2.2774503424119903</v>
      </c>
      <c r="N69" s="17">
        <f t="shared" ref="N69:AQ69" si="10">N68/N11</f>
        <v>2.1513058326780619</v>
      </c>
      <c r="O69" s="52">
        <f t="shared" si="10"/>
        <v>1.2465965412365387</v>
      </c>
      <c r="P69" s="17">
        <f t="shared" si="10"/>
        <v>7.8810232390226744</v>
      </c>
      <c r="Q69" s="52">
        <f t="shared" si="10"/>
        <v>1.0791282420307906</v>
      </c>
      <c r="R69" s="17">
        <f t="shared" si="10"/>
        <v>1.7118175808294176</v>
      </c>
      <c r="S69" s="52">
        <f t="shared" si="10"/>
        <v>4.2693258654360093</v>
      </c>
      <c r="T69" s="17">
        <f t="shared" si="10"/>
        <v>1.6064839557497235</v>
      </c>
      <c r="U69" s="52">
        <f t="shared" si="10"/>
        <v>3.8788735672527141</v>
      </c>
      <c r="V69" s="17">
        <f t="shared" si="10"/>
        <v>3.8560288343930518</v>
      </c>
      <c r="W69" s="52">
        <f t="shared" si="10"/>
        <v>2.7636476919644561</v>
      </c>
      <c r="X69" s="17">
        <f t="shared" si="10"/>
        <v>1.4881687828942722</v>
      </c>
      <c r="Y69" s="52">
        <f t="shared" si="10"/>
        <v>1.8028063864680803</v>
      </c>
      <c r="Z69" s="52">
        <f t="shared" si="10"/>
        <v>1.0845775845485921</v>
      </c>
      <c r="AA69" s="17">
        <f t="shared" si="10"/>
        <v>5.9627769340459338</v>
      </c>
      <c r="AB69" s="52">
        <f t="shared" si="10"/>
        <v>1.9312388423954885</v>
      </c>
      <c r="AC69" s="17">
        <f t="shared" si="10"/>
        <v>1.4248572662404264</v>
      </c>
      <c r="AD69" s="52">
        <f t="shared" si="10"/>
        <v>5.3415403526548779</v>
      </c>
      <c r="AE69" s="17">
        <f t="shared" si="10"/>
        <v>2.2849048712791027</v>
      </c>
      <c r="AF69" s="52">
        <f t="shared" si="10"/>
        <v>11.555847055188028</v>
      </c>
      <c r="AG69" s="17">
        <f t="shared" si="10"/>
        <v>2.8151577630375351</v>
      </c>
      <c r="AH69" s="52">
        <f t="shared" si="10"/>
        <v>0.79644519807638847</v>
      </c>
      <c r="AI69" s="17">
        <f t="shared" si="10"/>
        <v>3.8004738496944968</v>
      </c>
      <c r="AJ69" s="52">
        <f t="shared" si="10"/>
        <v>0.80439935606791202</v>
      </c>
      <c r="AK69" s="17">
        <f t="shared" si="10"/>
        <v>3.0965081665043188</v>
      </c>
      <c r="AL69" s="52">
        <f t="shared" si="10"/>
        <v>0.87895039866852454</v>
      </c>
      <c r="AM69" s="17">
        <f t="shared" si="10"/>
        <v>0.18529795411455197</v>
      </c>
      <c r="AN69" s="52">
        <f t="shared" si="10"/>
        <v>2.8459085714644403</v>
      </c>
      <c r="AO69" s="17"/>
      <c r="AP69" s="52">
        <f t="shared" si="10"/>
        <v>2.1733179092107018</v>
      </c>
      <c r="AQ69" s="17">
        <f t="shared" si="10"/>
        <v>2.4575123799628376</v>
      </c>
      <c r="AR69" s="17"/>
      <c r="AS69" s="17"/>
      <c r="AT69" s="95">
        <f>AT68/5.347</f>
        <v>2.3662427529455767</v>
      </c>
      <c r="AU69" s="17"/>
      <c r="AV69" s="17">
        <f>AV68/AV11</f>
        <v>2.4721193547731595</v>
      </c>
      <c r="AZ69" s="1116"/>
    </row>
    <row r="70" spans="2:54" s="14" customFormat="1" ht="6" customHeight="1">
      <c r="I70" s="42"/>
      <c r="K70" s="15"/>
      <c r="M70" s="76"/>
      <c r="O70" s="42"/>
      <c r="Q70" s="42"/>
      <c r="S70" s="42"/>
      <c r="U70" s="42"/>
      <c r="W70" s="42"/>
      <c r="Y70" s="42"/>
      <c r="Z70" s="42"/>
      <c r="AB70" s="42"/>
      <c r="AD70" s="42"/>
      <c r="AF70" s="42"/>
      <c r="AH70" s="42"/>
      <c r="AJ70" s="42"/>
      <c r="AL70" s="42"/>
      <c r="AN70" s="42"/>
      <c r="AP70" s="42"/>
      <c r="AT70" s="15"/>
      <c r="AZ70" s="1116"/>
    </row>
    <row r="71" spans="2:54" s="14" customFormat="1" ht="15.75">
      <c r="B71" s="1" t="s">
        <v>35</v>
      </c>
      <c r="I71" s="42"/>
      <c r="K71" s="15"/>
      <c r="M71" s="76"/>
      <c r="O71" s="42"/>
      <c r="Q71" s="42"/>
      <c r="S71" s="42"/>
      <c r="U71" s="42"/>
      <c r="W71" s="42"/>
      <c r="Y71" s="42"/>
      <c r="Z71" s="42"/>
      <c r="AB71" s="42"/>
      <c r="AD71" s="42"/>
      <c r="AF71" s="42"/>
      <c r="AH71" s="42"/>
      <c r="AJ71" s="42"/>
      <c r="AL71" s="42"/>
      <c r="AN71" s="42"/>
      <c r="AP71" s="42"/>
      <c r="AT71" s="110"/>
      <c r="AU71" s="105"/>
      <c r="AV71" s="105"/>
      <c r="AZ71" s="1116"/>
    </row>
    <row r="72" spans="2:54" s="14" customFormat="1">
      <c r="C72" s="14" t="s">
        <v>36</v>
      </c>
      <c r="E72" s="119">
        <v>2017</v>
      </c>
      <c r="G72" s="21"/>
      <c r="I72" s="43" t="s">
        <v>139</v>
      </c>
      <c r="K72" s="36">
        <v>145</v>
      </c>
      <c r="M72" s="84">
        <v>414</v>
      </c>
      <c r="N72" s="25">
        <v>615</v>
      </c>
      <c r="O72" s="51">
        <v>682</v>
      </c>
      <c r="P72" s="25">
        <v>53</v>
      </c>
      <c r="Q72" s="51">
        <v>577</v>
      </c>
      <c r="R72" s="25">
        <v>3180</v>
      </c>
      <c r="S72" s="51">
        <v>175</v>
      </c>
      <c r="T72" s="25">
        <v>48</v>
      </c>
      <c r="U72" s="51">
        <v>731</v>
      </c>
      <c r="V72" s="25">
        <v>1830</v>
      </c>
      <c r="W72" s="51">
        <v>238</v>
      </c>
      <c r="X72" s="25">
        <v>3444</v>
      </c>
      <c r="Y72" s="51">
        <v>331</v>
      </c>
      <c r="Z72" s="51">
        <v>625</v>
      </c>
      <c r="AA72" s="25">
        <v>156</v>
      </c>
      <c r="AB72" s="51">
        <v>3378</v>
      </c>
      <c r="AC72" s="25">
        <v>191</v>
      </c>
      <c r="AD72" s="51">
        <v>25</v>
      </c>
      <c r="AE72" s="25">
        <v>136</v>
      </c>
      <c r="AF72" s="51">
        <v>19</v>
      </c>
      <c r="AG72" s="25">
        <v>535</v>
      </c>
      <c r="AH72" s="51">
        <v>2831</v>
      </c>
      <c r="AI72" s="25">
        <v>602</v>
      </c>
      <c r="AJ72" s="51">
        <v>1951</v>
      </c>
      <c r="AK72" s="25">
        <v>253</v>
      </c>
      <c r="AL72" s="51">
        <v>104</v>
      </c>
      <c r="AM72" s="25">
        <v>276</v>
      </c>
      <c r="AN72" s="51">
        <v>1856</v>
      </c>
      <c r="AO72" s="25"/>
      <c r="AP72" s="59">
        <v>25256</v>
      </c>
      <c r="AQ72" s="91">
        <v>17432</v>
      </c>
      <c r="AT72" s="36">
        <f>K72</f>
        <v>145</v>
      </c>
      <c r="AU72" s="25">
        <v>1793</v>
      </c>
      <c r="AV72" s="25">
        <f>AN72</f>
        <v>1856</v>
      </c>
      <c r="AX72" s="25">
        <v>-13446</v>
      </c>
      <c r="BB72" s="25"/>
    </row>
    <row r="73" spans="2:54" s="14" customFormat="1" ht="12" customHeight="1">
      <c r="C73" s="14" t="s">
        <v>37</v>
      </c>
      <c r="E73" s="119">
        <v>2017</v>
      </c>
      <c r="I73" s="44" t="s">
        <v>26</v>
      </c>
      <c r="K73" s="36">
        <f>K72/5.373</f>
        <v>26.986785780755628</v>
      </c>
      <c r="M73" s="86">
        <f>M72/M11</f>
        <v>46.926713961388835</v>
      </c>
      <c r="N73" s="24">
        <f t="shared" ref="N73:AP73" si="11">N72/N11</f>
        <v>53.954046417499569</v>
      </c>
      <c r="O73" s="49">
        <f t="shared" si="11"/>
        <v>96.737122118843686</v>
      </c>
      <c r="P73" s="24">
        <f t="shared" si="11"/>
        <v>61.32584155253889</v>
      </c>
      <c r="Q73" s="49">
        <f t="shared" si="11"/>
        <v>54.382375963178326</v>
      </c>
      <c r="R73" s="24">
        <f t="shared" si="11"/>
        <v>38.409345327082207</v>
      </c>
      <c r="S73" s="49">
        <f t="shared" si="11"/>
        <v>30.270584429849219</v>
      </c>
      <c r="T73" s="24">
        <f t="shared" si="11"/>
        <v>36.387536359108601</v>
      </c>
      <c r="U73" s="49">
        <f t="shared" si="11"/>
        <v>68.055932480322198</v>
      </c>
      <c r="V73" s="24">
        <f t="shared" si="11"/>
        <v>39.22119396730028</v>
      </c>
      <c r="W73" s="49">
        <f t="shared" si="11"/>
        <v>43.169669498089107</v>
      </c>
      <c r="X73" s="24">
        <f t="shared" si="11"/>
        <v>51.459693657036922</v>
      </c>
      <c r="Y73" s="49">
        <f t="shared" si="11"/>
        <v>80.623691235133023</v>
      </c>
      <c r="Z73" s="49">
        <f t="shared" si="11"/>
        <v>63.916576697693309</v>
      </c>
      <c r="AA73" s="24">
        <f t="shared" si="11"/>
        <v>32.295515560641867</v>
      </c>
      <c r="AB73" s="49">
        <f t="shared" si="11"/>
        <v>55.849505785607043</v>
      </c>
      <c r="AC73" s="24">
        <f t="shared" si="11"/>
        <v>67.998124533402915</v>
      </c>
      <c r="AD73" s="49">
        <f t="shared" si="11"/>
        <v>41.5278942865923</v>
      </c>
      <c r="AE73" s="24">
        <f t="shared" si="11"/>
        <v>70.306801304191168</v>
      </c>
      <c r="AF73" s="49">
        <f t="shared" si="11"/>
        <v>39.941055410856819</v>
      </c>
      <c r="AG73" s="24">
        <f t="shared" si="11"/>
        <v>31.138896707565138</v>
      </c>
      <c r="AH73" s="49">
        <f t="shared" si="11"/>
        <v>74.545733807691022</v>
      </c>
      <c r="AI73" s="24">
        <f t="shared" si="11"/>
        <v>58.497562974035539</v>
      </c>
      <c r="AJ73" s="49">
        <f t="shared" si="11"/>
        <v>99.894365932160611</v>
      </c>
      <c r="AK73" s="24">
        <f t="shared" si="11"/>
        <v>24.999402188208546</v>
      </c>
      <c r="AL73" s="49">
        <f t="shared" si="11"/>
        <v>50.31738659235176</v>
      </c>
      <c r="AM73" s="24">
        <f t="shared" si="11"/>
        <v>50.706212613354104</v>
      </c>
      <c r="AN73" s="49">
        <f t="shared" si="11"/>
        <v>28.005128318411547</v>
      </c>
      <c r="AO73" s="24"/>
      <c r="AP73" s="49">
        <f t="shared" si="11"/>
        <v>49.29161599009015</v>
      </c>
      <c r="AQ73" s="24">
        <f>AQ72/AQ11</f>
        <v>42.682012707820043</v>
      </c>
      <c r="AR73" s="24"/>
      <c r="AS73" s="24"/>
      <c r="AT73" s="36">
        <f>K73</f>
        <v>26.986785780755628</v>
      </c>
      <c r="AU73" s="24">
        <f>AU72/AU11</f>
        <v>27.775235113957233</v>
      </c>
      <c r="AV73" s="25">
        <f>AN73</f>
        <v>28.005128318411547</v>
      </c>
      <c r="BA73" s="14">
        <f>RANK(K73,K73:AN73,1)</f>
        <v>2</v>
      </c>
    </row>
    <row r="74" spans="2:54" s="14" customFormat="1" ht="6" customHeight="1">
      <c r="I74" s="42"/>
      <c r="K74" s="15"/>
      <c r="M74" s="76"/>
      <c r="O74" s="42"/>
      <c r="Q74" s="42"/>
      <c r="S74" s="42"/>
      <c r="U74" s="42"/>
      <c r="W74" s="42"/>
      <c r="Y74" s="42"/>
      <c r="Z74" s="42"/>
      <c r="AB74" s="42"/>
      <c r="AD74" s="42"/>
      <c r="AF74" s="42"/>
      <c r="AH74" s="42"/>
      <c r="AJ74" s="42"/>
      <c r="AL74" s="42"/>
      <c r="AN74" s="42"/>
      <c r="AP74" s="42"/>
      <c r="AV74" s="25"/>
    </row>
    <row r="75" spans="2:54" s="14" customFormat="1" ht="14.25" customHeight="1">
      <c r="B75" s="1" t="s">
        <v>220</v>
      </c>
      <c r="I75" s="42"/>
      <c r="K75" s="15"/>
      <c r="M75" s="76"/>
      <c r="O75" s="42"/>
      <c r="Q75" s="42"/>
      <c r="S75" s="42"/>
      <c r="U75" s="42"/>
      <c r="W75" s="42"/>
      <c r="Y75" s="42"/>
      <c r="Z75" s="42"/>
      <c r="AB75" s="42"/>
      <c r="AD75" s="42"/>
      <c r="AF75" s="42"/>
      <c r="AH75" s="42"/>
      <c r="AJ75" s="42"/>
      <c r="AL75" s="42"/>
      <c r="AN75" s="42"/>
      <c r="AP75" s="42"/>
    </row>
    <row r="76" spans="2:54" s="14" customFormat="1" ht="15.75" customHeight="1">
      <c r="C76" s="14" t="s">
        <v>41</v>
      </c>
      <c r="E76" s="119">
        <v>2017</v>
      </c>
      <c r="I76" s="42" t="s">
        <v>207</v>
      </c>
      <c r="K76" s="144">
        <v>14.882999999999999</v>
      </c>
      <c r="L76" s="31"/>
      <c r="M76" s="145">
        <v>25.978000000000002</v>
      </c>
      <c r="N76" s="144">
        <v>34.22</v>
      </c>
      <c r="O76" s="146">
        <v>35.15</v>
      </c>
      <c r="P76" s="144">
        <v>0.82599999999999996</v>
      </c>
      <c r="Q76" s="146">
        <v>44.274000000000001</v>
      </c>
      <c r="R76" s="144">
        <v>313.149</v>
      </c>
      <c r="S76" s="146">
        <v>15.502000000000001</v>
      </c>
      <c r="T76" s="144">
        <v>6.1890000000000001</v>
      </c>
      <c r="U76" s="146">
        <v>28.376999999999999</v>
      </c>
      <c r="V76" s="144">
        <v>231.10900000000001</v>
      </c>
      <c r="W76" s="146">
        <v>27.966000000000001</v>
      </c>
      <c r="X76" s="144">
        <v>167.691</v>
      </c>
      <c r="Y76" s="146">
        <v>11.834</v>
      </c>
      <c r="Z76" s="146">
        <v>39.683999999999997</v>
      </c>
      <c r="AA76" s="144">
        <v>11.836</v>
      </c>
      <c r="AB76" s="146">
        <v>119.687</v>
      </c>
      <c r="AC76" s="144">
        <v>39.098999999999997</v>
      </c>
      <c r="AD76" s="146">
        <v>9.4139999999999997</v>
      </c>
      <c r="AE76" s="144">
        <v>14.972</v>
      </c>
      <c r="AF76" s="146">
        <v>0.25</v>
      </c>
      <c r="AG76" s="144">
        <v>67.533000000000001</v>
      </c>
      <c r="AH76" s="146">
        <v>335.22</v>
      </c>
      <c r="AI76" s="144">
        <v>34.186</v>
      </c>
      <c r="AJ76" s="146">
        <v>54.704000000000001</v>
      </c>
      <c r="AK76" s="144">
        <v>41.850999999999999</v>
      </c>
      <c r="AL76" s="146">
        <v>20.814</v>
      </c>
      <c r="AM76" s="144">
        <v>35.411000000000001</v>
      </c>
      <c r="AN76" s="146">
        <v>153.93899999999999</v>
      </c>
      <c r="AO76" s="147"/>
      <c r="AP76" s="148">
        <v>1920.865</v>
      </c>
      <c r="AQ76" s="149">
        <v>1282.4379999999999</v>
      </c>
      <c r="AR76" s="31"/>
      <c r="AS76" s="31"/>
      <c r="AT76" s="144">
        <f>K76</f>
        <v>14.882999999999999</v>
      </c>
      <c r="AU76" s="144">
        <v>147.04943200610421</v>
      </c>
      <c r="AV76" s="144"/>
    </row>
    <row r="77" spans="2:54" s="14" customFormat="1" ht="15.75" customHeight="1">
      <c r="C77" s="14" t="s">
        <v>42</v>
      </c>
      <c r="E77" s="119">
        <v>2017</v>
      </c>
      <c r="I77" s="42" t="s">
        <v>210</v>
      </c>
      <c r="K77" s="144">
        <v>2.6070000000000002</v>
      </c>
      <c r="L77" s="31"/>
      <c r="M77" s="145">
        <v>22.256</v>
      </c>
      <c r="N77" s="144">
        <v>7.3</v>
      </c>
      <c r="O77" s="146">
        <v>3.931</v>
      </c>
      <c r="P77" s="164" t="s">
        <v>142</v>
      </c>
      <c r="Q77" s="146">
        <v>15.843</v>
      </c>
      <c r="R77" s="144">
        <v>112.232</v>
      </c>
      <c r="S77" s="146">
        <v>2.653</v>
      </c>
      <c r="T77" s="144">
        <v>2.3250000000000002</v>
      </c>
      <c r="U77" s="146">
        <v>0.35799999999999998</v>
      </c>
      <c r="V77" s="144">
        <v>10.677</v>
      </c>
      <c r="W77" s="146">
        <v>10.362</v>
      </c>
      <c r="X77" s="144">
        <v>33.442</v>
      </c>
      <c r="Y77" s="146">
        <v>2.5920000000000001</v>
      </c>
      <c r="Z77" s="146">
        <v>13.356</v>
      </c>
      <c r="AA77" s="144">
        <v>0.1</v>
      </c>
      <c r="AB77" s="146">
        <v>22.335000000000001</v>
      </c>
      <c r="AC77" s="144">
        <v>15.414</v>
      </c>
      <c r="AD77" s="146">
        <v>0.2</v>
      </c>
      <c r="AE77" s="144">
        <v>15.013999999999999</v>
      </c>
      <c r="AF77" s="165">
        <v>0</v>
      </c>
      <c r="AG77" s="144">
        <v>6.4669999999999996</v>
      </c>
      <c r="AH77" s="146">
        <v>54.796999999999997</v>
      </c>
      <c r="AI77" s="144">
        <v>2.7509999999999999</v>
      </c>
      <c r="AJ77" s="146">
        <v>13.782</v>
      </c>
      <c r="AK77" s="144">
        <v>21.838000000000001</v>
      </c>
      <c r="AL77" s="146">
        <v>5.1280000000000001</v>
      </c>
      <c r="AM77" s="144">
        <v>8.4770000000000003</v>
      </c>
      <c r="AN77" s="146">
        <v>17.167000000000002</v>
      </c>
      <c r="AO77" s="147"/>
      <c r="AP77" s="148">
        <v>420.79700000000003</v>
      </c>
      <c r="AQ77" s="149">
        <v>270.13800000000003</v>
      </c>
      <c r="AR77" s="31"/>
      <c r="AS77" s="31"/>
      <c r="AT77" s="144">
        <f>K77</f>
        <v>2.6070000000000002</v>
      </c>
      <c r="AU77" s="144">
        <v>17.167000000000002</v>
      </c>
      <c r="AV77" s="144"/>
      <c r="AZ77" s="1115" t="s">
        <v>325</v>
      </c>
    </row>
    <row r="78" spans="2:54" s="14" customFormat="1" ht="15.75" customHeight="1">
      <c r="C78" s="14" t="s">
        <v>43</v>
      </c>
      <c r="E78" s="119">
        <v>2017</v>
      </c>
      <c r="I78" s="42" t="s">
        <v>211</v>
      </c>
      <c r="K78" s="144">
        <v>0.252</v>
      </c>
      <c r="L78" s="31">
        <v>10.451000000000001</v>
      </c>
      <c r="M78" s="145">
        <v>2.0219999999999998</v>
      </c>
      <c r="N78" s="26">
        <v>11.098000000000001</v>
      </c>
      <c r="O78" s="50">
        <v>5.2789999999999999</v>
      </c>
      <c r="P78" s="164">
        <v>0</v>
      </c>
      <c r="Q78" s="165">
        <v>2.5000000000000001E-2</v>
      </c>
      <c r="R78" s="164">
        <v>55.518000000000001</v>
      </c>
      <c r="S78" s="165">
        <v>0</v>
      </c>
      <c r="T78" s="164">
        <v>0</v>
      </c>
      <c r="U78" s="165">
        <v>0</v>
      </c>
      <c r="V78" s="164">
        <v>0</v>
      </c>
      <c r="W78" s="146">
        <v>0.10299999999999999</v>
      </c>
      <c r="X78" s="144">
        <v>7.5129999999999999</v>
      </c>
      <c r="Y78" s="42">
        <v>0.81299999999999994</v>
      </c>
      <c r="Z78" s="146">
        <v>1.992</v>
      </c>
      <c r="AA78" s="164">
        <v>0</v>
      </c>
      <c r="AB78" s="146">
        <v>6.0999999999999999E-2</v>
      </c>
      <c r="AC78" s="164">
        <v>0</v>
      </c>
      <c r="AD78" s="165">
        <v>0.19500000000000001</v>
      </c>
      <c r="AE78" s="164">
        <v>0</v>
      </c>
      <c r="AF78" s="165">
        <v>0</v>
      </c>
      <c r="AG78" s="164">
        <v>49.015000000000001</v>
      </c>
      <c r="AH78" s="146">
        <v>0.115</v>
      </c>
      <c r="AI78" s="164">
        <v>0</v>
      </c>
      <c r="AJ78" s="50">
        <v>12.516999999999999</v>
      </c>
      <c r="AK78" s="164">
        <v>5.0000000000000001E-3</v>
      </c>
      <c r="AL78" s="731">
        <v>0</v>
      </c>
      <c r="AM78" s="144">
        <v>0.93300000000000005</v>
      </c>
      <c r="AN78" s="146">
        <v>9.9000000000000005E-2</v>
      </c>
      <c r="AO78" s="147"/>
      <c r="AP78" s="148">
        <v>147.203</v>
      </c>
      <c r="AQ78" s="149">
        <v>125.629</v>
      </c>
      <c r="AR78" s="31"/>
      <c r="AS78" s="31"/>
      <c r="AT78" s="144">
        <f>K78</f>
        <v>0.252</v>
      </c>
      <c r="AU78" s="144">
        <v>9.9488702337755405E-2</v>
      </c>
      <c r="AV78" s="144"/>
      <c r="AZ78" s="1120"/>
    </row>
    <row r="79" spans="2:54" s="14" customFormat="1" ht="15.75" customHeight="1">
      <c r="C79" s="14" t="s">
        <v>44</v>
      </c>
      <c r="E79" s="119">
        <v>2017</v>
      </c>
      <c r="I79" s="42" t="s">
        <v>213</v>
      </c>
      <c r="K79" s="144">
        <v>5.8360000000000003</v>
      </c>
      <c r="L79" s="31"/>
      <c r="M79" s="145">
        <v>8.3960000000000008</v>
      </c>
      <c r="N79" s="144">
        <v>1.6131855349658466</v>
      </c>
      <c r="O79" s="146">
        <v>0.70579999999999998</v>
      </c>
      <c r="P79" s="164">
        <v>0</v>
      </c>
      <c r="Q79" s="146">
        <v>2.165</v>
      </c>
      <c r="R79" s="144">
        <v>18.239999999999998</v>
      </c>
      <c r="S79" s="146">
        <v>2.246</v>
      </c>
      <c r="T79" s="164">
        <v>0</v>
      </c>
      <c r="U79" s="146">
        <v>2.6629999999999997E-2</v>
      </c>
      <c r="V79" s="144">
        <v>9.7129999999999992</v>
      </c>
      <c r="W79" s="165">
        <v>0</v>
      </c>
      <c r="X79" s="144">
        <v>11.180999999999999</v>
      </c>
      <c r="Y79" s="146">
        <v>1.768</v>
      </c>
      <c r="Z79" s="146">
        <v>2.3830800000000001</v>
      </c>
      <c r="AA79" s="164">
        <v>0</v>
      </c>
      <c r="AB79" s="146">
        <v>10.257999999999999</v>
      </c>
      <c r="AC79" s="144">
        <v>0.39100000000000001</v>
      </c>
      <c r="AD79" s="165">
        <v>0</v>
      </c>
      <c r="AE79" s="144">
        <v>1.411</v>
      </c>
      <c r="AF79" s="165">
        <v>0</v>
      </c>
      <c r="AG79" s="144">
        <v>6.1429999999999998</v>
      </c>
      <c r="AH79" s="146">
        <v>21.08</v>
      </c>
      <c r="AI79" s="144">
        <v>0.41599999999999998</v>
      </c>
      <c r="AJ79" s="146">
        <v>1.087</v>
      </c>
      <c r="AK79" s="164">
        <v>0</v>
      </c>
      <c r="AL79" s="731">
        <v>0</v>
      </c>
      <c r="AM79" s="144">
        <v>4.7910000000000004</v>
      </c>
      <c r="AN79" s="146">
        <v>9.9723974756272824</v>
      </c>
      <c r="AO79" s="147"/>
      <c r="AP79" s="148">
        <v>113.98709301059313</v>
      </c>
      <c r="AQ79" s="149">
        <v>78.205213010593127</v>
      </c>
      <c r="AR79" s="31"/>
      <c r="AS79" s="31"/>
      <c r="AT79" s="144">
        <f>K79</f>
        <v>5.8360000000000003</v>
      </c>
      <c r="AU79" s="144">
        <f>AM79</f>
        <v>4.7910000000000004</v>
      </c>
      <c r="AV79" s="144"/>
      <c r="AZ79" s="1120"/>
    </row>
    <row r="80" spans="2:54" s="14" customFormat="1" ht="15.75" customHeight="1">
      <c r="C80" s="14" t="s">
        <v>31</v>
      </c>
      <c r="E80" s="119">
        <v>2017</v>
      </c>
      <c r="G80" s="21"/>
      <c r="I80" s="42" t="s">
        <v>26</v>
      </c>
      <c r="K80" s="144">
        <f t="shared" ref="K80:AN80" si="12">SUM(K76:K79)</f>
        <v>23.577999999999996</v>
      </c>
      <c r="L80" s="31">
        <f t="shared" si="12"/>
        <v>10.451000000000001</v>
      </c>
      <c r="M80" s="145">
        <f t="shared" si="12"/>
        <v>58.652000000000001</v>
      </c>
      <c r="N80" s="144">
        <f t="shared" si="12"/>
        <v>54.231185534965839</v>
      </c>
      <c r="O80" s="146">
        <f t="shared" si="12"/>
        <v>45.065799999999996</v>
      </c>
      <c r="P80" s="164">
        <f t="shared" si="12"/>
        <v>0.82599999999999996</v>
      </c>
      <c r="Q80" s="146">
        <f t="shared" si="12"/>
        <v>62.307000000000002</v>
      </c>
      <c r="R80" s="144">
        <f t="shared" si="12"/>
        <v>499.13900000000001</v>
      </c>
      <c r="S80" s="146">
        <f t="shared" si="12"/>
        <v>20.401</v>
      </c>
      <c r="T80" s="164">
        <f t="shared" si="12"/>
        <v>8.5139999999999993</v>
      </c>
      <c r="U80" s="146">
        <f t="shared" si="12"/>
        <v>28.76163</v>
      </c>
      <c r="V80" s="144">
        <f t="shared" si="12"/>
        <v>251.499</v>
      </c>
      <c r="W80" s="165">
        <f t="shared" si="12"/>
        <v>38.431000000000004</v>
      </c>
      <c r="X80" s="144">
        <f t="shared" si="12"/>
        <v>219.82700000000003</v>
      </c>
      <c r="Y80" s="146">
        <f t="shared" si="12"/>
        <v>17.007000000000001</v>
      </c>
      <c r="Z80" s="146">
        <f t="shared" si="12"/>
        <v>57.415079999999996</v>
      </c>
      <c r="AA80" s="164">
        <f t="shared" si="12"/>
        <v>11.936</v>
      </c>
      <c r="AB80" s="146">
        <f t="shared" si="12"/>
        <v>152.34100000000001</v>
      </c>
      <c r="AC80" s="144">
        <f t="shared" si="12"/>
        <v>54.903999999999996</v>
      </c>
      <c r="AD80" s="165">
        <f t="shared" si="12"/>
        <v>9.8089999999999993</v>
      </c>
      <c r="AE80" s="144">
        <f t="shared" si="12"/>
        <v>31.396999999999998</v>
      </c>
      <c r="AF80" s="165">
        <f t="shared" si="12"/>
        <v>0.25</v>
      </c>
      <c r="AG80" s="144">
        <f t="shared" si="12"/>
        <v>129.15799999999999</v>
      </c>
      <c r="AH80" s="146">
        <f t="shared" si="12"/>
        <v>411.21200000000005</v>
      </c>
      <c r="AI80" s="144">
        <f t="shared" si="12"/>
        <v>37.352999999999994</v>
      </c>
      <c r="AJ80" s="146">
        <f t="shared" si="12"/>
        <v>82.09</v>
      </c>
      <c r="AK80" s="164">
        <f t="shared" si="12"/>
        <v>63.694000000000003</v>
      </c>
      <c r="AL80" s="731">
        <f t="shared" si="12"/>
        <v>25.942</v>
      </c>
      <c r="AM80" s="144">
        <f t="shared" si="12"/>
        <v>49.612000000000009</v>
      </c>
      <c r="AN80" s="146">
        <f t="shared" si="12"/>
        <v>181.17739747562726</v>
      </c>
      <c r="AO80" s="147"/>
      <c r="AP80" s="148">
        <f>SUM(AP76:AP79)</f>
        <v>2602.8520930105933</v>
      </c>
      <c r="AQ80" s="149">
        <f>SUM(AQ76:AQ79)</f>
        <v>1756.410213010593</v>
      </c>
      <c r="AR80" s="31"/>
      <c r="AS80" s="31"/>
      <c r="AT80" s="144">
        <f>K80</f>
        <v>23.577999999999996</v>
      </c>
      <c r="AU80" s="144">
        <f>SUM(AU76:AU79)</f>
        <v>169.10692070844198</v>
      </c>
      <c r="AV80" s="144"/>
      <c r="AZ80" s="1120"/>
    </row>
    <row r="81" spans="1:52" s="14" customFormat="1" ht="6" customHeight="1">
      <c r="I81" s="42"/>
      <c r="K81" s="15"/>
      <c r="M81" s="76"/>
      <c r="O81" s="42"/>
      <c r="Q81" s="42"/>
      <c r="S81" s="42"/>
      <c r="U81" s="42"/>
      <c r="W81" s="42"/>
      <c r="Y81" s="42"/>
      <c r="Z81" s="42"/>
      <c r="AB81" s="42"/>
      <c r="AD81" s="42"/>
      <c r="AF81" s="42"/>
      <c r="AH81" s="42"/>
      <c r="AJ81" s="42"/>
      <c r="AL81" s="42"/>
      <c r="AN81" s="42"/>
      <c r="AP81" s="42"/>
      <c r="AZ81" s="1120"/>
    </row>
    <row r="82" spans="1:52" s="14" customFormat="1" ht="15.75">
      <c r="B82" s="1" t="s">
        <v>112</v>
      </c>
      <c r="I82" s="42"/>
      <c r="K82" s="15"/>
      <c r="M82" s="76"/>
      <c r="N82" s="22"/>
      <c r="O82" s="42"/>
      <c r="Q82" s="42"/>
      <c r="S82" s="42"/>
      <c r="U82" s="42"/>
      <c r="W82" s="42"/>
      <c r="Y82" s="42"/>
      <c r="Z82" s="42"/>
      <c r="AB82" s="42"/>
      <c r="AD82" s="42"/>
      <c r="AF82" s="42"/>
      <c r="AH82" s="42"/>
      <c r="AJ82" s="42"/>
      <c r="AL82" s="42"/>
      <c r="AN82" s="42"/>
      <c r="AP82" s="42"/>
    </row>
    <row r="83" spans="1:52" s="14" customFormat="1">
      <c r="C83" s="14" t="s">
        <v>41</v>
      </c>
      <c r="E83" s="119">
        <v>2017</v>
      </c>
      <c r="I83" s="42" t="s">
        <v>133</v>
      </c>
      <c r="J83" s="105"/>
      <c r="K83" s="137">
        <f>K76/K$80*100</f>
        <v>63.122402239375695</v>
      </c>
      <c r="L83" s="154"/>
      <c r="M83" s="133">
        <f t="shared" ref="M83:AP83" si="13">M76/M$80*100</f>
        <v>44.291754756871036</v>
      </c>
      <c r="N83" s="135">
        <f t="shared" si="13"/>
        <v>63.10022482900817</v>
      </c>
      <c r="O83" s="133">
        <f t="shared" si="13"/>
        <v>77.997062073678933</v>
      </c>
      <c r="P83" s="135">
        <f t="shared" si="13"/>
        <v>100</v>
      </c>
      <c r="Q83" s="133">
        <f t="shared" si="13"/>
        <v>71.057826568443346</v>
      </c>
      <c r="R83" s="135">
        <f t="shared" si="13"/>
        <v>62.737834551096981</v>
      </c>
      <c r="S83" s="133">
        <f t="shared" si="13"/>
        <v>75.986471251409256</v>
      </c>
      <c r="T83" s="135">
        <f t="shared" si="13"/>
        <v>72.692036645525022</v>
      </c>
      <c r="U83" s="133">
        <f t="shared" si="13"/>
        <v>98.662697489676347</v>
      </c>
      <c r="V83" s="135">
        <f t="shared" si="13"/>
        <v>91.892611899053279</v>
      </c>
      <c r="W83" s="133">
        <f t="shared" si="13"/>
        <v>72.769378886836151</v>
      </c>
      <c r="X83" s="135">
        <f t="shared" si="13"/>
        <v>76.283168127664013</v>
      </c>
      <c r="Y83" s="133">
        <f t="shared" si="13"/>
        <v>69.583112835891086</v>
      </c>
      <c r="Z83" s="133">
        <f t="shared" si="13"/>
        <v>69.117730045834648</v>
      </c>
      <c r="AA83" s="135">
        <f t="shared" si="13"/>
        <v>99.162198391420915</v>
      </c>
      <c r="AB83" s="133">
        <f t="shared" si="13"/>
        <v>78.565192561424695</v>
      </c>
      <c r="AC83" s="135">
        <f t="shared" si="13"/>
        <v>71.213390645490307</v>
      </c>
      <c r="AD83" s="133">
        <f t="shared" si="13"/>
        <v>95.97308594148231</v>
      </c>
      <c r="AE83" s="135">
        <f t="shared" si="13"/>
        <v>47.686084657769854</v>
      </c>
      <c r="AF83" s="133">
        <f t="shared" si="13"/>
        <v>100</v>
      </c>
      <c r="AG83" s="135">
        <f t="shared" si="13"/>
        <v>52.287121200390231</v>
      </c>
      <c r="AH83" s="133">
        <f t="shared" si="13"/>
        <v>81.519994552688146</v>
      </c>
      <c r="AI83" s="135">
        <f t="shared" si="13"/>
        <v>91.521430674912338</v>
      </c>
      <c r="AJ83" s="133">
        <f t="shared" si="13"/>
        <v>66.639054696065287</v>
      </c>
      <c r="AK83" s="135">
        <f t="shared" si="13"/>
        <v>65.70634596665306</v>
      </c>
      <c r="AL83" s="133">
        <f t="shared" si="13"/>
        <v>80.232827075784442</v>
      </c>
      <c r="AM83" s="135">
        <f t="shared" si="13"/>
        <v>71.375876803999034</v>
      </c>
      <c r="AN83" s="133">
        <f t="shared" si="13"/>
        <v>84.965896488665763</v>
      </c>
      <c r="AO83" s="134"/>
      <c r="AP83" s="50">
        <f t="shared" si="13"/>
        <v>73.798469193008515</v>
      </c>
      <c r="AQ83" s="135">
        <f>AQ76/AQ$80*100</f>
        <v>73.0147200523176</v>
      </c>
      <c r="AR83" s="105"/>
      <c r="AS83" s="105"/>
      <c r="AT83" s="22">
        <f>K83</f>
        <v>63.122402239375695</v>
      </c>
      <c r="AU83" s="135">
        <f>AU76/AU$80*100</f>
        <v>86.956483738257418</v>
      </c>
      <c r="AV83" s="135"/>
      <c r="AZ83" s="748"/>
    </row>
    <row r="84" spans="1:52" s="14" customFormat="1">
      <c r="C84" s="14" t="s">
        <v>42</v>
      </c>
      <c r="E84" s="119">
        <v>2017</v>
      </c>
      <c r="I84" s="42" t="s">
        <v>134</v>
      </c>
      <c r="J84" s="105"/>
      <c r="K84" s="137">
        <f>K77/K$80*100</f>
        <v>11.056917465433882</v>
      </c>
      <c r="L84" s="154"/>
      <c r="M84" s="133">
        <f t="shared" ref="M84:AN84" si="14">M77/M$80*100</f>
        <v>37.945850098888357</v>
      </c>
      <c r="N84" s="135">
        <f t="shared" si="14"/>
        <v>13.460889574861474</v>
      </c>
      <c r="O84" s="133">
        <f t="shared" si="14"/>
        <v>8.7228008822654886</v>
      </c>
      <c r="P84" s="135" t="e">
        <f t="shared" si="14"/>
        <v>#VALUE!</v>
      </c>
      <c r="Q84" s="133">
        <f t="shared" si="14"/>
        <v>25.427319562809959</v>
      </c>
      <c r="R84" s="135">
        <f t="shared" si="14"/>
        <v>22.485119375564722</v>
      </c>
      <c r="S84" s="133">
        <f t="shared" si="14"/>
        <v>13.004264496838392</v>
      </c>
      <c r="T84" s="135">
        <f t="shared" si="14"/>
        <v>27.307963354474985</v>
      </c>
      <c r="U84" s="133">
        <f t="shared" si="14"/>
        <v>1.2447138774819091</v>
      </c>
      <c r="V84" s="135">
        <f t="shared" si="14"/>
        <v>4.2453449119081981</v>
      </c>
      <c r="W84" s="133">
        <f t="shared" si="14"/>
        <v>26.962608310998931</v>
      </c>
      <c r="X84" s="135">
        <f t="shared" si="14"/>
        <v>15.212871940207526</v>
      </c>
      <c r="Y84" s="133">
        <f t="shared" si="14"/>
        <v>15.240783206914799</v>
      </c>
      <c r="Z84" s="133">
        <f t="shared" si="14"/>
        <v>23.262181294530983</v>
      </c>
      <c r="AA84" s="135">
        <f t="shared" si="14"/>
        <v>0.83780160857908847</v>
      </c>
      <c r="AB84" s="133">
        <f t="shared" si="14"/>
        <v>14.661187730158002</v>
      </c>
      <c r="AC84" s="135">
        <f t="shared" si="14"/>
        <v>28.074457234445578</v>
      </c>
      <c r="AD84" s="133">
        <f t="shared" si="14"/>
        <v>2.0389438270975635</v>
      </c>
      <c r="AE84" s="135">
        <f t="shared" si="14"/>
        <v>47.819855400197468</v>
      </c>
      <c r="AF84" s="731">
        <f t="shared" si="14"/>
        <v>0</v>
      </c>
      <c r="AG84" s="135">
        <f t="shared" si="14"/>
        <v>5.0070456340296383</v>
      </c>
      <c r="AH84" s="133">
        <f t="shared" si="14"/>
        <v>13.325729793877608</v>
      </c>
      <c r="AI84" s="135">
        <f t="shared" si="14"/>
        <v>7.3648702915428492</v>
      </c>
      <c r="AJ84" s="133">
        <f t="shared" si="14"/>
        <v>16.788890242416858</v>
      </c>
      <c r="AK84" s="135">
        <f t="shared" si="14"/>
        <v>34.2858040003768</v>
      </c>
      <c r="AL84" s="133">
        <f t="shared" si="14"/>
        <v>19.767172924215558</v>
      </c>
      <c r="AM84" s="135">
        <f t="shared" si="14"/>
        <v>17.086591953559623</v>
      </c>
      <c r="AN84" s="133">
        <f t="shared" si="14"/>
        <v>9.4752437330431238</v>
      </c>
      <c r="AO84" s="134"/>
      <c r="AP84" s="50">
        <f>AP77/AP$80*100</f>
        <v>16.166765723260305</v>
      </c>
      <c r="AQ84" s="135">
        <f>AQ77/AQ$80*100</f>
        <v>15.380120088061162</v>
      </c>
      <c r="AR84" s="105"/>
      <c r="AS84" s="105"/>
      <c r="AT84" s="22">
        <f>K84</f>
        <v>11.056917465433882</v>
      </c>
      <c r="AU84" s="135">
        <f>AU77/AU$80*100</f>
        <v>10.151565605997702</v>
      </c>
      <c r="AV84" s="135"/>
      <c r="AZ84" s="748"/>
    </row>
    <row r="85" spans="1:52" s="14" customFormat="1">
      <c r="C85" s="14" t="s">
        <v>43</v>
      </c>
      <c r="E85" s="119">
        <v>2017</v>
      </c>
      <c r="I85" s="42" t="s">
        <v>135</v>
      </c>
      <c r="J85" s="105"/>
      <c r="K85" s="137">
        <f>K78/K$80*100</f>
        <v>1.0687929425735856</v>
      </c>
      <c r="L85" s="154"/>
      <c r="M85" s="133">
        <f t="shared" ref="M85:AN85" si="15">M78/M$80*100</f>
        <v>3.4474527722839801</v>
      </c>
      <c r="N85" s="135">
        <f t="shared" si="15"/>
        <v>20.464240068741457</v>
      </c>
      <c r="O85" s="133">
        <f t="shared" si="15"/>
        <v>11.713982665347116</v>
      </c>
      <c r="P85" s="135">
        <f t="shared" si="15"/>
        <v>0</v>
      </c>
      <c r="Q85" s="133">
        <f t="shared" si="15"/>
        <v>4.0123902611263584E-2</v>
      </c>
      <c r="R85" s="135">
        <f t="shared" si="15"/>
        <v>11.122753381322639</v>
      </c>
      <c r="S85" s="133">
        <f t="shared" si="15"/>
        <v>0</v>
      </c>
      <c r="T85" s="135">
        <f t="shared" si="15"/>
        <v>0</v>
      </c>
      <c r="U85" s="133">
        <f t="shared" si="15"/>
        <v>0</v>
      </c>
      <c r="V85" s="135">
        <f t="shared" si="15"/>
        <v>0</v>
      </c>
      <c r="W85" s="133">
        <f t="shared" si="15"/>
        <v>0.26801280216491891</v>
      </c>
      <c r="X85" s="135">
        <f t="shared" si="15"/>
        <v>3.4176875452060025</v>
      </c>
      <c r="Y85" s="133">
        <f t="shared" si="15"/>
        <v>4.7803845475392484</v>
      </c>
      <c r="Z85" s="133">
        <f t="shared" si="15"/>
        <v>3.4694717833711981</v>
      </c>
      <c r="AA85" s="135">
        <f t="shared" si="15"/>
        <v>0</v>
      </c>
      <c r="AB85" s="133">
        <f t="shared" si="15"/>
        <v>4.0041748445920664E-2</v>
      </c>
      <c r="AC85" s="135">
        <f t="shared" si="15"/>
        <v>0</v>
      </c>
      <c r="AD85" s="133">
        <f t="shared" si="15"/>
        <v>1.9879702314201246</v>
      </c>
      <c r="AE85" s="136">
        <f t="shared" si="15"/>
        <v>0</v>
      </c>
      <c r="AF85" s="133">
        <f t="shared" si="15"/>
        <v>0</v>
      </c>
      <c r="AG85" s="135">
        <f t="shared" si="15"/>
        <v>37.949643072825538</v>
      </c>
      <c r="AH85" s="133">
        <f t="shared" si="15"/>
        <v>2.796610993842592E-2</v>
      </c>
      <c r="AI85" s="135">
        <f t="shared" si="15"/>
        <v>0</v>
      </c>
      <c r="AJ85" s="133">
        <f t="shared" si="15"/>
        <v>15.247898647825556</v>
      </c>
      <c r="AK85" s="135">
        <f t="shared" si="15"/>
        <v>7.8500329701384746E-3</v>
      </c>
      <c r="AL85" s="133">
        <f t="shared" si="15"/>
        <v>0</v>
      </c>
      <c r="AM85" s="135">
        <f t="shared" si="15"/>
        <v>1.8805934048214141</v>
      </c>
      <c r="AN85" s="133">
        <f t="shared" si="15"/>
        <v>5.4642577594877909E-2</v>
      </c>
      <c r="AO85" s="134"/>
      <c r="AP85" s="50">
        <f>AP78/AP$80*100</f>
        <v>5.6554500501692893</v>
      </c>
      <c r="AQ85" s="135">
        <f>AQ78/AQ$80*100</f>
        <v>7.1526001767357252</v>
      </c>
      <c r="AR85" s="105"/>
      <c r="AS85" s="105"/>
      <c r="AT85" s="22">
        <f>K85</f>
        <v>1.0687929425735856</v>
      </c>
      <c r="AU85" s="135">
        <f>AU78/AU$80*100</f>
        <v>5.8831833683072231E-2</v>
      </c>
      <c r="AV85" s="135"/>
      <c r="AZ85" s="748"/>
    </row>
    <row r="86" spans="1:52" s="14" customFormat="1">
      <c r="A86" s="6"/>
      <c r="B86" s="6"/>
      <c r="C86" s="6" t="s">
        <v>44</v>
      </c>
      <c r="D86" s="6"/>
      <c r="E86" s="747">
        <v>2017</v>
      </c>
      <c r="F86" s="6"/>
      <c r="G86" s="6"/>
      <c r="H86" s="6"/>
      <c r="I86" s="68" t="s">
        <v>136</v>
      </c>
      <c r="J86" s="108"/>
      <c r="K86" s="140">
        <f>K79/K$80*100</f>
        <v>24.751887352616851</v>
      </c>
      <c r="L86" s="155"/>
      <c r="M86" s="141">
        <f t="shared" ref="M86:AN86" si="16">M79/M$80*100</f>
        <v>14.314942371956626</v>
      </c>
      <c r="N86" s="142">
        <f t="shared" si="16"/>
        <v>2.9746455273889172</v>
      </c>
      <c r="O86" s="141">
        <f t="shared" si="16"/>
        <v>1.5661543787084664</v>
      </c>
      <c r="P86" s="142">
        <f t="shared" si="16"/>
        <v>0</v>
      </c>
      <c r="Q86" s="141">
        <f t="shared" si="16"/>
        <v>3.4747299661354258</v>
      </c>
      <c r="R86" s="142">
        <f t="shared" si="16"/>
        <v>3.6542926920156504</v>
      </c>
      <c r="S86" s="141">
        <f t="shared" si="16"/>
        <v>11.009264251752365</v>
      </c>
      <c r="T86" s="142">
        <f t="shared" si="16"/>
        <v>0</v>
      </c>
      <c r="U86" s="141">
        <f t="shared" si="16"/>
        <v>9.2588632841740889E-2</v>
      </c>
      <c r="V86" s="142">
        <f t="shared" si="16"/>
        <v>3.8620431890385247</v>
      </c>
      <c r="W86" s="141">
        <f t="shared" si="16"/>
        <v>0</v>
      </c>
      <c r="X86" s="142">
        <f t="shared" si="16"/>
        <v>5.0862723869224427</v>
      </c>
      <c r="Y86" s="141">
        <f t="shared" si="16"/>
        <v>10.395719409654847</v>
      </c>
      <c r="Z86" s="141">
        <f t="shared" si="16"/>
        <v>4.1506168762631708</v>
      </c>
      <c r="AA86" s="142">
        <f t="shared" si="16"/>
        <v>0</v>
      </c>
      <c r="AB86" s="141">
        <f t="shared" si="16"/>
        <v>6.7335779599713792</v>
      </c>
      <c r="AC86" s="142">
        <f t="shared" si="16"/>
        <v>0.71215212006411199</v>
      </c>
      <c r="AD86" s="141">
        <f t="shared" si="16"/>
        <v>0</v>
      </c>
      <c r="AE86" s="142">
        <f t="shared" si="16"/>
        <v>4.4940599420326786</v>
      </c>
      <c r="AF86" s="141">
        <f t="shared" si="16"/>
        <v>0</v>
      </c>
      <c r="AG86" s="142">
        <f t="shared" si="16"/>
        <v>4.7561900927546104</v>
      </c>
      <c r="AH86" s="141">
        <f t="shared" si="16"/>
        <v>5.126309543495811</v>
      </c>
      <c r="AI86" s="142">
        <f t="shared" si="16"/>
        <v>1.1136990335448291</v>
      </c>
      <c r="AJ86" s="141">
        <f t="shared" si="16"/>
        <v>1.324156413692289</v>
      </c>
      <c r="AK86" s="142">
        <f t="shared" si="16"/>
        <v>0</v>
      </c>
      <c r="AL86" s="141">
        <f t="shared" si="16"/>
        <v>0</v>
      </c>
      <c r="AM86" s="142">
        <f t="shared" si="16"/>
        <v>9.65693783761993</v>
      </c>
      <c r="AN86" s="141">
        <f t="shared" si="16"/>
        <v>5.5042172006962469</v>
      </c>
      <c r="AO86" s="143"/>
      <c r="AP86" s="70">
        <f>AP79/AP$80*100</f>
        <v>4.3793150335618858</v>
      </c>
      <c r="AQ86" s="142">
        <f>AQ79/AQ$80*100</f>
        <v>4.4525596828855072</v>
      </c>
      <c r="AR86" s="108"/>
      <c r="AS86" s="108"/>
      <c r="AT86" s="69">
        <f>K86</f>
        <v>24.751887352616851</v>
      </c>
      <c r="AU86" s="142">
        <f>AU79/AU$80*100</f>
        <v>2.8331188220618042</v>
      </c>
      <c r="AV86" s="142"/>
      <c r="AZ86" s="748"/>
    </row>
    <row r="87" spans="1:52" s="14" customFormat="1" ht="6" customHeight="1">
      <c r="K87" s="15"/>
    </row>
    <row r="88" spans="1:52" s="14" customFormat="1">
      <c r="A88" s="14" t="s">
        <v>262</v>
      </c>
      <c r="K88" s="15"/>
      <c r="M88" s="36"/>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row>
    <row r="89" spans="1:52" s="14" customFormat="1" ht="8.25" customHeight="1">
      <c r="K89" s="15"/>
    </row>
    <row r="90" spans="1:52" s="14" customFormat="1" ht="75" customHeight="1">
      <c r="K90" s="15"/>
    </row>
    <row r="91" spans="1:52" s="14" customFormat="1">
      <c r="K91" s="15"/>
      <c r="N91" s="163"/>
      <c r="AK91" s="24"/>
      <c r="AL91" s="24"/>
    </row>
    <row r="92" spans="1:52" s="14" customFormat="1">
      <c r="K92" s="15"/>
      <c r="AG92" s="99"/>
    </row>
    <row r="93" spans="1:52">
      <c r="M93" s="17"/>
    </row>
  </sheetData>
  <mergeCells count="12">
    <mergeCell ref="AZ37:AZ38"/>
    <mergeCell ref="AZ40:AZ42"/>
    <mergeCell ref="AZ68:AZ71"/>
    <mergeCell ref="AZ21:AZ27"/>
    <mergeCell ref="AZ44:AZ46"/>
    <mergeCell ref="AZ77:AZ81"/>
    <mergeCell ref="AT3:AV3"/>
    <mergeCell ref="G61:G65"/>
    <mergeCell ref="G26:G27"/>
    <mergeCell ref="AZ51:AZ58"/>
    <mergeCell ref="AZ33:AZ35"/>
    <mergeCell ref="AZ29:AZ31"/>
  </mergeCells>
  <phoneticPr fontId="4" type="noConversion"/>
  <hyperlinks>
    <hyperlink ref="AZ37" r:id="rId1"/>
    <hyperlink ref="AZ40:AZ42" r:id="rId2" display="http://tinyurl.com/zhrtb5x"/>
  </hyperlinks>
  <pageMargins left="0.55118110236220474" right="0.35433070866141736" top="0.82677165354330717" bottom="0.23622047244094491" header="0.51181102362204722" footer="0.51181102362204722"/>
  <pageSetup paperSize="9" scale="55" fitToWidth="2" fitToHeight="4" pageOrder="overThenDown" orientation="landscape" r:id="rId3"/>
  <headerFooter alignWithMargins="0"/>
  <rowBreaks count="1" manualBreakCount="1">
    <brk id="58" max="48" man="1"/>
  </rowBreaks>
  <colBreaks count="1" manualBreakCount="1">
    <brk id="29" max="8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72"/>
  <sheetViews>
    <sheetView zoomScaleNormal="100" workbookViewId="0">
      <selection activeCell="Q6" sqref="Q6:Q36"/>
    </sheetView>
  </sheetViews>
  <sheetFormatPr defaultRowHeight="11.25"/>
  <cols>
    <col min="1" max="1" width="2.7109375" style="190" customWidth="1"/>
    <col min="2" max="2" width="4.42578125" style="190" customWidth="1"/>
    <col min="3" max="3" width="7.28515625" style="190" customWidth="1"/>
    <col min="4" max="4" width="7.85546875" style="190" customWidth="1"/>
    <col min="5" max="14" width="7.28515625" style="190" customWidth="1"/>
    <col min="15" max="15" width="6.28515625" style="190" customWidth="1"/>
    <col min="16" max="16" width="5.140625" style="190" customWidth="1"/>
    <col min="17" max="16384" width="9.140625" style="190"/>
  </cols>
  <sheetData>
    <row r="1" spans="1:24" ht="14.25" customHeight="1">
      <c r="B1" s="189"/>
      <c r="C1" s="191"/>
      <c r="D1" s="191"/>
      <c r="E1" s="191"/>
      <c r="F1" s="191"/>
      <c r="G1" s="191"/>
      <c r="H1" s="191"/>
      <c r="I1" s="191"/>
      <c r="J1" s="191"/>
      <c r="K1" s="191"/>
      <c r="L1" s="191"/>
      <c r="M1" s="191"/>
      <c r="N1" s="191"/>
      <c r="P1" s="191" t="s">
        <v>170</v>
      </c>
    </row>
    <row r="2" spans="1:24" s="194" customFormat="1" ht="30" customHeight="1">
      <c r="B2" s="1135" t="s">
        <v>171</v>
      </c>
      <c r="C2" s="1135"/>
      <c r="D2" s="1135"/>
      <c r="E2" s="1135"/>
      <c r="F2" s="1135"/>
      <c r="G2" s="1135"/>
      <c r="H2" s="1135"/>
      <c r="I2" s="1135"/>
      <c r="J2" s="1135"/>
      <c r="K2" s="1135"/>
      <c r="L2" s="1135"/>
      <c r="M2" s="1135"/>
      <c r="N2" s="1135"/>
      <c r="O2" s="1135"/>
      <c r="P2" s="1135"/>
    </row>
    <row r="3" spans="1:24" ht="10.5" customHeight="1">
      <c r="F3" s="195" t="s">
        <v>240</v>
      </c>
      <c r="G3" s="195"/>
      <c r="H3" s="195"/>
      <c r="I3" s="195"/>
      <c r="J3" s="195"/>
      <c r="K3" s="195"/>
      <c r="L3" s="195"/>
      <c r="M3" s="195"/>
      <c r="N3" s="195"/>
      <c r="O3" s="197"/>
      <c r="P3" s="195"/>
    </row>
    <row r="4" spans="1:24" ht="20.100000000000001" customHeight="1">
      <c r="B4" s="198"/>
      <c r="C4" s="200">
        <v>2006</v>
      </c>
      <c r="D4" s="200">
        <v>2007</v>
      </c>
      <c r="E4" s="200">
        <v>2008</v>
      </c>
      <c r="F4" s="200">
        <v>2009</v>
      </c>
      <c r="G4" s="200">
        <v>2010</v>
      </c>
      <c r="H4" s="200">
        <v>2011</v>
      </c>
      <c r="I4" s="200">
        <v>2012</v>
      </c>
      <c r="J4" s="200">
        <v>2013</v>
      </c>
      <c r="K4" s="200">
        <v>2014</v>
      </c>
      <c r="L4" s="200">
        <v>2015</v>
      </c>
      <c r="M4" s="200">
        <v>2016</v>
      </c>
      <c r="N4" s="200">
        <v>2017</v>
      </c>
      <c r="O4" s="201" t="s">
        <v>335</v>
      </c>
      <c r="P4" s="272"/>
      <c r="Q4" s="179" t="s">
        <v>353</v>
      </c>
      <c r="R4" s="169"/>
    </row>
    <row r="5" spans="1:24" ht="9.9499999999999993" customHeight="1">
      <c r="B5" s="198"/>
      <c r="C5" s="206"/>
      <c r="D5" s="206"/>
      <c r="E5" s="206"/>
      <c r="F5" s="206"/>
      <c r="G5" s="206"/>
      <c r="H5" s="206"/>
      <c r="I5" s="206"/>
      <c r="J5" s="206"/>
      <c r="K5" s="206"/>
      <c r="L5" s="206"/>
      <c r="M5" s="206"/>
      <c r="N5" s="206"/>
      <c r="O5" s="274" t="s">
        <v>143</v>
      </c>
      <c r="P5" s="272"/>
      <c r="Q5" s="157" t="s">
        <v>0</v>
      </c>
      <c r="R5" s="169" t="s">
        <v>299</v>
      </c>
    </row>
    <row r="6" spans="1:24" ht="12.75" customHeight="1">
      <c r="B6" s="208" t="s">
        <v>237</v>
      </c>
      <c r="C6" s="275">
        <v>546.31219096466816</v>
      </c>
      <c r="D6" s="275">
        <v>558.74209557727738</v>
      </c>
      <c r="E6" s="275">
        <v>569.19193137622028</v>
      </c>
      <c r="F6" s="275">
        <v>547.0311654889523</v>
      </c>
      <c r="G6" s="275">
        <v>542.33308937649326</v>
      </c>
      <c r="H6" s="275">
        <v>544.29794262121561</v>
      </c>
      <c r="I6" s="275">
        <v>539.92326439065459</v>
      </c>
      <c r="J6" s="275">
        <v>537.06046177873361</v>
      </c>
      <c r="K6" s="275">
        <v>532.35271167054282</v>
      </c>
      <c r="L6" s="276">
        <v>543.48840750075635</v>
      </c>
      <c r="M6" s="276">
        <v>551.99029343756717</v>
      </c>
      <c r="N6" s="276">
        <v>510.41847809712482</v>
      </c>
      <c r="O6" s="211">
        <v>0.30158500120495546</v>
      </c>
      <c r="P6" s="208" t="s">
        <v>237</v>
      </c>
      <c r="Q6" s="170">
        <v>511.52267099999995</v>
      </c>
      <c r="R6" s="181">
        <f>N6/Q6*1000</f>
        <v>997.84136077347955</v>
      </c>
    </row>
    <row r="7" spans="1:24" ht="12.75" customHeight="1">
      <c r="A7" s="212"/>
      <c r="B7" s="213" t="s">
        <v>89</v>
      </c>
      <c r="C7" s="277">
        <v>412.49946096466817</v>
      </c>
      <c r="D7" s="277">
        <v>425.60805357727736</v>
      </c>
      <c r="E7" s="277">
        <v>428.77862677622022</v>
      </c>
      <c r="F7" s="277">
        <v>422.41203599454172</v>
      </c>
      <c r="G7" s="277">
        <v>420.23369187649314</v>
      </c>
      <c r="H7" s="277">
        <v>424.63978595054851</v>
      </c>
      <c r="I7" s="277">
        <v>419.63328806410237</v>
      </c>
      <c r="J7" s="277">
        <v>417.50845127790058</v>
      </c>
      <c r="K7" s="277">
        <v>407.04160302738882</v>
      </c>
      <c r="L7" s="278">
        <v>419.3600375660094</v>
      </c>
      <c r="M7" s="278">
        <f>M9+M10+M15+M19+M20+M14+M17+M23+M24+M26+M29+M31+M18+M33+M36</f>
        <v>401.66413118918979</v>
      </c>
      <c r="N7" s="278">
        <f>N9+N10+N15+N19+N20+N14+N17+N23+N24+N26+N29+N31+N18+N33+N36</f>
        <v>386.06623995637892</v>
      </c>
      <c r="O7" s="216">
        <f>(M7-L7)/L7*100</f>
        <v>-4.2197407458106166</v>
      </c>
      <c r="P7" s="213" t="s">
        <v>89</v>
      </c>
      <c r="Q7" s="170">
        <v>407.34291199999996</v>
      </c>
      <c r="R7" s="181">
        <f>N7/Q7*1000</f>
        <v>947.76717253000572</v>
      </c>
    </row>
    <row r="8" spans="1:24" ht="12.75" customHeight="1">
      <c r="A8" s="212"/>
      <c r="B8" s="217" t="s">
        <v>238</v>
      </c>
      <c r="C8" s="279">
        <v>133.81272999999999</v>
      </c>
      <c r="D8" s="279">
        <v>133.13404200000002</v>
      </c>
      <c r="E8" s="279">
        <v>140.41330460000006</v>
      </c>
      <c r="F8" s="279">
        <v>124.61912949441057</v>
      </c>
      <c r="G8" s="279">
        <v>122.09939750000012</v>
      </c>
      <c r="H8" s="279">
        <v>119.6581566706671</v>
      </c>
      <c r="I8" s="279">
        <v>120.28997632655222</v>
      </c>
      <c r="J8" s="279">
        <v>119.55201050083303</v>
      </c>
      <c r="K8" s="279">
        <v>125.311108643154</v>
      </c>
      <c r="L8" s="280">
        <v>124.12836993474696</v>
      </c>
      <c r="M8" s="280"/>
      <c r="N8" s="280"/>
      <c r="O8" s="220">
        <v>-0.94384186782284019</v>
      </c>
      <c r="P8" s="217" t="s">
        <v>238</v>
      </c>
      <c r="Q8" s="170"/>
      <c r="R8" s="181"/>
    </row>
    <row r="9" spans="1:24" s="235" customFormat="1" ht="12.75" customHeight="1">
      <c r="A9" s="229"/>
      <c r="B9" s="213" t="s">
        <v>81</v>
      </c>
      <c r="C9" s="226">
        <v>9.5636709328051435</v>
      </c>
      <c r="D9" s="226">
        <v>10.139828761267628</v>
      </c>
      <c r="E9" s="226">
        <v>9.9044878854506759</v>
      </c>
      <c r="F9" s="226">
        <v>9.1835169296710557</v>
      </c>
      <c r="G9" s="226">
        <v>9.9516127142958872</v>
      </c>
      <c r="H9" s="226">
        <v>9.9035596634819907</v>
      </c>
      <c r="I9" s="226">
        <v>9.8687015151968325</v>
      </c>
      <c r="J9" s="377">
        <v>9.8965781855105188</v>
      </c>
      <c r="K9" s="226">
        <v>10.136862897278643</v>
      </c>
      <c r="L9" s="286">
        <v>10.295414860155599</v>
      </c>
      <c r="M9" s="286">
        <v>10.6054771848763</v>
      </c>
      <c r="N9" s="856">
        <v>10.877000000000001</v>
      </c>
      <c r="O9" s="227">
        <v>2.5602130898070357</v>
      </c>
      <c r="P9" s="213" t="s">
        <v>81</v>
      </c>
      <c r="Q9" s="170">
        <v>8.7728649999999995</v>
      </c>
      <c r="R9" s="181">
        <f t="shared" ref="R9:R36" si="0">N9/Q9*1000</f>
        <v>1239.845820037126</v>
      </c>
    </row>
    <row r="10" spans="1:24" ht="12.75" customHeight="1">
      <c r="A10" s="212"/>
      <c r="B10" s="874" t="s">
        <v>60</v>
      </c>
      <c r="C10" s="848">
        <v>18.078005341336816</v>
      </c>
      <c r="D10" s="848">
        <v>18.729636998103302</v>
      </c>
      <c r="E10" s="848">
        <v>17.61</v>
      </c>
      <c r="F10" s="848">
        <v>17.63</v>
      </c>
      <c r="G10" s="848">
        <v>17.38</v>
      </c>
      <c r="H10" s="848">
        <v>17.670000000000002</v>
      </c>
      <c r="I10" s="848">
        <v>17.91</v>
      </c>
      <c r="J10" s="848">
        <v>15.766400000000001</v>
      </c>
      <c r="K10" s="848">
        <v>15.4046</v>
      </c>
      <c r="L10" s="856">
        <v>14.380800000000001</v>
      </c>
      <c r="M10" s="856">
        <v>13.586600000000001</v>
      </c>
      <c r="N10" s="856">
        <v>13.36264176286652</v>
      </c>
      <c r="O10" s="244">
        <v>-1.6483758786854708</v>
      </c>
      <c r="P10" s="874" t="s">
        <v>60</v>
      </c>
      <c r="Q10" s="170">
        <v>11.351727</v>
      </c>
      <c r="R10" s="181">
        <f t="shared" si="0"/>
        <v>1177.1461525516356</v>
      </c>
      <c r="V10" s="235"/>
      <c r="W10" s="235"/>
      <c r="X10" s="235"/>
    </row>
    <row r="11" spans="1:24" s="235" customFormat="1" ht="12.75" customHeight="1">
      <c r="A11" s="229"/>
      <c r="B11" s="221" t="s">
        <v>100</v>
      </c>
      <c r="C11" s="242">
        <v>12.942</v>
      </c>
      <c r="D11" s="242">
        <v>13.571</v>
      </c>
      <c r="E11" s="242">
        <v>13.839</v>
      </c>
      <c r="F11" s="242">
        <v>10.451000000000001</v>
      </c>
      <c r="G11" s="242">
        <v>10.613</v>
      </c>
      <c r="H11" s="242">
        <v>10.843</v>
      </c>
      <c r="I11" s="242">
        <v>10.481999999999999</v>
      </c>
      <c r="J11" s="242">
        <v>10.317</v>
      </c>
      <c r="K11" s="242">
        <v>11.477</v>
      </c>
      <c r="L11" s="281">
        <v>12.507999999999999</v>
      </c>
      <c r="M11" s="281">
        <v>12.21</v>
      </c>
      <c r="N11" s="281">
        <v>10.553000000000001</v>
      </c>
      <c r="O11" s="224">
        <v>-13.570843570843579</v>
      </c>
      <c r="P11" s="221" t="s">
        <v>100</v>
      </c>
      <c r="Q11" s="170">
        <v>7.1018590000000001</v>
      </c>
      <c r="R11" s="181">
        <f t="shared" si="0"/>
        <v>1485.9489606876173</v>
      </c>
      <c r="V11" s="190"/>
      <c r="W11" s="190"/>
      <c r="X11" s="190"/>
    </row>
    <row r="12" spans="1:24" ht="12.75" customHeight="1">
      <c r="A12" s="212"/>
      <c r="B12" s="221" t="s">
        <v>71</v>
      </c>
      <c r="C12" s="230">
        <v>1.28</v>
      </c>
      <c r="D12" s="230">
        <v>1.3</v>
      </c>
      <c r="E12" s="230">
        <v>1.33</v>
      </c>
      <c r="F12" s="230">
        <v>1.2832081221716343</v>
      </c>
      <c r="G12" s="230">
        <v>1.29</v>
      </c>
      <c r="H12" s="230">
        <v>1.3250425730630311</v>
      </c>
      <c r="I12" s="230">
        <v>1.3655790761715423</v>
      </c>
      <c r="J12" s="230">
        <v>1.3463918995498854</v>
      </c>
      <c r="K12" s="230">
        <v>1.3463918995498854</v>
      </c>
      <c r="L12" s="249">
        <v>1.426717257084444</v>
      </c>
      <c r="M12" s="249">
        <v>1.4810954569636534</v>
      </c>
      <c r="N12" s="249">
        <v>1.5360297291459744</v>
      </c>
      <c r="O12" s="239">
        <v>3.7090298214093451</v>
      </c>
      <c r="P12" s="221" t="s">
        <v>71</v>
      </c>
      <c r="Q12" s="170">
        <v>0.85480199999999995</v>
      </c>
      <c r="R12" s="181">
        <f t="shared" si="0"/>
        <v>1796.9421329687746</v>
      </c>
    </row>
    <row r="13" spans="1:24" s="235" customFormat="1" ht="12.75" customHeight="1">
      <c r="A13" s="229"/>
      <c r="B13" s="874" t="s">
        <v>61</v>
      </c>
      <c r="C13" s="876">
        <v>16.0151</v>
      </c>
      <c r="D13" s="876">
        <v>16.120899999999999</v>
      </c>
      <c r="E13" s="876">
        <v>16.1069</v>
      </c>
      <c r="F13" s="876">
        <v>16.062000000000001</v>
      </c>
      <c r="G13" s="876">
        <v>16.955599999999997</v>
      </c>
      <c r="H13" s="876">
        <v>15.832799999999999</v>
      </c>
      <c r="I13" s="876">
        <v>15.326799999999999</v>
      </c>
      <c r="J13" s="876">
        <v>15.7209</v>
      </c>
      <c r="K13" s="876">
        <v>16.722899999999999</v>
      </c>
      <c r="L13" s="282">
        <v>16.262900000000002</v>
      </c>
      <c r="M13" s="282">
        <v>16.7102</v>
      </c>
      <c r="N13" s="282">
        <v>17.684000000000001</v>
      </c>
      <c r="O13" s="244">
        <v>5.8275783653098046</v>
      </c>
      <c r="P13" s="874" t="s">
        <v>61</v>
      </c>
      <c r="Q13" s="170">
        <v>10.57882</v>
      </c>
      <c r="R13" s="181">
        <f t="shared" si="0"/>
        <v>1671.6420167844808</v>
      </c>
    </row>
    <row r="14" spans="1:24" ht="12.75" customHeight="1">
      <c r="A14" s="212"/>
      <c r="B14" s="221" t="s">
        <v>63</v>
      </c>
      <c r="C14" s="232">
        <v>66.183999999999997</v>
      </c>
      <c r="D14" s="232">
        <v>65.387</v>
      </c>
      <c r="E14" s="232">
        <v>63.591999999999999</v>
      </c>
      <c r="F14" s="232">
        <v>62.097000000000001</v>
      </c>
      <c r="G14" s="232">
        <v>61.767000000000003</v>
      </c>
      <c r="H14" s="232">
        <v>61.4</v>
      </c>
      <c r="I14" s="232">
        <v>59.4</v>
      </c>
      <c r="J14" s="232">
        <v>60.5</v>
      </c>
      <c r="K14" s="232">
        <v>62.2</v>
      </c>
      <c r="L14" s="283">
        <v>65.099999999999994</v>
      </c>
      <c r="M14" s="283">
        <v>64</v>
      </c>
      <c r="N14" s="283">
        <v>62.5</v>
      </c>
      <c r="O14" s="234">
        <v>-2.34375</v>
      </c>
      <c r="P14" s="221" t="s">
        <v>63</v>
      </c>
      <c r="Q14" s="180">
        <v>82.521653000000001</v>
      </c>
      <c r="R14" s="181">
        <f t="shared" si="0"/>
        <v>757.37697595563191</v>
      </c>
      <c r="V14" s="235"/>
      <c r="W14" s="235"/>
      <c r="X14" s="235"/>
    </row>
    <row r="15" spans="1:24" ht="12.75" customHeight="1">
      <c r="A15" s="212"/>
      <c r="B15" s="221" t="s">
        <v>14</v>
      </c>
      <c r="C15" s="231">
        <v>7.0540000000000003</v>
      </c>
      <c r="D15" s="231">
        <v>6.8449999999999998</v>
      </c>
      <c r="E15" s="231">
        <v>6.7389999999999999</v>
      </c>
      <c r="F15" s="231">
        <v>6.7460000000000004</v>
      </c>
      <c r="G15" s="231">
        <v>6.8209999999999997</v>
      </c>
      <c r="H15" s="231">
        <v>6.673</v>
      </c>
      <c r="I15" s="231">
        <v>6.4660000000000002</v>
      </c>
      <c r="J15" s="231">
        <v>6.4660000000000002</v>
      </c>
      <c r="K15" s="231">
        <v>6.5579999999999998</v>
      </c>
      <c r="L15" s="289">
        <v>6.8550000000000004</v>
      </c>
      <c r="M15" s="289">
        <v>7.069</v>
      </c>
      <c r="N15" s="289">
        <v>7.3</v>
      </c>
      <c r="O15" s="241">
        <v>3.2677889376149523</v>
      </c>
      <c r="P15" s="221" t="s">
        <v>14</v>
      </c>
      <c r="Q15" s="170">
        <v>5.7487690000000002</v>
      </c>
      <c r="R15" s="181">
        <f t="shared" si="0"/>
        <v>1269.8370729455298</v>
      </c>
    </row>
    <row r="16" spans="1:24" ht="12.75" customHeight="1">
      <c r="A16" s="212"/>
      <c r="B16" s="221" t="s">
        <v>64</v>
      </c>
      <c r="C16" s="232">
        <v>2.8809999999999998</v>
      </c>
      <c r="D16" s="232">
        <v>2.677</v>
      </c>
      <c r="E16" s="232">
        <v>2.4529999999999998</v>
      </c>
      <c r="F16" s="232">
        <v>2.1139999999999999</v>
      </c>
      <c r="G16" s="232">
        <v>2.0609999999999999</v>
      </c>
      <c r="H16" s="232">
        <v>2.0706943</v>
      </c>
      <c r="I16" s="232">
        <v>2.2335885000000002</v>
      </c>
      <c r="J16" s="232">
        <v>2.4146147999999998</v>
      </c>
      <c r="K16" s="232">
        <v>2.3926965</v>
      </c>
      <c r="L16" s="283">
        <v>3.1464145000000001</v>
      </c>
      <c r="M16" s="283">
        <v>2.8647497</v>
      </c>
      <c r="N16" s="283">
        <v>2.8086600000000002</v>
      </c>
      <c r="O16" s="239">
        <v>-1.9579267256751791</v>
      </c>
      <c r="P16" s="221" t="s">
        <v>64</v>
      </c>
      <c r="Q16" s="180">
        <v>1.3156350000000001</v>
      </c>
      <c r="R16" s="181">
        <f t="shared" si="0"/>
        <v>2134.8322293037204</v>
      </c>
    </row>
    <row r="17" spans="1:24" ht="16.5" customHeight="1">
      <c r="A17" s="212"/>
      <c r="B17" s="213" t="s">
        <v>15</v>
      </c>
      <c r="C17" s="876">
        <v>21.8</v>
      </c>
      <c r="D17" s="876">
        <v>22</v>
      </c>
      <c r="E17" s="876">
        <v>22.1</v>
      </c>
      <c r="F17" s="876">
        <v>20.919043007800454</v>
      </c>
      <c r="G17" s="876">
        <v>21.1</v>
      </c>
      <c r="H17" s="876">
        <v>21.161722909489495</v>
      </c>
      <c r="I17" s="876">
        <v>21.096100453974149</v>
      </c>
      <c r="J17" s="876">
        <v>21.028128543117838</v>
      </c>
      <c r="K17" s="247">
        <v>21.006120944621784</v>
      </c>
      <c r="L17" s="282">
        <v>21.148271968974477</v>
      </c>
      <c r="M17" s="282">
        <v>20.902716638696276</v>
      </c>
      <c r="N17" s="282">
        <v>20.464949412482678</v>
      </c>
      <c r="O17" s="244">
        <v>-2.0943078059202094</v>
      </c>
      <c r="P17" s="213" t="s">
        <v>15</v>
      </c>
      <c r="Q17" s="170">
        <v>10.768193</v>
      </c>
      <c r="R17" s="181">
        <f t="shared" si="0"/>
        <v>1900.4998714717203</v>
      </c>
    </row>
    <row r="18" spans="1:24" ht="12.75" customHeight="1">
      <c r="A18" s="212"/>
      <c r="B18" s="874" t="s">
        <v>66</v>
      </c>
      <c r="C18" s="848">
        <v>49.369</v>
      </c>
      <c r="D18" s="848">
        <v>59.162999999999997</v>
      </c>
      <c r="E18" s="848">
        <v>60.863999999999997</v>
      </c>
      <c r="F18" s="848">
        <v>57.042999999999999</v>
      </c>
      <c r="G18" s="848">
        <v>50.902000000000001</v>
      </c>
      <c r="H18" s="848">
        <v>55.741999999999997</v>
      </c>
      <c r="I18" s="848">
        <v>54.530999999999999</v>
      </c>
      <c r="J18" s="848">
        <v>53.835999999999999</v>
      </c>
      <c r="K18" s="848">
        <v>39.469000000000001</v>
      </c>
      <c r="L18" s="856">
        <v>46.389000000000003</v>
      </c>
      <c r="M18" s="856">
        <v>47.762999999999998</v>
      </c>
      <c r="N18" s="856">
        <v>30.51</v>
      </c>
      <c r="O18" s="227" t="s">
        <v>354</v>
      </c>
      <c r="P18" s="874" t="s">
        <v>66</v>
      </c>
      <c r="Q18" s="170">
        <v>46.528024000000002</v>
      </c>
      <c r="R18" s="181">
        <f t="shared" si="0"/>
        <v>655.73384332848514</v>
      </c>
    </row>
    <row r="19" spans="1:24" ht="12.75" customHeight="1">
      <c r="A19" s="212"/>
      <c r="B19" s="213" t="s">
        <v>87</v>
      </c>
      <c r="C19" s="225">
        <v>7.54</v>
      </c>
      <c r="D19" s="225">
        <v>7.54</v>
      </c>
      <c r="E19" s="225">
        <v>7.54</v>
      </c>
      <c r="F19" s="225">
        <v>7.54</v>
      </c>
      <c r="G19" s="225">
        <v>7.54</v>
      </c>
      <c r="H19" s="848">
        <v>7.54</v>
      </c>
      <c r="I19" s="848">
        <v>7.54</v>
      </c>
      <c r="J19" s="848">
        <v>7.54</v>
      </c>
      <c r="K19" s="848">
        <v>7.54</v>
      </c>
      <c r="L19" s="856">
        <v>7.54</v>
      </c>
      <c r="M19" s="856">
        <v>8.2550000000000008</v>
      </c>
      <c r="N19" s="856">
        <v>8.234</v>
      </c>
      <c r="O19" s="244">
        <v>-0.25439127801332972</v>
      </c>
      <c r="P19" s="213" t="s">
        <v>87</v>
      </c>
      <c r="Q19" s="170">
        <v>5.5032969999999999</v>
      </c>
      <c r="R19" s="181">
        <f t="shared" si="0"/>
        <v>1496.1940087914572</v>
      </c>
    </row>
    <row r="20" spans="1:24" s="235" customFormat="1" ht="12.75" customHeight="1">
      <c r="A20" s="229"/>
      <c r="B20" s="221" t="s">
        <v>67</v>
      </c>
      <c r="C20" s="242">
        <v>52.436795674950197</v>
      </c>
      <c r="D20" s="242">
        <v>53.044433886484853</v>
      </c>
      <c r="E20" s="242">
        <v>53.525198463968259</v>
      </c>
      <c r="F20" s="242">
        <v>53.163203980574863</v>
      </c>
      <c r="G20" s="242">
        <v>54.040974622693476</v>
      </c>
      <c r="H20" s="242">
        <v>54.582638113687722</v>
      </c>
      <c r="I20" s="242">
        <v>55.188177958143321</v>
      </c>
      <c r="J20" s="242">
        <v>55.51500204182453</v>
      </c>
      <c r="K20" s="242">
        <v>56.820500919706255</v>
      </c>
      <c r="L20" s="281">
        <v>57.68634139999233</v>
      </c>
      <c r="M20" s="281">
        <v>57.999963561808414</v>
      </c>
      <c r="N20" s="281">
        <v>57.19569126988938</v>
      </c>
      <c r="O20" s="224">
        <v>-1.3866772365502555</v>
      </c>
      <c r="P20" s="221" t="s">
        <v>67</v>
      </c>
      <c r="Q20" s="170">
        <v>66.989082999999994</v>
      </c>
      <c r="R20" s="181">
        <f t="shared" si="0"/>
        <v>853.80615330843364</v>
      </c>
      <c r="V20" s="190"/>
      <c r="W20" s="190"/>
      <c r="X20" s="190"/>
    </row>
    <row r="21" spans="1:24" ht="12.75" customHeight="1">
      <c r="A21" s="212"/>
      <c r="B21" s="874" t="s">
        <v>144</v>
      </c>
      <c r="C21" s="876">
        <v>3.5370560000000002</v>
      </c>
      <c r="D21" s="876">
        <v>3.8079800000000001</v>
      </c>
      <c r="E21" s="876">
        <v>4.0934889999999999</v>
      </c>
      <c r="F21" s="876">
        <v>3.4379960000000001</v>
      </c>
      <c r="G21" s="876">
        <v>3.248418</v>
      </c>
      <c r="H21" s="876">
        <v>3.1450209999999998</v>
      </c>
      <c r="I21" s="876">
        <v>3.2490779999999999</v>
      </c>
      <c r="J21" s="876">
        <v>3.5070000000000001</v>
      </c>
      <c r="K21" s="876">
        <v>3.6480000000000001</v>
      </c>
      <c r="L21" s="846">
        <v>3.3769999999999998</v>
      </c>
      <c r="M21" s="846">
        <v>3.802</v>
      </c>
      <c r="N21" s="846">
        <v>4.1500000000000004</v>
      </c>
      <c r="O21" s="244">
        <v>9.1530773277222579</v>
      </c>
      <c r="P21" s="874" t="s">
        <v>144</v>
      </c>
      <c r="Q21" s="170">
        <v>4.1542130000000004</v>
      </c>
      <c r="R21" s="181">
        <f t="shared" si="0"/>
        <v>998.98584882383261</v>
      </c>
    </row>
    <row r="22" spans="1:24" s="235" customFormat="1" ht="12.75" customHeight="1">
      <c r="A22" s="229"/>
      <c r="B22" s="221" t="s">
        <v>77</v>
      </c>
      <c r="C22" s="230">
        <v>17.930000000000003</v>
      </c>
      <c r="D22" s="230">
        <v>17.145</v>
      </c>
      <c r="E22" s="230">
        <v>17.654</v>
      </c>
      <c r="F22" s="230">
        <v>16.29</v>
      </c>
      <c r="G22" s="230">
        <v>16.460999999999999</v>
      </c>
      <c r="H22" s="230">
        <v>16.455704600000001</v>
      </c>
      <c r="I22" s="230">
        <v>17.0743504</v>
      </c>
      <c r="J22" s="230">
        <v>17.149835400000001</v>
      </c>
      <c r="K22" s="230">
        <v>17.630064900000001</v>
      </c>
      <c r="L22" s="249">
        <v>17.813176500000001</v>
      </c>
      <c r="M22" s="249">
        <v>17.8219335</v>
      </c>
      <c r="N22" s="249">
        <v>18.311214800000002</v>
      </c>
      <c r="O22" s="239">
        <v>2.745388428253321</v>
      </c>
      <c r="P22" s="221" t="s">
        <v>77</v>
      </c>
      <c r="Q22" s="170">
        <v>9.797561</v>
      </c>
      <c r="R22" s="181">
        <f t="shared" si="0"/>
        <v>1868.9564474260483</v>
      </c>
      <c r="V22" s="190"/>
      <c r="W22" s="190"/>
      <c r="X22" s="190"/>
    </row>
    <row r="23" spans="1:24" ht="12.75" customHeight="1">
      <c r="A23" s="212"/>
      <c r="B23" s="874" t="s">
        <v>68</v>
      </c>
      <c r="C23" s="876">
        <v>8.0239999999999991</v>
      </c>
      <c r="D23" s="876">
        <v>8.2959999999999994</v>
      </c>
      <c r="E23" s="876">
        <v>8.5679999999999996</v>
      </c>
      <c r="F23" s="876">
        <v>8.9488000000000003</v>
      </c>
      <c r="G23" s="876">
        <v>8.4591999999999992</v>
      </c>
      <c r="H23" s="876">
        <v>8.3775999999999993</v>
      </c>
      <c r="I23" s="876">
        <v>8.1056000000000008</v>
      </c>
      <c r="J23" s="876">
        <v>8.1327999999999996</v>
      </c>
      <c r="K23" s="876">
        <v>8.4047999999999998</v>
      </c>
      <c r="L23" s="282">
        <v>8.5136000000000003</v>
      </c>
      <c r="M23" s="282">
        <v>8.9760000000000009</v>
      </c>
      <c r="N23" s="282">
        <v>9.8191999999999986</v>
      </c>
      <c r="O23" s="284">
        <v>9.3939393939393767</v>
      </c>
      <c r="P23" s="874" t="s">
        <v>68</v>
      </c>
      <c r="Q23" s="180">
        <v>4.7843830000000001</v>
      </c>
      <c r="R23" s="181">
        <f t="shared" si="0"/>
        <v>2052.3440535592567</v>
      </c>
    </row>
    <row r="24" spans="1:24" s="235" customFormat="1" ht="12.75" customHeight="1">
      <c r="A24" s="290"/>
      <c r="B24" s="213" t="s">
        <v>69</v>
      </c>
      <c r="C24" s="225">
        <v>103.04899999999999</v>
      </c>
      <c r="D24" s="225">
        <v>102.65700000000001</v>
      </c>
      <c r="E24" s="225">
        <v>102.438</v>
      </c>
      <c r="F24" s="225">
        <v>101.706</v>
      </c>
      <c r="G24" s="225">
        <v>102.21899999999999</v>
      </c>
      <c r="H24" s="225">
        <v>102.444</v>
      </c>
      <c r="I24" s="225">
        <v>101.512</v>
      </c>
      <c r="J24" s="225">
        <v>101.77000000000001</v>
      </c>
      <c r="K24" s="225">
        <v>102.806</v>
      </c>
      <c r="L24" s="282">
        <v>102.509</v>
      </c>
      <c r="M24" s="282">
        <v>103.099</v>
      </c>
      <c r="N24" s="282">
        <v>103.17400000000001</v>
      </c>
      <c r="O24" s="244">
        <v>7.2745613439508361E-2</v>
      </c>
      <c r="P24" s="213" t="s">
        <v>69</v>
      </c>
      <c r="Q24" s="170">
        <v>60.589444999999998</v>
      </c>
      <c r="R24" s="181">
        <f t="shared" si="0"/>
        <v>1702.8378457667011</v>
      </c>
    </row>
    <row r="25" spans="1:24" ht="12.75" customHeight="1">
      <c r="A25" s="212"/>
      <c r="B25" s="221" t="s">
        <v>73</v>
      </c>
      <c r="C25" s="243">
        <v>3.6959999999999997</v>
      </c>
      <c r="D25" s="243">
        <v>3.6200999999999999</v>
      </c>
      <c r="E25" s="243">
        <v>3.4212000000000002</v>
      </c>
      <c r="F25" s="243">
        <v>2.7746999999999997</v>
      </c>
      <c r="G25" s="243">
        <v>2.6936</v>
      </c>
      <c r="H25" s="243">
        <v>2.7480000000000002</v>
      </c>
      <c r="I25" s="243">
        <v>2.7349999999999999</v>
      </c>
      <c r="J25" s="243">
        <v>2.847</v>
      </c>
      <c r="K25" s="243">
        <v>2.9733000000000001</v>
      </c>
      <c r="L25" s="285">
        <v>2.7455430000000001</v>
      </c>
      <c r="M25" s="285">
        <v>2.6313</v>
      </c>
      <c r="N25" s="285">
        <v>2.7389999999999999</v>
      </c>
      <c r="O25" s="241">
        <v>4.0930338615893191</v>
      </c>
      <c r="P25" s="221" t="s">
        <v>73</v>
      </c>
      <c r="Q25" s="180">
        <v>2.8479040000000002</v>
      </c>
      <c r="R25" s="181">
        <f t="shared" si="0"/>
        <v>961.75994696450425</v>
      </c>
    </row>
    <row r="26" spans="1:24" s="235" customFormat="1" ht="12.75" customHeight="1">
      <c r="A26" s="229"/>
      <c r="B26" s="213" t="s">
        <v>76</v>
      </c>
      <c r="C26" s="876">
        <v>0.82</v>
      </c>
      <c r="D26" s="876">
        <v>0.86</v>
      </c>
      <c r="E26" s="876">
        <v>0.91</v>
      </c>
      <c r="F26" s="876">
        <v>0.90587268823413103</v>
      </c>
      <c r="G26" s="876">
        <v>0.94</v>
      </c>
      <c r="H26" s="876">
        <v>0.9876300463226344</v>
      </c>
      <c r="I26" s="876">
        <v>1.0049122484837048</v>
      </c>
      <c r="J26" s="876">
        <v>1.0264588947641511</v>
      </c>
      <c r="K26" s="876">
        <v>1.0375462847587611</v>
      </c>
      <c r="L26" s="846">
        <v>1.0928294004495056</v>
      </c>
      <c r="M26" s="846">
        <v>1.1099876780311415</v>
      </c>
      <c r="N26" s="846">
        <v>1.1455145233368973</v>
      </c>
      <c r="O26" s="244">
        <v>3.2006522242455873</v>
      </c>
      <c r="P26" s="213" t="s">
        <v>76</v>
      </c>
      <c r="Q26" s="170">
        <v>0.59066700000000005</v>
      </c>
      <c r="R26" s="181">
        <f t="shared" si="0"/>
        <v>1939.3575793753455</v>
      </c>
    </row>
    <row r="27" spans="1:24" ht="12.75" customHeight="1">
      <c r="A27" s="212"/>
      <c r="B27" s="221" t="s">
        <v>72</v>
      </c>
      <c r="C27" s="230">
        <v>2.78</v>
      </c>
      <c r="D27" s="230">
        <v>2.6440000000000001</v>
      </c>
      <c r="E27" s="230">
        <v>2.5169999999999999</v>
      </c>
      <c r="F27" s="230">
        <v>2.1429999999999998</v>
      </c>
      <c r="G27" s="248">
        <v>2.3109999999999999</v>
      </c>
      <c r="H27" s="230">
        <v>2.4119999999999999</v>
      </c>
      <c r="I27" s="230">
        <v>2.3580000000000001</v>
      </c>
      <c r="J27" s="230">
        <v>2.3250000000000002</v>
      </c>
      <c r="K27" s="230">
        <v>2.3450000000000002</v>
      </c>
      <c r="L27" s="249">
        <v>2.2320000000000002</v>
      </c>
      <c r="M27" s="249">
        <v>2.1869999999999998</v>
      </c>
      <c r="N27" s="249">
        <v>2.1659999999999999</v>
      </c>
      <c r="O27" s="239">
        <v>-0.96021947873798297</v>
      </c>
      <c r="P27" s="221" t="s">
        <v>72</v>
      </c>
      <c r="Q27" s="180">
        <v>1.950116</v>
      </c>
      <c r="R27" s="181">
        <f t="shared" si="0"/>
        <v>1110.7031581711035</v>
      </c>
      <c r="V27" s="235"/>
      <c r="W27" s="235"/>
      <c r="X27" s="235"/>
    </row>
    <row r="28" spans="1:24" s="235" customFormat="1" ht="12.75" customHeight="1">
      <c r="A28" s="229"/>
      <c r="B28" s="213" t="s">
        <v>78</v>
      </c>
      <c r="C28" s="226">
        <v>0.5</v>
      </c>
      <c r="D28" s="226">
        <v>0.505</v>
      </c>
      <c r="E28" s="226">
        <v>0.51</v>
      </c>
      <c r="F28" s="226">
        <v>0.48488857223887638</v>
      </c>
      <c r="G28" s="226">
        <v>0.5</v>
      </c>
      <c r="H28" s="226">
        <v>0.47567815316050804</v>
      </c>
      <c r="I28" s="226">
        <v>0.47645189540481242</v>
      </c>
      <c r="J28" s="226">
        <v>0.46847402439797603</v>
      </c>
      <c r="K28" s="226">
        <v>0.49155426958825765</v>
      </c>
      <c r="L28" s="286">
        <v>0.53990646158702804</v>
      </c>
      <c r="M28" s="286">
        <v>0.54606337304778996</v>
      </c>
      <c r="N28" s="856">
        <v>0.55611216003480179</v>
      </c>
      <c r="O28" s="227">
        <v>1.8402235863075163</v>
      </c>
      <c r="P28" s="213" t="s">
        <v>78</v>
      </c>
      <c r="Q28" s="170">
        <v>0.46029700000000001</v>
      </c>
      <c r="R28" s="181">
        <f t="shared" si="0"/>
        <v>1208.1594275756777</v>
      </c>
    </row>
    <row r="29" spans="1:24" ht="12.75" customHeight="1">
      <c r="A29" s="212"/>
      <c r="B29" s="874" t="s">
        <v>16</v>
      </c>
      <c r="C29" s="876">
        <v>4.8609118584984579</v>
      </c>
      <c r="D29" s="876">
        <v>4.9614030338171933</v>
      </c>
      <c r="E29" s="876">
        <v>5.0485431818379851</v>
      </c>
      <c r="F29" s="876">
        <v>4.8539475062283941</v>
      </c>
      <c r="G29" s="876">
        <v>4.8460749387701867</v>
      </c>
      <c r="H29" s="876">
        <v>5.0100965409031044</v>
      </c>
      <c r="I29" s="876">
        <v>4.4838695297226492</v>
      </c>
      <c r="J29" s="876">
        <v>4.6464404346162365</v>
      </c>
      <c r="K29" s="876">
        <v>4.5467574620943143</v>
      </c>
      <c r="L29" s="846">
        <v>4.8835543111383366</v>
      </c>
      <c r="M29" s="846">
        <v>4.9745732561968508</v>
      </c>
      <c r="N29" s="846">
        <v>4.6183979978591383</v>
      </c>
      <c r="O29" s="244">
        <v>-7.159915835876447</v>
      </c>
      <c r="P29" s="874" t="s">
        <v>16</v>
      </c>
      <c r="Q29" s="180">
        <v>17.081506999999998</v>
      </c>
      <c r="R29" s="181">
        <f t="shared" si="0"/>
        <v>270.37415363053969</v>
      </c>
    </row>
    <row r="30" spans="1:24" s="235" customFormat="1" ht="12.75" customHeight="1">
      <c r="A30" s="229"/>
      <c r="B30" s="221" t="s">
        <v>80</v>
      </c>
      <c r="C30" s="231">
        <v>48.7</v>
      </c>
      <c r="D30" s="231">
        <v>47.7</v>
      </c>
      <c r="E30" s="231">
        <v>47.7</v>
      </c>
      <c r="F30" s="231">
        <v>43.9</v>
      </c>
      <c r="G30" s="231">
        <v>41.7</v>
      </c>
      <c r="H30" s="231">
        <v>40.1</v>
      </c>
      <c r="I30" s="231">
        <v>39.418999999999997</v>
      </c>
      <c r="J30" s="231">
        <v>37.799999999999997</v>
      </c>
      <c r="K30" s="231">
        <v>39.158000000000001</v>
      </c>
      <c r="L30" s="289">
        <v>37.58</v>
      </c>
      <c r="M30" s="289">
        <v>36.774000000000001</v>
      </c>
      <c r="N30" s="289">
        <v>36.064999999999998</v>
      </c>
      <c r="O30" s="241">
        <v>-1.9279926034698462</v>
      </c>
      <c r="P30" s="221" t="s">
        <v>80</v>
      </c>
      <c r="Q30" s="170">
        <v>37.972963999999997</v>
      </c>
      <c r="R30" s="181">
        <f t="shared" si="0"/>
        <v>949.75467282459169</v>
      </c>
      <c r="V30" s="190"/>
      <c r="W30" s="190"/>
      <c r="X30" s="190"/>
    </row>
    <row r="31" spans="1:24" ht="12.75" customHeight="1">
      <c r="A31" s="212"/>
      <c r="B31" s="221" t="s">
        <v>92</v>
      </c>
      <c r="C31" s="230">
        <v>6.0643432657910443</v>
      </c>
      <c r="D31" s="230">
        <v>6.248737903312966</v>
      </c>
      <c r="E31" s="248">
        <v>6.2826297525771189</v>
      </c>
      <c r="F31" s="230">
        <v>6.0003599842101911</v>
      </c>
      <c r="G31" s="230">
        <v>6.0775553426228326</v>
      </c>
      <c r="H31" s="230">
        <v>5.85</v>
      </c>
      <c r="I31" s="230">
        <v>5.85</v>
      </c>
      <c r="J31" s="230">
        <v>6.0229999999999997</v>
      </c>
      <c r="K31" s="230">
        <v>5.657</v>
      </c>
      <c r="L31" s="249">
        <v>6.5750000000000002</v>
      </c>
      <c r="M31" s="249">
        <v>7.6120000000000001</v>
      </c>
      <c r="N31" s="249">
        <v>7.415</v>
      </c>
      <c r="O31" s="239">
        <v>-2.5880189174986867</v>
      </c>
      <c r="P31" s="221" t="s">
        <v>92</v>
      </c>
      <c r="Q31" s="180">
        <v>10.309573</v>
      </c>
      <c r="R31" s="181">
        <f t="shared" si="0"/>
        <v>719.23444356036862</v>
      </c>
      <c r="V31" s="235"/>
      <c r="W31" s="235"/>
      <c r="X31" s="235"/>
    </row>
    <row r="32" spans="1:24" s="235" customFormat="1" ht="12.75" customHeight="1">
      <c r="A32" s="229"/>
      <c r="B32" s="874" t="s">
        <v>101</v>
      </c>
      <c r="C32" s="848">
        <v>11.734999999999999</v>
      </c>
      <c r="D32" s="848">
        <v>12.156000000000001</v>
      </c>
      <c r="E32" s="848">
        <v>20.193999999999999</v>
      </c>
      <c r="F32" s="848">
        <v>17.108000000000001</v>
      </c>
      <c r="G32" s="848">
        <v>15.811999999999999</v>
      </c>
      <c r="H32" s="876">
        <v>15.529</v>
      </c>
      <c r="I32" s="876">
        <v>16.901</v>
      </c>
      <c r="J32" s="876">
        <v>17.082000000000001</v>
      </c>
      <c r="K32" s="876">
        <v>18.338999999999999</v>
      </c>
      <c r="L32" s="846">
        <v>17.471</v>
      </c>
      <c r="M32" s="846">
        <v>18.744</v>
      </c>
      <c r="N32" s="846">
        <v>18.178000000000001</v>
      </c>
      <c r="O32" s="244">
        <v>-3.0196329492104041</v>
      </c>
      <c r="P32" s="874" t="s">
        <v>101</v>
      </c>
      <c r="Q32" s="170">
        <v>19.644349999999999</v>
      </c>
      <c r="R32" s="181">
        <f t="shared" si="0"/>
        <v>925.35512755576042</v>
      </c>
      <c r="V32" s="190"/>
      <c r="W32" s="190"/>
      <c r="X32" s="190"/>
    </row>
    <row r="33" spans="1:24" ht="12.75" customHeight="1">
      <c r="A33" s="212"/>
      <c r="B33" s="221" t="s">
        <v>88</v>
      </c>
      <c r="C33" s="231">
        <v>9.3320000000000007</v>
      </c>
      <c r="D33" s="231">
        <v>9.4179999999999993</v>
      </c>
      <c r="E33" s="231">
        <v>9.1669999999999998</v>
      </c>
      <c r="F33" s="231">
        <v>9.2390000000000008</v>
      </c>
      <c r="G33" s="231">
        <v>9.3740000000000006</v>
      </c>
      <c r="H33" s="231">
        <v>9.6470000000000002</v>
      </c>
      <c r="I33" s="231">
        <v>9.5229999999999997</v>
      </c>
      <c r="J33" s="231">
        <v>9.7040000000000006</v>
      </c>
      <c r="K33" s="231">
        <v>9.6929999999999996</v>
      </c>
      <c r="L33" s="289">
        <v>9.8282024392401492</v>
      </c>
      <c r="M33" s="289">
        <v>9.8465737180574102</v>
      </c>
      <c r="N33" s="289">
        <v>9.9710000000000001</v>
      </c>
      <c r="O33" s="241">
        <v>1.2636505398259317</v>
      </c>
      <c r="P33" s="221" t="s">
        <v>88</v>
      </c>
      <c r="Q33" s="180">
        <v>9.9951530000000002</v>
      </c>
      <c r="R33" s="181">
        <f t="shared" si="0"/>
        <v>997.58352873637853</v>
      </c>
    </row>
    <row r="34" spans="1:24" ht="12.75" customHeight="1">
      <c r="A34" s="212"/>
      <c r="B34" s="221" t="s">
        <v>83</v>
      </c>
      <c r="C34" s="230">
        <v>3.133</v>
      </c>
      <c r="D34" s="230">
        <v>3.2349999999999999</v>
      </c>
      <c r="E34" s="230">
        <v>3.1459999999999999</v>
      </c>
      <c r="F34" s="230">
        <v>3.1960000000000002</v>
      </c>
      <c r="G34" s="230">
        <v>3.1829999999999998</v>
      </c>
      <c r="H34" s="230">
        <v>3.244143134443557</v>
      </c>
      <c r="I34" s="230">
        <v>3.2370370249757103</v>
      </c>
      <c r="J34" s="230">
        <v>3.3223001768851614</v>
      </c>
      <c r="K34" s="230">
        <v>3.448992354015874</v>
      </c>
      <c r="L34" s="249">
        <v>3.576082566075633</v>
      </c>
      <c r="M34" s="249">
        <v>3.6071993994426763</v>
      </c>
      <c r="N34" s="249">
        <v>3.6802214515651084</v>
      </c>
      <c r="O34" s="239">
        <v>2.0243419904570175</v>
      </c>
      <c r="P34" s="221" t="s">
        <v>83</v>
      </c>
      <c r="Q34" s="170">
        <v>2.0658949999999998</v>
      </c>
      <c r="R34" s="181">
        <f t="shared" si="0"/>
        <v>1781.4174735720396</v>
      </c>
      <c r="V34" s="235"/>
      <c r="W34" s="235"/>
      <c r="X34" s="235"/>
    </row>
    <row r="35" spans="1:24" ht="12.75" customHeight="1">
      <c r="A35" s="212"/>
      <c r="B35" s="221" t="s">
        <v>85</v>
      </c>
      <c r="C35" s="230">
        <v>8.6835740000000001</v>
      </c>
      <c r="D35" s="230">
        <v>8.6520620000000008</v>
      </c>
      <c r="E35" s="230">
        <v>7.4487155999999999</v>
      </c>
      <c r="F35" s="230">
        <v>5.3743368</v>
      </c>
      <c r="G35" s="230">
        <v>5.2707794999999997</v>
      </c>
      <c r="H35" s="230">
        <v>5.4770729099999995</v>
      </c>
      <c r="I35" s="230">
        <v>5.4320914300000007</v>
      </c>
      <c r="J35" s="230">
        <v>5.2574942</v>
      </c>
      <c r="K35" s="230">
        <v>5.3532087200000005</v>
      </c>
      <c r="L35" s="249">
        <v>5.3676304500000001</v>
      </c>
      <c r="M35" s="249">
        <v>5.8909448900000001</v>
      </c>
      <c r="N35" s="249">
        <v>5.9249999999999998</v>
      </c>
      <c r="O35" s="239">
        <v>0.57809249001479657</v>
      </c>
      <c r="P35" s="221" t="s">
        <v>85</v>
      </c>
      <c r="Q35" s="170">
        <v>5.4353429999999996</v>
      </c>
      <c r="R35" s="181">
        <f t="shared" si="0"/>
        <v>1090.0875988875036</v>
      </c>
    </row>
    <row r="36" spans="1:24" ht="12.75" customHeight="1">
      <c r="A36" s="212"/>
      <c r="B36" s="217" t="s">
        <v>13</v>
      </c>
      <c r="C36" s="292">
        <v>41.970470057792525</v>
      </c>
      <c r="D36" s="292">
        <v>42.197936603376114</v>
      </c>
      <c r="E36" s="292">
        <v>44.709474844574544</v>
      </c>
      <c r="F36" s="292">
        <v>45.719121807781001</v>
      </c>
      <c r="G36" s="292">
        <v>46.223324420997564</v>
      </c>
      <c r="H36" s="292">
        <v>44.106906557188047</v>
      </c>
      <c r="I36" s="292">
        <v>43.726286095378342</v>
      </c>
      <c r="J36" s="292">
        <v>41.881469475441314</v>
      </c>
      <c r="K36" s="292">
        <v>41.117834220330479</v>
      </c>
      <c r="L36" s="293">
        <v>40.86814894142244</v>
      </c>
      <c r="M36" s="293">
        <v>35.864239151523378</v>
      </c>
      <c r="N36" s="293">
        <v>39.478844989944299</v>
      </c>
      <c r="O36" s="294">
        <v>10.078579453894207</v>
      </c>
      <c r="P36" s="217" t="s">
        <v>13</v>
      </c>
      <c r="Q36" s="170">
        <v>65.808572999999996</v>
      </c>
      <c r="R36" s="181">
        <f t="shared" si="0"/>
        <v>599.90428587388317</v>
      </c>
    </row>
    <row r="37" spans="1:24" ht="12.75" customHeight="1">
      <c r="A37" s="212"/>
      <c r="B37" s="221" t="s">
        <v>270</v>
      </c>
      <c r="C37" s="295">
        <v>0.48</v>
      </c>
      <c r="D37" s="295">
        <v>0.66300000000000003</v>
      </c>
      <c r="E37" s="295">
        <v>0.79</v>
      </c>
      <c r="F37" s="295">
        <v>1.302</v>
      </c>
      <c r="G37" s="295">
        <v>2.37</v>
      </c>
      <c r="H37" s="295">
        <v>1.254</v>
      </c>
      <c r="I37" s="295">
        <v>0.98299999999999998</v>
      </c>
      <c r="J37" s="295">
        <v>1.0629999999999999</v>
      </c>
      <c r="K37" s="296">
        <v>1.1326680761099364</v>
      </c>
      <c r="L37" s="297">
        <v>1.2130914544345939</v>
      </c>
      <c r="M37" s="297">
        <v>1.319032466687682</v>
      </c>
      <c r="N37" s="297">
        <v>1.2499558444672563</v>
      </c>
      <c r="O37" s="241">
        <v>-5.236915994485642</v>
      </c>
      <c r="P37" s="221" t="s">
        <v>270</v>
      </c>
      <c r="Q37" s="228"/>
    </row>
    <row r="38" spans="1:24" ht="12.75" customHeight="1">
      <c r="A38" s="212"/>
      <c r="B38" s="213" t="s">
        <v>223</v>
      </c>
      <c r="C38" s="226"/>
      <c r="D38" s="226"/>
      <c r="E38" s="225">
        <v>0.124</v>
      </c>
      <c r="F38" s="225">
        <v>0.10199999999999999</v>
      </c>
      <c r="G38" s="225">
        <v>8.1000000000000003E-2</v>
      </c>
      <c r="H38" s="225">
        <v>0.08</v>
      </c>
      <c r="I38" s="225">
        <v>0.112</v>
      </c>
      <c r="J38" s="225">
        <v>0.108802</v>
      </c>
      <c r="K38" s="225">
        <v>0.108</v>
      </c>
      <c r="L38" s="288">
        <v>0.109621</v>
      </c>
      <c r="M38" s="288">
        <v>0.113798</v>
      </c>
      <c r="N38" s="846">
        <v>0.11419600000000001</v>
      </c>
      <c r="O38" s="244">
        <v>0.34974252623069901</v>
      </c>
      <c r="P38" s="213" t="s">
        <v>223</v>
      </c>
      <c r="Q38" s="228"/>
      <c r="R38" s="746">
        <f>R6</f>
        <v>997.84136077347955</v>
      </c>
    </row>
    <row r="39" spans="1:24" s="235" customFormat="1" ht="12.75" customHeight="1">
      <c r="A39" s="229"/>
      <c r="B39" s="221" t="s">
        <v>145</v>
      </c>
      <c r="C39" s="230">
        <v>1.016</v>
      </c>
      <c r="D39" s="230">
        <v>1.0269999999999999</v>
      </c>
      <c r="E39" s="230">
        <v>1.2390000000000001</v>
      </c>
      <c r="F39" s="230">
        <v>1.2130000000000001</v>
      </c>
      <c r="G39" s="230">
        <v>1.4410000000000001</v>
      </c>
      <c r="H39" s="230">
        <v>1.64</v>
      </c>
      <c r="I39" s="230">
        <v>1.403</v>
      </c>
      <c r="J39" s="230">
        <v>1.395</v>
      </c>
      <c r="K39" s="230">
        <v>1.208</v>
      </c>
      <c r="L39" s="249">
        <v>1.248</v>
      </c>
      <c r="M39" s="249">
        <v>1.101</v>
      </c>
      <c r="N39" s="249">
        <v>1.248</v>
      </c>
      <c r="O39" s="239">
        <v>13.351498637602191</v>
      </c>
      <c r="P39" s="221" t="s">
        <v>145</v>
      </c>
      <c r="Q39" s="190"/>
      <c r="R39" s="746">
        <f>R7</f>
        <v>947.76717253000572</v>
      </c>
    </row>
    <row r="40" spans="1:24" s="235" customFormat="1" ht="12.75" customHeight="1">
      <c r="A40" s="229"/>
      <c r="B40" s="213" t="s">
        <v>224</v>
      </c>
      <c r="C40" s="225"/>
      <c r="D40" s="225"/>
      <c r="E40" s="226"/>
      <c r="F40" s="226"/>
      <c r="G40" s="226">
        <v>9.3988043244122981</v>
      </c>
      <c r="H40" s="226">
        <v>9.5476047945381755</v>
      </c>
      <c r="I40" s="226">
        <v>9.4625680864995783</v>
      </c>
      <c r="J40" s="226">
        <v>9.2191706765073693</v>
      </c>
      <c r="K40" s="226">
        <v>8.8930902150786704</v>
      </c>
      <c r="L40" s="286">
        <v>9.4028576829361299</v>
      </c>
      <c r="M40" s="286">
        <v>8.9554648923850202</v>
      </c>
      <c r="N40" s="856">
        <v>9.75</v>
      </c>
      <c r="O40" s="227">
        <v>8.8720699278335076</v>
      </c>
      <c r="P40" s="213" t="s">
        <v>224</v>
      </c>
    </row>
    <row r="41" spans="1:24" ht="12.75" customHeight="1">
      <c r="A41" s="212"/>
      <c r="B41" s="256" t="s">
        <v>146</v>
      </c>
      <c r="C41" s="231">
        <v>100</v>
      </c>
      <c r="D41" s="231">
        <v>105</v>
      </c>
      <c r="E41" s="231">
        <v>110</v>
      </c>
      <c r="F41" s="260">
        <v>88.426000000000002</v>
      </c>
      <c r="G41" s="230">
        <v>89.055999999999997</v>
      </c>
      <c r="H41" s="230">
        <v>95.334000000000003</v>
      </c>
      <c r="I41" s="230">
        <v>96.558999999999997</v>
      </c>
      <c r="J41" s="230">
        <v>94.846000000000004</v>
      </c>
      <c r="K41" s="230">
        <v>93.918000000000006</v>
      </c>
      <c r="L41" s="249">
        <v>90.838999999999999</v>
      </c>
      <c r="M41" s="249">
        <v>86.998999999999995</v>
      </c>
      <c r="N41" s="249">
        <v>87.498187873142228</v>
      </c>
      <c r="O41" s="261">
        <v>0.57378575976991897</v>
      </c>
      <c r="P41" s="256" t="s">
        <v>146</v>
      </c>
    </row>
    <row r="42" spans="1:24" s="235" customFormat="1" ht="12.75" customHeight="1">
      <c r="A42" s="229"/>
      <c r="B42" s="213" t="s">
        <v>147</v>
      </c>
      <c r="C42" s="262">
        <v>0.622</v>
      </c>
      <c r="D42" s="262">
        <v>0.65300000000000002</v>
      </c>
      <c r="E42" s="262">
        <v>0.63600000000000001</v>
      </c>
      <c r="F42" s="262">
        <v>0.64400000000000002</v>
      </c>
      <c r="G42" s="262">
        <v>0.63800000000000001</v>
      </c>
      <c r="H42" s="262">
        <v>0.61499999999999999</v>
      </c>
      <c r="I42" s="262">
        <v>0.622</v>
      </c>
      <c r="J42" s="262">
        <v>0.64</v>
      </c>
      <c r="K42" s="262">
        <v>0.67300000000000004</v>
      </c>
      <c r="L42" s="299">
        <v>0.71799999999999997</v>
      </c>
      <c r="M42" s="299">
        <v>0.83299999999999996</v>
      </c>
      <c r="N42" s="299">
        <v>0.89503310680622339</v>
      </c>
      <c r="O42" s="263">
        <v>7.4469515973857767</v>
      </c>
      <c r="P42" s="213" t="s">
        <v>147</v>
      </c>
    </row>
    <row r="43" spans="1:24" ht="12.75" customHeight="1">
      <c r="A43" s="212"/>
      <c r="B43" s="221" t="s">
        <v>148</v>
      </c>
      <c r="C43" s="230">
        <v>4.258</v>
      </c>
      <c r="D43" s="230">
        <v>4.2679999999999998</v>
      </c>
      <c r="E43" s="230">
        <v>4.3600000000000003</v>
      </c>
      <c r="F43" s="230">
        <v>4.4009999999999998</v>
      </c>
      <c r="G43" s="230">
        <v>4.5060000000000002</v>
      </c>
      <c r="H43" s="230">
        <v>4.7480000000000002</v>
      </c>
      <c r="I43" s="230">
        <v>3.7879999999999998</v>
      </c>
      <c r="J43" s="230">
        <v>3.738</v>
      </c>
      <c r="K43" s="230">
        <v>3.7930000000000001</v>
      </c>
      <c r="L43" s="249">
        <v>4.0890000000000004</v>
      </c>
      <c r="M43" s="249">
        <v>4.3310000000000004</v>
      </c>
      <c r="N43" s="249">
        <v>4.2350000000000003</v>
      </c>
      <c r="O43" s="239">
        <v>-2.2165781574693995</v>
      </c>
      <c r="P43" s="221" t="s">
        <v>148</v>
      </c>
    </row>
    <row r="44" spans="1:24" s="235" customFormat="1" ht="12.75" customHeight="1">
      <c r="A44" s="229"/>
      <c r="B44" s="217" t="s">
        <v>149</v>
      </c>
      <c r="C44" s="250">
        <v>5.6021000000000001</v>
      </c>
      <c r="D44" s="250">
        <v>5.673</v>
      </c>
      <c r="E44" s="250">
        <v>5.3265000000000002</v>
      </c>
      <c r="F44" s="250">
        <v>5.4176910015999997</v>
      </c>
      <c r="G44" s="250">
        <v>5.5076538815999996</v>
      </c>
      <c r="H44" s="250">
        <v>5.6060850047999997</v>
      </c>
      <c r="I44" s="250">
        <v>5.7069478847999999</v>
      </c>
      <c r="J44" s="250">
        <v>5.7751977792</v>
      </c>
      <c r="K44" s="250">
        <v>5.8559000000000001</v>
      </c>
      <c r="L44" s="300">
        <v>6.0099260096</v>
      </c>
      <c r="M44" s="300">
        <v>6.1310000000000002</v>
      </c>
      <c r="N44" s="880">
        <v>6.1440000000000001</v>
      </c>
      <c r="O44" s="264">
        <v>0.21203718806066263</v>
      </c>
      <c r="P44" s="217" t="s">
        <v>149</v>
      </c>
    </row>
    <row r="45" spans="1:24" ht="15" customHeight="1">
      <c r="B45" s="301" t="s">
        <v>172</v>
      </c>
      <c r="C45" s="301"/>
      <c r="D45" s="301"/>
      <c r="E45" s="301"/>
      <c r="F45" s="301"/>
      <c r="G45" s="301"/>
      <c r="H45" s="301"/>
      <c r="I45" s="301"/>
      <c r="J45" s="301"/>
      <c r="K45" s="301"/>
      <c r="L45" s="301"/>
      <c r="M45" s="301"/>
      <c r="N45" s="301"/>
      <c r="O45" s="301"/>
      <c r="P45" s="302"/>
    </row>
    <row r="46" spans="1:24" ht="12.75" customHeight="1">
      <c r="B46" s="303" t="s">
        <v>166</v>
      </c>
      <c r="O46" s="304"/>
    </row>
    <row r="47" spans="1:24" s="194" customFormat="1" ht="12.75" customHeight="1">
      <c r="B47" s="194" t="s">
        <v>303</v>
      </c>
      <c r="C47" s="306"/>
      <c r="D47" s="306"/>
      <c r="E47" s="306"/>
      <c r="F47" s="306"/>
      <c r="G47" s="306"/>
      <c r="H47" s="306"/>
      <c r="I47" s="306"/>
      <c r="J47" s="306"/>
      <c r="K47" s="306"/>
      <c r="L47" s="306"/>
      <c r="M47" s="306"/>
      <c r="N47" s="306"/>
    </row>
    <row r="48" spans="1:24" s="194" customFormat="1" ht="12.75" customHeight="1">
      <c r="B48" s="1147" t="s">
        <v>284</v>
      </c>
      <c r="C48" s="1147"/>
      <c r="D48" s="1147"/>
      <c r="E48" s="1147"/>
      <c r="F48" s="1147"/>
      <c r="G48" s="1147"/>
      <c r="H48" s="1147"/>
      <c r="I48" s="1147"/>
      <c r="J48" s="1147"/>
      <c r="K48" s="1147"/>
      <c r="L48" s="1147"/>
      <c r="M48" s="1147"/>
      <c r="N48" s="1147"/>
      <c r="O48" s="1147"/>
    </row>
    <row r="49" spans="2:16">
      <c r="B49" s="190" t="s">
        <v>285</v>
      </c>
    </row>
    <row r="50" spans="2:16">
      <c r="B50" s="190" t="s">
        <v>304</v>
      </c>
    </row>
    <row r="51" spans="2:16" ht="12.75" customHeight="1">
      <c r="B51" s="190" t="s">
        <v>286</v>
      </c>
    </row>
    <row r="52" spans="2:16" s="194" customFormat="1" ht="11.25" customHeight="1">
      <c r="B52" s="307" t="s">
        <v>173</v>
      </c>
      <c r="C52" s="190"/>
      <c r="D52" s="190"/>
      <c r="E52" s="190"/>
      <c r="F52" s="190"/>
      <c r="G52" s="190"/>
      <c r="H52" s="190"/>
      <c r="I52" s="190"/>
      <c r="L52" s="190"/>
      <c r="M52" s="190"/>
      <c r="N52" s="190"/>
      <c r="O52" s="190"/>
      <c r="P52" s="190"/>
    </row>
    <row r="53" spans="2:16" ht="12.75" customHeight="1">
      <c r="B53" s="190" t="s">
        <v>280</v>
      </c>
      <c r="C53" s="305"/>
      <c r="D53" s="305"/>
      <c r="E53" s="305"/>
      <c r="F53" s="305"/>
      <c r="G53" s="305"/>
      <c r="H53" s="305"/>
      <c r="I53" s="305"/>
      <c r="J53" s="305"/>
      <c r="K53" s="305"/>
    </row>
    <row r="54" spans="2:16">
      <c r="B54" s="190" t="s">
        <v>287</v>
      </c>
    </row>
    <row r="55" spans="2:16">
      <c r="B55" s="270" t="s">
        <v>305</v>
      </c>
    </row>
    <row r="56" spans="2:16">
      <c r="J56" s="223"/>
      <c r="K56" s="223"/>
    </row>
    <row r="59" spans="2:16">
      <c r="C59" s="305"/>
      <c r="D59" s="305"/>
      <c r="E59" s="305"/>
      <c r="F59" s="305"/>
      <c r="G59" s="305"/>
      <c r="H59" s="305"/>
      <c r="I59" s="305"/>
    </row>
    <row r="61" spans="2:16">
      <c r="C61" s="308"/>
      <c r="D61" s="309"/>
      <c r="E61" s="309"/>
      <c r="F61" s="309"/>
      <c r="G61" s="309"/>
      <c r="H61" s="309"/>
      <c r="I61" s="309"/>
      <c r="J61" s="230"/>
      <c r="K61" s="230"/>
    </row>
    <row r="62" spans="2:16">
      <c r="J62" s="230"/>
      <c r="K62" s="230"/>
    </row>
    <row r="63" spans="2:16">
      <c r="J63" s="271"/>
      <c r="K63" s="271"/>
    </row>
    <row r="64" spans="2:16">
      <c r="J64" s="223"/>
      <c r="K64" s="223"/>
    </row>
    <row r="65" spans="5:10">
      <c r="E65" s="309"/>
      <c r="F65" s="309"/>
      <c r="G65" s="309"/>
      <c r="H65" s="309"/>
      <c r="I65" s="309"/>
    </row>
    <row r="71" spans="5:10">
      <c r="E71" s="309"/>
      <c r="F71" s="309"/>
      <c r="G71" s="309"/>
      <c r="H71" s="309"/>
      <c r="I71" s="309"/>
      <c r="J71" s="309"/>
    </row>
    <row r="72" spans="5:10">
      <c r="E72" s="309"/>
      <c r="F72" s="309"/>
      <c r="G72" s="309"/>
      <c r="H72" s="309"/>
      <c r="I72" s="309"/>
      <c r="J72" s="309"/>
    </row>
  </sheetData>
  <mergeCells count="2">
    <mergeCell ref="B2:P2"/>
    <mergeCell ref="B48:O48"/>
  </mergeCells>
  <printOptions horizontalCentered="1"/>
  <pageMargins left="0.47244094488188981" right="0.47244094488188981" top="0.51181102362204722"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72"/>
  <sheetViews>
    <sheetView zoomScaleNormal="100" workbookViewId="0">
      <selection activeCell="N9" sqref="N9"/>
    </sheetView>
  </sheetViews>
  <sheetFormatPr defaultRowHeight="11.25"/>
  <cols>
    <col min="1" max="1" width="2.7109375" style="212" customWidth="1"/>
    <col min="2" max="2" width="4" style="190" customWidth="1"/>
    <col min="3" max="12" width="7.28515625" style="190" customWidth="1"/>
    <col min="13" max="13" width="9.42578125" style="190" customWidth="1"/>
    <col min="14" max="14" width="7.28515625" style="190" customWidth="1"/>
    <col min="15" max="15" width="8" style="190" customWidth="1"/>
    <col min="16" max="16" width="4.85546875" style="190" customWidth="1"/>
    <col min="17" max="16384" width="9.140625" style="190"/>
  </cols>
  <sheetData>
    <row r="1" spans="1:24" ht="14.25" customHeight="1">
      <c r="B1" s="189"/>
      <c r="C1" s="191"/>
      <c r="D1" s="191"/>
      <c r="E1" s="191"/>
      <c r="F1" s="191"/>
      <c r="G1" s="191"/>
      <c r="H1" s="191"/>
      <c r="I1" s="191"/>
      <c r="J1" s="191"/>
      <c r="K1" s="191"/>
      <c r="L1" s="191"/>
      <c r="M1" s="191"/>
      <c r="N1" s="191"/>
      <c r="P1" s="191" t="s">
        <v>174</v>
      </c>
    </row>
    <row r="2" spans="1:24" s="194" customFormat="1" ht="30" customHeight="1">
      <c r="A2" s="310"/>
      <c r="B2" s="1135" t="s">
        <v>165</v>
      </c>
      <c r="C2" s="1135"/>
      <c r="D2" s="1135"/>
      <c r="E2" s="1135"/>
      <c r="F2" s="1135"/>
      <c r="G2" s="1135"/>
      <c r="H2" s="1135"/>
      <c r="I2" s="1135"/>
      <c r="J2" s="1135"/>
      <c r="K2" s="1135"/>
      <c r="L2" s="1135"/>
      <c r="M2" s="1135"/>
      <c r="N2" s="1135"/>
      <c r="O2" s="1135"/>
      <c r="P2" s="1135"/>
    </row>
    <row r="3" spans="1:24" ht="15" customHeight="1">
      <c r="F3" s="195" t="s">
        <v>240</v>
      </c>
      <c r="G3" s="195"/>
      <c r="H3" s="195"/>
      <c r="I3" s="195"/>
      <c r="J3" s="195"/>
      <c r="K3" s="195"/>
      <c r="L3" s="195"/>
      <c r="M3" s="195"/>
      <c r="N3" s="195"/>
      <c r="O3" s="197"/>
      <c r="P3" s="195"/>
    </row>
    <row r="4" spans="1:24" ht="20.100000000000001" customHeight="1">
      <c r="B4" s="198"/>
      <c r="C4" s="200">
        <v>2006</v>
      </c>
      <c r="D4" s="200">
        <v>2007</v>
      </c>
      <c r="E4" s="200">
        <v>2008</v>
      </c>
      <c r="F4" s="200">
        <v>2009</v>
      </c>
      <c r="G4" s="200">
        <v>2010</v>
      </c>
      <c r="H4" s="200">
        <v>2011</v>
      </c>
      <c r="I4" s="200">
        <v>2012</v>
      </c>
      <c r="J4" s="200">
        <v>2013</v>
      </c>
      <c r="K4" s="200">
        <v>2014</v>
      </c>
      <c r="L4" s="200">
        <v>2015</v>
      </c>
      <c r="M4" s="200">
        <v>2016</v>
      </c>
      <c r="N4" s="200">
        <v>2017</v>
      </c>
      <c r="O4" s="201" t="s">
        <v>335</v>
      </c>
      <c r="P4" s="272"/>
      <c r="Q4" s="179" t="s">
        <v>353</v>
      </c>
      <c r="R4" s="169"/>
    </row>
    <row r="5" spans="1:24" ht="9.9499999999999993" customHeight="1">
      <c r="B5" s="198"/>
      <c r="C5" s="206"/>
      <c r="D5" s="206"/>
      <c r="E5" s="206"/>
      <c r="F5" s="206"/>
      <c r="G5" s="206"/>
      <c r="H5" s="206"/>
      <c r="I5" s="206"/>
      <c r="J5" s="206"/>
      <c r="K5" s="206"/>
      <c r="L5" s="206"/>
      <c r="M5" s="206"/>
      <c r="N5" s="206"/>
      <c r="O5" s="274" t="s">
        <v>143</v>
      </c>
      <c r="P5" s="272"/>
      <c r="Q5" s="157" t="s">
        <v>0</v>
      </c>
      <c r="R5" s="169" t="s">
        <v>299</v>
      </c>
    </row>
    <row r="6" spans="1:24" ht="12.75" customHeight="1">
      <c r="B6" s="208" t="s">
        <v>237</v>
      </c>
      <c r="C6" s="275">
        <v>87.859128160907815</v>
      </c>
      <c r="D6" s="275">
        <v>89.972419987898519</v>
      </c>
      <c r="E6" s="275">
        <v>93.543548124482044</v>
      </c>
      <c r="F6" s="275">
        <v>93.457982411954532</v>
      </c>
      <c r="G6" s="275">
        <v>96.121432668023445</v>
      </c>
      <c r="H6" s="275">
        <v>97.346018609899204</v>
      </c>
      <c r="I6" s="275">
        <v>98.922469833189481</v>
      </c>
      <c r="J6" s="275">
        <v>99.351662948261506</v>
      </c>
      <c r="K6" s="275">
        <v>100.62664467596638</v>
      </c>
      <c r="L6" s="275">
        <v>102.3634431270354</v>
      </c>
      <c r="M6" s="275">
        <v>105.6298695717889</v>
      </c>
      <c r="N6" s="275">
        <v>107.17376713665031</v>
      </c>
      <c r="O6" s="311">
        <v>3.4071710756037987</v>
      </c>
      <c r="P6" s="312" t="s">
        <v>237</v>
      </c>
      <c r="Q6" s="170">
        <v>510.28442999999993</v>
      </c>
      <c r="R6" s="181">
        <f>N6/Q6*1000</f>
        <v>210.0275078678186</v>
      </c>
    </row>
    <row r="7" spans="1:24" ht="12.75" customHeight="1">
      <c r="B7" s="213" t="s">
        <v>89</v>
      </c>
      <c r="C7" s="277">
        <v>64.779229160907832</v>
      </c>
      <c r="D7" s="277">
        <v>66.58432198789852</v>
      </c>
      <c r="E7" s="277">
        <v>68.507743324482021</v>
      </c>
      <c r="F7" s="277">
        <v>68.627625011954535</v>
      </c>
      <c r="G7" s="277">
        <v>71.086823270247393</v>
      </c>
      <c r="H7" s="277">
        <v>72.64765774257242</v>
      </c>
      <c r="I7" s="277">
        <v>72.771026872799482</v>
      </c>
      <c r="J7" s="277">
        <v>73.253097447134053</v>
      </c>
      <c r="K7" s="277">
        <v>74.139480664942624</v>
      </c>
      <c r="L7" s="277">
        <v>75.850223463927733</v>
      </c>
      <c r="M7" s="277">
        <v>75.850223463927733</v>
      </c>
      <c r="N7" s="278">
        <f>N9+N10+N15+N19+N20+N14+N17+N23+N24+N26+N29+N31+N18+N33+N36</f>
        <v>78.730803171631209</v>
      </c>
      <c r="O7" s="313">
        <f>(M7-L7)/L7*100</f>
        <v>0</v>
      </c>
      <c r="P7" s="314" t="s">
        <v>89</v>
      </c>
      <c r="Q7" s="170">
        <v>407.34291199999996</v>
      </c>
      <c r="R7" s="181">
        <f>N7/Q7*1000</f>
        <v>193.27893244802848</v>
      </c>
    </row>
    <row r="8" spans="1:24" ht="12.75" customHeight="1">
      <c r="B8" s="217" t="s">
        <v>238</v>
      </c>
      <c r="C8" s="279">
        <v>23.079898999999983</v>
      </c>
      <c r="D8" s="279">
        <v>23.388097999999999</v>
      </c>
      <c r="E8" s="279">
        <v>25.035804800000022</v>
      </c>
      <c r="F8" s="279">
        <v>24.830357399999997</v>
      </c>
      <c r="G8" s="279">
        <v>25.034609397776052</v>
      </c>
      <c r="H8" s="279">
        <v>24.698360867326784</v>
      </c>
      <c r="I8" s="279">
        <v>26.15144296039</v>
      </c>
      <c r="J8" s="279">
        <v>26.098565501127453</v>
      </c>
      <c r="K8" s="279">
        <v>26.487164011023751</v>
      </c>
      <c r="L8" s="279">
        <v>26.513219663107662</v>
      </c>
      <c r="M8" s="279"/>
      <c r="N8" s="279"/>
      <c r="O8" s="315">
        <v>9.8370863989316604E-2</v>
      </c>
      <c r="P8" s="217" t="s">
        <v>238</v>
      </c>
      <c r="Q8" s="170"/>
      <c r="R8" s="181"/>
    </row>
    <row r="9" spans="1:24" ht="12.75" customHeight="1">
      <c r="B9" s="213" t="s">
        <v>81</v>
      </c>
      <c r="C9" s="317">
        <v>6.5331938013248179</v>
      </c>
      <c r="D9" s="317">
        <v>6.6293201786275553</v>
      </c>
      <c r="E9" s="317">
        <v>6.7256324548502837</v>
      </c>
      <c r="F9" s="317">
        <v>6.8221309058440927</v>
      </c>
      <c r="G9" s="317">
        <v>6.9188158078260598</v>
      </c>
      <c r="H9" s="317">
        <v>7.0156874373796958</v>
      </c>
      <c r="I9" s="317">
        <v>7.1127460714554109</v>
      </c>
      <c r="J9" s="317">
        <v>7.2099919873709704</v>
      </c>
      <c r="K9" s="317">
        <v>7.0100583629872597</v>
      </c>
      <c r="L9" s="317">
        <v>7.1820429883220598</v>
      </c>
      <c r="M9" s="317">
        <v>7.1853302929799696</v>
      </c>
      <c r="N9" s="317">
        <v>7.1890000000000001</v>
      </c>
      <c r="O9" s="321">
        <v>5.1072210606875501E-2</v>
      </c>
      <c r="P9" s="878" t="s">
        <v>81</v>
      </c>
      <c r="Q9" s="170">
        <v>8.7728649999999995</v>
      </c>
      <c r="R9" s="181">
        <f t="shared" ref="R9:R36" si="0">N9/Q9*1000</f>
        <v>819.4586375146547</v>
      </c>
      <c r="V9" s="235"/>
      <c r="W9" s="235"/>
      <c r="X9" s="235"/>
    </row>
    <row r="10" spans="1:24" ht="12.75" customHeight="1">
      <c r="B10" s="221" t="s">
        <v>60</v>
      </c>
      <c r="C10" s="848">
        <v>0.95</v>
      </c>
      <c r="D10" s="848">
        <v>0.97</v>
      </c>
      <c r="E10" s="848">
        <v>1</v>
      </c>
      <c r="F10" s="848">
        <v>1</v>
      </c>
      <c r="G10" s="848">
        <v>1.07</v>
      </c>
      <c r="H10" s="848">
        <v>1.1328401797175867</v>
      </c>
      <c r="I10" s="848">
        <v>1.2185531819660802</v>
      </c>
      <c r="J10" s="848">
        <v>1.2395145325732948</v>
      </c>
      <c r="K10" s="848">
        <v>1.227917278338889</v>
      </c>
      <c r="L10" s="848">
        <v>1.2423087473855829</v>
      </c>
      <c r="M10" s="848">
        <v>1.2673777579830499</v>
      </c>
      <c r="N10" s="848">
        <v>1.3964367384663054</v>
      </c>
      <c r="O10" s="227">
        <v>10.18315018315019</v>
      </c>
      <c r="P10" s="874" t="s">
        <v>60</v>
      </c>
      <c r="Q10" s="170">
        <v>11.351727</v>
      </c>
      <c r="R10" s="181">
        <f t="shared" si="0"/>
        <v>123.01535603052341</v>
      </c>
    </row>
    <row r="11" spans="1:24" s="235" customFormat="1" ht="12.75" customHeight="1">
      <c r="A11" s="229"/>
      <c r="B11" s="874" t="s">
        <v>100</v>
      </c>
      <c r="C11" s="243">
        <v>0.44600000000000001</v>
      </c>
      <c r="D11" s="243">
        <v>0.443</v>
      </c>
      <c r="E11" s="243">
        <v>0.48599999999999999</v>
      </c>
      <c r="F11" s="243">
        <v>0.68799999999999994</v>
      </c>
      <c r="G11" s="243">
        <v>0.90900000000000003</v>
      </c>
      <c r="H11" s="243">
        <v>0.872</v>
      </c>
      <c r="I11" s="243">
        <v>1.02</v>
      </c>
      <c r="J11" s="243">
        <v>1.01</v>
      </c>
      <c r="K11" s="243">
        <v>0.72899999999999998</v>
      </c>
      <c r="L11" s="243">
        <v>0.74047799999999997</v>
      </c>
      <c r="M11" s="243">
        <v>0.81499999999999995</v>
      </c>
      <c r="N11" s="243">
        <v>1.07</v>
      </c>
      <c r="O11" s="316">
        <v>31.288343558282236</v>
      </c>
      <c r="P11" s="221" t="s">
        <v>100</v>
      </c>
      <c r="Q11" s="170">
        <v>7.1018590000000001</v>
      </c>
      <c r="R11" s="181">
        <f t="shared" si="0"/>
        <v>150.66477664510094</v>
      </c>
      <c r="V11" s="190"/>
      <c r="W11" s="190"/>
      <c r="X11" s="190"/>
    </row>
    <row r="12" spans="1:24" ht="12.75" customHeight="1">
      <c r="B12" s="221" t="s">
        <v>71</v>
      </c>
      <c r="C12" s="231" t="s">
        <v>142</v>
      </c>
      <c r="D12" s="231" t="s">
        <v>142</v>
      </c>
      <c r="E12" s="231" t="s">
        <v>142</v>
      </c>
      <c r="F12" s="231" t="s">
        <v>142</v>
      </c>
      <c r="G12" s="231" t="s">
        <v>142</v>
      </c>
      <c r="H12" s="231" t="s">
        <v>142</v>
      </c>
      <c r="I12" s="231" t="s">
        <v>142</v>
      </c>
      <c r="J12" s="231" t="s">
        <v>142</v>
      </c>
      <c r="K12" s="231" t="s">
        <v>142</v>
      </c>
      <c r="L12" s="231" t="s">
        <v>142</v>
      </c>
      <c r="M12" s="231" t="s">
        <v>142</v>
      </c>
      <c r="N12" s="231" t="s">
        <v>142</v>
      </c>
      <c r="O12" s="239" t="s">
        <v>142</v>
      </c>
      <c r="P12" s="221" t="s">
        <v>71</v>
      </c>
      <c r="Q12" s="170">
        <v>0.85480199999999995</v>
      </c>
      <c r="R12" s="181">
        <v>0</v>
      </c>
    </row>
    <row r="13" spans="1:24" s="235" customFormat="1" ht="12.75" customHeight="1">
      <c r="A13" s="229"/>
      <c r="B13" s="221" t="s">
        <v>61</v>
      </c>
      <c r="C13" s="876">
        <v>7.7988</v>
      </c>
      <c r="D13" s="876">
        <v>7.7504</v>
      </c>
      <c r="E13" s="876">
        <v>9.1428000000000011</v>
      </c>
      <c r="F13" s="876">
        <v>8.9867000000000008</v>
      </c>
      <c r="G13" s="876">
        <v>8.9969999999999999</v>
      </c>
      <c r="H13" s="876">
        <v>8.7160000000000011</v>
      </c>
      <c r="I13" s="876">
        <v>9.5019999999999989</v>
      </c>
      <c r="J13" s="876">
        <v>9.5809000000000015</v>
      </c>
      <c r="K13" s="876">
        <v>9.5574000000000012</v>
      </c>
      <c r="L13" s="876">
        <v>9.8330000000000002</v>
      </c>
      <c r="M13" s="876">
        <v>10.933999999999999</v>
      </c>
      <c r="N13" s="876">
        <v>10.939779999999999</v>
      </c>
      <c r="O13" s="244">
        <v>5.2862630327425109E-2</v>
      </c>
      <c r="P13" s="874" t="s">
        <v>61</v>
      </c>
      <c r="Q13" s="170">
        <v>10.57882</v>
      </c>
      <c r="R13" s="181">
        <f t="shared" si="0"/>
        <v>1034.121007825069</v>
      </c>
    </row>
    <row r="14" spans="1:24" ht="12.75" customHeight="1">
      <c r="B14" s="221" t="s">
        <v>63</v>
      </c>
      <c r="C14" s="232">
        <v>15.568</v>
      </c>
      <c r="D14" s="232">
        <v>15.92</v>
      </c>
      <c r="E14" s="233">
        <v>15.991</v>
      </c>
      <c r="F14" s="232">
        <v>16.495999999999999</v>
      </c>
      <c r="G14" s="232">
        <v>16.349</v>
      </c>
      <c r="H14" s="232">
        <v>16.600000000000001</v>
      </c>
      <c r="I14" s="232">
        <v>16.600000000000001</v>
      </c>
      <c r="J14" s="232">
        <v>16.7</v>
      </c>
      <c r="K14" s="232">
        <v>16.600000000000001</v>
      </c>
      <c r="L14" s="232">
        <v>16.7</v>
      </c>
      <c r="M14" s="232">
        <v>17</v>
      </c>
      <c r="N14" s="232">
        <v>17.2</v>
      </c>
      <c r="O14" s="239">
        <v>1.1764705882352899</v>
      </c>
      <c r="P14" s="221" t="s">
        <v>63</v>
      </c>
      <c r="Q14" s="180">
        <v>82.521653000000001</v>
      </c>
      <c r="R14" s="181">
        <f t="shared" si="0"/>
        <v>208.43014378298989</v>
      </c>
      <c r="V14" s="235"/>
      <c r="W14" s="235"/>
      <c r="X14" s="235"/>
    </row>
    <row r="15" spans="1:24" ht="12.75" customHeight="1">
      <c r="B15" s="874" t="s">
        <v>14</v>
      </c>
      <c r="C15" s="318">
        <v>0.16400000000000001</v>
      </c>
      <c r="D15" s="318">
        <v>0.17699999999999999</v>
      </c>
      <c r="E15" s="318">
        <v>0.19500000000000001</v>
      </c>
      <c r="F15" s="318">
        <v>0.215</v>
      </c>
      <c r="G15" s="318">
        <v>0.23899999999999999</v>
      </c>
      <c r="H15" s="318">
        <v>0.27800000000000002</v>
      </c>
      <c r="I15" s="318">
        <v>0.27400000000000002</v>
      </c>
      <c r="J15" s="318">
        <v>0.28399999999999997</v>
      </c>
      <c r="K15" s="318">
        <v>0.29499999999999998</v>
      </c>
      <c r="L15" s="318">
        <v>0.30199999999999999</v>
      </c>
      <c r="M15" s="733">
        <v>0.32100000000000001</v>
      </c>
      <c r="N15" s="733">
        <v>0.34100000000000003</v>
      </c>
      <c r="O15" s="319">
        <v>6.2305295950155823</v>
      </c>
      <c r="P15" s="221" t="s">
        <v>14</v>
      </c>
      <c r="Q15" s="170">
        <v>5.7487690000000002</v>
      </c>
      <c r="R15" s="181">
        <f t="shared" si="0"/>
        <v>59.317046832113107</v>
      </c>
    </row>
    <row r="16" spans="1:24" ht="12.75" customHeight="1">
      <c r="B16" s="874" t="s">
        <v>64</v>
      </c>
      <c r="C16" s="232">
        <v>7.8600000000000003E-2</v>
      </c>
      <c r="D16" s="232">
        <v>7.9199999999999993E-2</v>
      </c>
      <c r="E16" s="232">
        <v>0.22281640000000003</v>
      </c>
      <c r="F16" s="232">
        <v>0.2223115</v>
      </c>
      <c r="G16" s="232">
        <v>0.20509920000000001</v>
      </c>
      <c r="H16" s="232">
        <v>0.18969929999999999</v>
      </c>
      <c r="I16" s="232">
        <v>0.25612849999999998</v>
      </c>
      <c r="J16" s="232">
        <v>0.20433999999999999</v>
      </c>
      <c r="K16" s="232">
        <v>0.17654990000000001</v>
      </c>
      <c r="L16" s="232">
        <v>0.168931</v>
      </c>
      <c r="M16" s="232">
        <v>0.1304275</v>
      </c>
      <c r="N16" s="232">
        <v>0.1203009</v>
      </c>
      <c r="O16" s="239">
        <v>-7.7641601656092405</v>
      </c>
      <c r="P16" s="221" t="s">
        <v>64</v>
      </c>
      <c r="Q16" s="180">
        <v>1.3156350000000001</v>
      </c>
      <c r="R16" s="181">
        <f t="shared" si="0"/>
        <v>91.439418987789168</v>
      </c>
    </row>
    <row r="17" spans="1:24" ht="12.75" customHeight="1">
      <c r="B17" s="213" t="s">
        <v>15</v>
      </c>
      <c r="C17" s="226">
        <v>1.55</v>
      </c>
      <c r="D17" s="226">
        <v>1.6</v>
      </c>
      <c r="E17" s="226">
        <v>1.66</v>
      </c>
      <c r="F17" s="226">
        <v>1.671</v>
      </c>
      <c r="G17" s="291">
        <v>1.6927464982806519</v>
      </c>
      <c r="H17" s="226">
        <v>1.6745821660935505</v>
      </c>
      <c r="I17" s="226">
        <v>1.6693892905336882</v>
      </c>
      <c r="J17" s="226">
        <v>1.6640104964628029</v>
      </c>
      <c r="K17" s="226">
        <v>1.662268977961797</v>
      </c>
      <c r="L17" s="226">
        <v>1.6739048608075293</v>
      </c>
      <c r="M17" s="226">
        <v>1.6538180024778391</v>
      </c>
      <c r="N17" s="848">
        <v>1.6885481805298734</v>
      </c>
      <c r="O17" s="227">
        <v>2.0999999999999943</v>
      </c>
      <c r="P17" s="213" t="s">
        <v>15</v>
      </c>
      <c r="Q17" s="170">
        <v>10.768193</v>
      </c>
      <c r="R17" s="181">
        <f t="shared" si="0"/>
        <v>156.8088703954204</v>
      </c>
    </row>
    <row r="18" spans="1:24" ht="12.75" customHeight="1">
      <c r="B18" s="221" t="s">
        <v>66</v>
      </c>
      <c r="C18" s="848">
        <v>6.2</v>
      </c>
      <c r="D18" s="848">
        <v>6.4</v>
      </c>
      <c r="E18" s="848">
        <v>6.5</v>
      </c>
      <c r="F18" s="848">
        <v>6.2725</v>
      </c>
      <c r="G18" s="848">
        <v>7.5889000000000006</v>
      </c>
      <c r="H18" s="848">
        <v>7.6311</v>
      </c>
      <c r="I18" s="848">
        <v>7.3169000000000004</v>
      </c>
      <c r="J18" s="848">
        <v>6.9699000000000018</v>
      </c>
      <c r="K18" s="848">
        <v>7.1527000000000012</v>
      </c>
      <c r="L18" s="848">
        <v>7.2018999999999993</v>
      </c>
      <c r="M18" s="848">
        <v>7.4863000000000008</v>
      </c>
      <c r="N18" s="848">
        <v>7.6415999999999995</v>
      </c>
      <c r="O18" s="227">
        <v>2.0744560063048283</v>
      </c>
      <c r="P18" s="874" t="s">
        <v>66</v>
      </c>
      <c r="Q18" s="170">
        <v>46.528024000000002</v>
      </c>
      <c r="R18" s="181">
        <f t="shared" si="0"/>
        <v>164.23650400455432</v>
      </c>
    </row>
    <row r="19" spans="1:24" ht="12.75" customHeight="1">
      <c r="B19" s="213" t="s">
        <v>87</v>
      </c>
      <c r="C19" s="317">
        <v>0.52400000000000002</v>
      </c>
      <c r="D19" s="317">
        <v>0.52</v>
      </c>
      <c r="E19" s="317">
        <v>0.53200000000000003</v>
      </c>
      <c r="F19" s="317">
        <v>0.53200000000000003</v>
      </c>
      <c r="G19" s="317">
        <v>0.53</v>
      </c>
      <c r="H19" s="317">
        <v>0.51500000000000001</v>
      </c>
      <c r="I19" s="317">
        <v>0.52600000000000002</v>
      </c>
      <c r="J19" s="317">
        <v>0.52500000000000002</v>
      </c>
      <c r="K19" s="317">
        <v>0.51364392678868553</v>
      </c>
      <c r="L19" s="317">
        <v>0.51582778702163057</v>
      </c>
      <c r="M19" s="734">
        <v>0.52718386023294506</v>
      </c>
      <c r="N19" s="734">
        <v>0.55775790349417642</v>
      </c>
      <c r="O19" s="320">
        <v>5.7995028997514595</v>
      </c>
      <c r="P19" s="213" t="s">
        <v>87</v>
      </c>
      <c r="Q19" s="170">
        <v>5.5032969999999999</v>
      </c>
      <c r="R19" s="181">
        <f t="shared" si="0"/>
        <v>101.34977332573118</v>
      </c>
    </row>
    <row r="20" spans="1:24" s="235" customFormat="1" ht="12.75" customHeight="1">
      <c r="A20" s="229"/>
      <c r="B20" s="874" t="s">
        <v>67</v>
      </c>
      <c r="C20" s="243">
        <v>13.869125429128459</v>
      </c>
      <c r="D20" s="243">
        <v>13.942725725198631</v>
      </c>
      <c r="E20" s="243">
        <v>14.823026604643687</v>
      </c>
      <c r="F20" s="243">
        <v>14.656914767774991</v>
      </c>
      <c r="G20" s="242">
        <v>15.032202902910869</v>
      </c>
      <c r="H20" s="242">
        <v>15.301799934284682</v>
      </c>
      <c r="I20" s="242">
        <v>15.595579058566956</v>
      </c>
      <c r="J20" s="242">
        <v>15.748900135343224</v>
      </c>
      <c r="K20" s="242">
        <v>16.142915646960294</v>
      </c>
      <c r="L20" s="242">
        <v>16.154911826561836</v>
      </c>
      <c r="M20" s="242">
        <v>16.338880964772578</v>
      </c>
      <c r="N20" s="242">
        <v>16.68</v>
      </c>
      <c r="O20" s="316">
        <v>2.0877747745570332</v>
      </c>
      <c r="P20" s="221" t="s">
        <v>67</v>
      </c>
      <c r="Q20" s="170">
        <v>66.989082999999994</v>
      </c>
      <c r="R20" s="181">
        <f t="shared" si="0"/>
        <v>248.99579532981517</v>
      </c>
      <c r="V20" s="190"/>
      <c r="W20" s="190"/>
      <c r="X20" s="190"/>
    </row>
    <row r="21" spans="1:24" ht="12.75" customHeight="1">
      <c r="B21" s="221" t="s">
        <v>144</v>
      </c>
      <c r="C21" s="876">
        <v>0.55977300000000008</v>
      </c>
      <c r="D21" s="876">
        <v>0.66095999999999999</v>
      </c>
      <c r="E21" s="876">
        <v>0.62360400000000005</v>
      </c>
      <c r="F21" s="876">
        <v>0.57882</v>
      </c>
      <c r="G21" s="876">
        <v>0.54935699999999998</v>
      </c>
      <c r="H21" s="876">
        <v>0.51953099999999997</v>
      </c>
      <c r="I21" s="876">
        <v>0.52241699999999991</v>
      </c>
      <c r="J21" s="876">
        <v>0.53278800000000004</v>
      </c>
      <c r="K21" s="848">
        <v>0.5756969999999999</v>
      </c>
      <c r="L21" s="848">
        <v>0.597966</v>
      </c>
      <c r="M21" s="848">
        <v>0.608985</v>
      </c>
      <c r="N21" s="848">
        <v>0.60798300000000005</v>
      </c>
      <c r="O21" s="244">
        <v>-0.16453607231704837</v>
      </c>
      <c r="P21" s="874" t="s">
        <v>144</v>
      </c>
      <c r="Q21" s="170">
        <v>4.1542130000000004</v>
      </c>
      <c r="R21" s="181">
        <f t="shared" si="0"/>
        <v>146.35335260854461</v>
      </c>
    </row>
    <row r="22" spans="1:24" s="235" customFormat="1" ht="12.75" customHeight="1">
      <c r="A22" s="229"/>
      <c r="B22" s="221" t="s">
        <v>77</v>
      </c>
      <c r="C22" s="318">
        <v>2.2829999999999999</v>
      </c>
      <c r="D22" s="318">
        <v>2.2800000000000002</v>
      </c>
      <c r="E22" s="318">
        <v>2.335</v>
      </c>
      <c r="F22" s="993">
        <v>2.524</v>
      </c>
      <c r="G22" s="318">
        <v>2.4889999999999999</v>
      </c>
      <c r="H22" s="318">
        <v>2.5039129999999998</v>
      </c>
      <c r="I22" s="318">
        <v>2.4990787000000001</v>
      </c>
      <c r="J22" s="318">
        <v>2.5104894</v>
      </c>
      <c r="K22" s="318">
        <v>2.8194692000000003</v>
      </c>
      <c r="L22" s="318">
        <v>2.9466693999999998</v>
      </c>
      <c r="M22" s="733">
        <v>3.0627040999999999</v>
      </c>
      <c r="N22" s="733">
        <v>3.0456327000000001</v>
      </c>
      <c r="O22" s="319">
        <v>-0.55739632176677389</v>
      </c>
      <c r="P22" s="221" t="s">
        <v>77</v>
      </c>
      <c r="Q22" s="170">
        <v>9.797561</v>
      </c>
      <c r="R22" s="181">
        <f t="shared" si="0"/>
        <v>310.85621207155538</v>
      </c>
      <c r="V22" s="190"/>
      <c r="W22" s="190"/>
      <c r="X22" s="190"/>
    </row>
    <row r="23" spans="1:24" ht="12.75" customHeight="1">
      <c r="B23" s="221" t="s">
        <v>68</v>
      </c>
      <c r="C23" s="876">
        <v>0.11310999999999999</v>
      </c>
      <c r="D23" s="876">
        <v>0.17499999999999999</v>
      </c>
      <c r="E23" s="876">
        <v>0.14100000000000001</v>
      </c>
      <c r="F23" s="876">
        <v>0.13200000000000001</v>
      </c>
      <c r="G23" s="876">
        <v>0.13100000000000001</v>
      </c>
      <c r="H23" s="876">
        <v>0.13800000000000001</v>
      </c>
      <c r="I23" s="876">
        <v>0.14400000000000002</v>
      </c>
      <c r="J23" s="876">
        <v>0.14982472999999999</v>
      </c>
      <c r="K23" s="876">
        <v>0.160072934</v>
      </c>
      <c r="L23" s="876">
        <v>0.179667682</v>
      </c>
      <c r="M23" s="876">
        <v>0.183548355</v>
      </c>
      <c r="N23" s="876">
        <v>0.18489926700000001</v>
      </c>
      <c r="O23" s="244">
        <v>0.73599787914197634</v>
      </c>
      <c r="P23" s="874" t="s">
        <v>68</v>
      </c>
      <c r="Q23" s="180">
        <v>4.7843830000000001</v>
      </c>
      <c r="R23" s="181">
        <f t="shared" si="0"/>
        <v>38.646418357393216</v>
      </c>
    </row>
    <row r="24" spans="1:24" s="235" customFormat="1" ht="12.75" customHeight="1">
      <c r="A24" s="229"/>
      <c r="B24" s="213" t="s">
        <v>69</v>
      </c>
      <c r="C24" s="225">
        <v>6.2789999999999999</v>
      </c>
      <c r="D24" s="225">
        <v>6.7249999999999996</v>
      </c>
      <c r="E24" s="225">
        <v>6.8840000000000003</v>
      </c>
      <c r="F24" s="225">
        <v>6.9480000000000004</v>
      </c>
      <c r="G24" s="225">
        <v>7.0830000000000002</v>
      </c>
      <c r="H24" s="225">
        <v>7.0950000000000006</v>
      </c>
      <c r="I24" s="225">
        <v>6.5380000000000003</v>
      </c>
      <c r="J24" s="225">
        <v>6.5839999999999996</v>
      </c>
      <c r="K24" s="225">
        <v>6.6539999999999999</v>
      </c>
      <c r="L24" s="225">
        <v>6.8319999999999999</v>
      </c>
      <c r="M24" s="225">
        <v>6.673</v>
      </c>
      <c r="N24" s="876">
        <v>6.7520000000000007</v>
      </c>
      <c r="O24" s="244">
        <v>1.1838753184474768</v>
      </c>
      <c r="P24" s="213" t="s">
        <v>69</v>
      </c>
      <c r="Q24" s="170">
        <v>60.589444999999998</v>
      </c>
      <c r="R24" s="181">
        <f t="shared" si="0"/>
        <v>111.43855171474175</v>
      </c>
    </row>
    <row r="25" spans="1:24" ht="12.75" customHeight="1">
      <c r="B25" s="221" t="s">
        <v>73</v>
      </c>
      <c r="C25" s="242" t="s">
        <v>142</v>
      </c>
      <c r="D25" s="242" t="s">
        <v>142</v>
      </c>
      <c r="E25" s="242" t="s">
        <v>142</v>
      </c>
      <c r="F25" s="242" t="s">
        <v>142</v>
      </c>
      <c r="G25" s="242" t="s">
        <v>142</v>
      </c>
      <c r="H25" s="242" t="s">
        <v>142</v>
      </c>
      <c r="I25" s="242" t="s">
        <v>142</v>
      </c>
      <c r="J25" s="242" t="s">
        <v>142</v>
      </c>
      <c r="K25" s="242" t="s">
        <v>142</v>
      </c>
      <c r="L25" s="242" t="s">
        <v>142</v>
      </c>
      <c r="M25" s="242" t="s">
        <v>142</v>
      </c>
      <c r="N25" s="242" t="s">
        <v>142</v>
      </c>
      <c r="O25" s="224" t="s">
        <v>142</v>
      </c>
      <c r="P25" s="221" t="s">
        <v>73</v>
      </c>
      <c r="Q25" s="180">
        <v>2.8479040000000002</v>
      </c>
      <c r="R25" s="181">
        <v>0</v>
      </c>
    </row>
    <row r="26" spans="1:24" s="235" customFormat="1" ht="12.75" customHeight="1">
      <c r="A26" s="229"/>
      <c r="B26" s="213" t="s">
        <v>76</v>
      </c>
      <c r="C26" s="876" t="s">
        <v>142</v>
      </c>
      <c r="D26" s="876" t="s">
        <v>142</v>
      </c>
      <c r="E26" s="876" t="s">
        <v>142</v>
      </c>
      <c r="F26" s="876" t="s">
        <v>142</v>
      </c>
      <c r="G26" s="876" t="s">
        <v>142</v>
      </c>
      <c r="H26" s="876" t="s">
        <v>142</v>
      </c>
      <c r="I26" s="876" t="s">
        <v>142</v>
      </c>
      <c r="J26" s="876" t="s">
        <v>142</v>
      </c>
      <c r="K26" s="876" t="s">
        <v>142</v>
      </c>
      <c r="L26" s="876" t="s">
        <v>142</v>
      </c>
      <c r="M26" s="876" t="s">
        <v>142</v>
      </c>
      <c r="N26" s="876">
        <v>0</v>
      </c>
      <c r="O26" s="244" t="s">
        <v>142</v>
      </c>
      <c r="P26" s="213" t="s">
        <v>76</v>
      </c>
      <c r="Q26" s="170">
        <v>0.59066700000000005</v>
      </c>
      <c r="R26" s="181">
        <f t="shared" si="0"/>
        <v>0</v>
      </c>
    </row>
    <row r="27" spans="1:24" ht="12.75" customHeight="1">
      <c r="B27" s="874" t="s">
        <v>72</v>
      </c>
      <c r="C27" s="230">
        <v>0.27929999999999999</v>
      </c>
      <c r="D27" s="230">
        <v>0.27960000000000002</v>
      </c>
      <c r="E27" s="230">
        <v>0.25829999999999997</v>
      </c>
      <c r="F27" s="230">
        <v>0.17100000000000001</v>
      </c>
      <c r="G27" s="248">
        <v>0.123</v>
      </c>
      <c r="H27" s="230">
        <v>0.12479999999999999</v>
      </c>
      <c r="I27" s="230">
        <v>0.121752</v>
      </c>
      <c r="J27" s="230">
        <v>0.13276199999999999</v>
      </c>
      <c r="K27" s="230">
        <v>0.13497000000000001</v>
      </c>
      <c r="L27" s="249">
        <v>0.13097700000000001</v>
      </c>
      <c r="M27" s="249">
        <v>0.123525</v>
      </c>
      <c r="N27" s="249">
        <v>0.12785099999999999</v>
      </c>
      <c r="O27" s="239">
        <v>3.5021250758955631</v>
      </c>
      <c r="P27" s="221" t="s">
        <v>72</v>
      </c>
      <c r="Q27" s="180">
        <v>1.950116</v>
      </c>
      <c r="R27" s="181">
        <f t="shared" si="0"/>
        <v>65.560715362573291</v>
      </c>
      <c r="V27" s="235"/>
      <c r="W27" s="235"/>
      <c r="X27" s="235"/>
    </row>
    <row r="28" spans="1:24" s="235" customFormat="1" ht="12.75" customHeight="1">
      <c r="A28" s="229"/>
      <c r="B28" s="213" t="s">
        <v>78</v>
      </c>
      <c r="C28" s="317" t="s">
        <v>142</v>
      </c>
      <c r="D28" s="317" t="s">
        <v>142</v>
      </c>
      <c r="E28" s="317" t="s">
        <v>142</v>
      </c>
      <c r="F28" s="317" t="s">
        <v>142</v>
      </c>
      <c r="G28" s="317" t="s">
        <v>142</v>
      </c>
      <c r="H28" s="317" t="s">
        <v>142</v>
      </c>
      <c r="I28" s="317" t="s">
        <v>142</v>
      </c>
      <c r="J28" s="317" t="s">
        <v>142</v>
      </c>
      <c r="K28" s="317" t="s">
        <v>142</v>
      </c>
      <c r="L28" s="317" t="s">
        <v>142</v>
      </c>
      <c r="M28" s="734" t="s">
        <v>142</v>
      </c>
      <c r="N28" s="734" t="s">
        <v>142</v>
      </c>
      <c r="O28" s="320" t="s">
        <v>142</v>
      </c>
      <c r="P28" s="213" t="s">
        <v>78</v>
      </c>
      <c r="Q28" s="170">
        <v>0.46029700000000001</v>
      </c>
      <c r="R28" s="181">
        <v>0</v>
      </c>
    </row>
    <row r="29" spans="1:24" ht="12.75" customHeight="1">
      <c r="B29" s="221" t="s">
        <v>16</v>
      </c>
      <c r="C29" s="848">
        <v>0.77799993045455174</v>
      </c>
      <c r="D29" s="848">
        <v>0.79498608407233573</v>
      </c>
      <c r="E29" s="848">
        <v>0.82532326498806596</v>
      </c>
      <c r="F29" s="848">
        <v>0.8248953383354507</v>
      </c>
      <c r="G29" s="848">
        <v>0.85392506122981326</v>
      </c>
      <c r="H29" s="848">
        <v>0.88990345909689639</v>
      </c>
      <c r="I29" s="848">
        <v>0.81613047027735097</v>
      </c>
      <c r="J29" s="848">
        <v>0.85355956538376276</v>
      </c>
      <c r="K29" s="848">
        <v>0.85324253790568616</v>
      </c>
      <c r="L29" s="848">
        <v>0.91644568886166289</v>
      </c>
      <c r="M29" s="848">
        <v>0.92542674380315026</v>
      </c>
      <c r="N29" s="848">
        <v>0.88160200214086182</v>
      </c>
      <c r="O29" s="227">
        <v>-4.7356251540976046</v>
      </c>
      <c r="P29" s="874" t="s">
        <v>16</v>
      </c>
      <c r="Q29" s="180">
        <v>17.081506999999998</v>
      </c>
      <c r="R29" s="181">
        <f t="shared" si="0"/>
        <v>51.611488502792049</v>
      </c>
    </row>
    <row r="30" spans="1:24" s="235" customFormat="1" ht="12.75" customHeight="1">
      <c r="A30" s="229"/>
      <c r="B30" s="221" t="s">
        <v>80</v>
      </c>
      <c r="C30" s="231">
        <v>4.45</v>
      </c>
      <c r="D30" s="231">
        <v>4.5999999999999996</v>
      </c>
      <c r="E30" s="231">
        <v>4.5999999999999996</v>
      </c>
      <c r="F30" s="231">
        <v>4.32</v>
      </c>
      <c r="G30" s="231">
        <v>4.34</v>
      </c>
      <c r="H30" s="231">
        <v>4.4037127814014561</v>
      </c>
      <c r="I30" s="231">
        <v>4.3922452068246658</v>
      </c>
      <c r="J30" s="231">
        <v>4.1001609005708248</v>
      </c>
      <c r="K30" s="231">
        <v>4.2371989510237542</v>
      </c>
      <c r="L30" s="231">
        <v>4.2203986131076503</v>
      </c>
      <c r="M30" s="231">
        <v>4.3373421417393576</v>
      </c>
      <c r="N30" s="231">
        <v>4.3114278950190927</v>
      </c>
      <c r="O30" s="241">
        <v>-0.59746835443036161</v>
      </c>
      <c r="P30" s="221" t="s">
        <v>80</v>
      </c>
      <c r="Q30" s="170">
        <v>37.972963999999997</v>
      </c>
      <c r="R30" s="181">
        <f t="shared" si="0"/>
        <v>113.53940911800019</v>
      </c>
      <c r="V30" s="190"/>
      <c r="W30" s="190"/>
      <c r="X30" s="190"/>
    </row>
    <row r="31" spans="1:24" ht="12.75" customHeight="1">
      <c r="B31" s="874" t="s">
        <v>92</v>
      </c>
      <c r="C31" s="231">
        <v>0.98780000000000001</v>
      </c>
      <c r="D31" s="231">
        <v>1.04989</v>
      </c>
      <c r="E31" s="231">
        <v>1.0947610000000001</v>
      </c>
      <c r="F31" s="231">
        <v>1.090184</v>
      </c>
      <c r="G31" s="231">
        <v>1.1332329999999999</v>
      </c>
      <c r="H31" s="231">
        <v>1.1479999999999999</v>
      </c>
      <c r="I31" s="231">
        <v>1.0280689999999999</v>
      </c>
      <c r="J31" s="231">
        <v>0.94129599999999991</v>
      </c>
      <c r="K31" s="231">
        <v>0.966561</v>
      </c>
      <c r="L31" s="231">
        <v>1.0086520000000001</v>
      </c>
      <c r="M31" s="231">
        <v>1.061299</v>
      </c>
      <c r="N31" s="231">
        <v>1.1210770000000001</v>
      </c>
      <c r="O31" s="241">
        <v>5.6325314543780962</v>
      </c>
      <c r="P31" s="221" t="s">
        <v>92</v>
      </c>
      <c r="Q31" s="180">
        <v>10.309573</v>
      </c>
      <c r="R31" s="181">
        <f t="shared" si="0"/>
        <v>108.74136106315946</v>
      </c>
      <c r="V31" s="235"/>
      <c r="W31" s="235"/>
      <c r="X31" s="235"/>
    </row>
    <row r="32" spans="1:24" ht="12.75" customHeight="1">
      <c r="B32" s="221" t="s">
        <v>101</v>
      </c>
      <c r="C32" s="876">
        <v>6.8</v>
      </c>
      <c r="D32" s="876">
        <v>6.9</v>
      </c>
      <c r="E32" s="876">
        <v>7</v>
      </c>
      <c r="F32" s="876">
        <v>7.0469999999999997</v>
      </c>
      <c r="G32" s="876">
        <v>7.1387100977760349</v>
      </c>
      <c r="H32" s="876">
        <v>7.0619033659253452</v>
      </c>
      <c r="I32" s="876">
        <v>7.548372713565322</v>
      </c>
      <c r="J32" s="876">
        <v>7.7517181005566318</v>
      </c>
      <c r="K32" s="876">
        <v>8</v>
      </c>
      <c r="L32" s="876">
        <v>7.6239999999999997</v>
      </c>
      <c r="M32" s="876">
        <v>8.1805519999999987</v>
      </c>
      <c r="N32" s="876">
        <v>7.9351354399999989</v>
      </c>
      <c r="O32" s="244">
        <v>-3</v>
      </c>
      <c r="P32" s="874" t="s">
        <v>101</v>
      </c>
      <c r="Q32" s="170">
        <v>19.644349999999999</v>
      </c>
      <c r="R32" s="181">
        <f t="shared" si="0"/>
        <v>403.93983206367221</v>
      </c>
    </row>
    <row r="33" spans="1:18" ht="12.75" customHeight="1">
      <c r="B33" s="221" t="s">
        <v>88</v>
      </c>
      <c r="C33" s="231">
        <v>2.1390000000000002</v>
      </c>
      <c r="D33" s="231">
        <v>2.2039999999999997</v>
      </c>
      <c r="E33" s="231">
        <v>2.2389999999999999</v>
      </c>
      <c r="F33" s="231">
        <v>2.2389999999999999</v>
      </c>
      <c r="G33" s="231">
        <v>2.2800000000000002</v>
      </c>
      <c r="H33" s="231">
        <v>2.34</v>
      </c>
      <c r="I33" s="231">
        <v>2.3730000000000002</v>
      </c>
      <c r="J33" s="231">
        <v>2.4489999999999998</v>
      </c>
      <c r="K33" s="231">
        <v>2.4430000000000001</v>
      </c>
      <c r="L33" s="231">
        <v>2.4998</v>
      </c>
      <c r="M33" s="231">
        <v>2.6080000000000001</v>
      </c>
      <c r="N33" s="231">
        <v>2.6470000000000002</v>
      </c>
      <c r="O33" s="241">
        <v>1.4953987730061442</v>
      </c>
      <c r="P33" s="221" t="s">
        <v>88</v>
      </c>
      <c r="Q33" s="180">
        <v>9.9951530000000002</v>
      </c>
      <c r="R33" s="181">
        <f t="shared" si="0"/>
        <v>264.82836230721028</v>
      </c>
    </row>
    <row r="34" spans="1:18" ht="12.75" customHeight="1">
      <c r="B34" s="874" t="s">
        <v>83</v>
      </c>
      <c r="C34" s="231" t="s">
        <v>142</v>
      </c>
      <c r="D34" s="231" t="s">
        <v>142</v>
      </c>
      <c r="E34" s="231" t="s">
        <v>142</v>
      </c>
      <c r="F34" s="231" t="s">
        <v>142</v>
      </c>
      <c r="G34" s="231" t="s">
        <v>142</v>
      </c>
      <c r="H34" s="231" t="s">
        <v>142</v>
      </c>
      <c r="I34" s="231" t="s">
        <v>142</v>
      </c>
      <c r="J34" s="231" t="s">
        <v>142</v>
      </c>
      <c r="K34" s="231" t="s">
        <v>142</v>
      </c>
      <c r="L34" s="289" t="s">
        <v>142</v>
      </c>
      <c r="M34" s="231" t="s">
        <v>142</v>
      </c>
      <c r="N34" s="231" t="s">
        <v>142</v>
      </c>
      <c r="O34" s="241" t="s">
        <v>142</v>
      </c>
      <c r="P34" s="221" t="s">
        <v>83</v>
      </c>
      <c r="Q34" s="170">
        <v>2.0658949999999998</v>
      </c>
      <c r="R34" s="181">
        <v>0</v>
      </c>
    </row>
    <row r="35" spans="1:18" ht="12.75" customHeight="1">
      <c r="B35" s="221" t="s">
        <v>85</v>
      </c>
      <c r="C35" s="230">
        <v>0.38442599999999999</v>
      </c>
      <c r="D35" s="230">
        <v>0.39493800000000001</v>
      </c>
      <c r="E35" s="230">
        <v>0.36728440000000001</v>
      </c>
      <c r="F35" s="230">
        <v>0.29252590000000001</v>
      </c>
      <c r="G35" s="230">
        <v>0.2834431</v>
      </c>
      <c r="H35" s="230">
        <v>0.30680141999999999</v>
      </c>
      <c r="I35" s="230">
        <v>0.28944884000000004</v>
      </c>
      <c r="J35" s="230">
        <v>0.27540710000000002</v>
      </c>
      <c r="K35" s="230">
        <v>0.25687895999999999</v>
      </c>
      <c r="L35" s="230">
        <v>0.25080015</v>
      </c>
      <c r="M35" s="230">
        <v>0.30123875999999999</v>
      </c>
      <c r="N35" s="230">
        <v>0.28485303000000001</v>
      </c>
      <c r="O35" s="239">
        <v>-5.4394494254324997</v>
      </c>
      <c r="P35" s="221" t="s">
        <v>85</v>
      </c>
      <c r="Q35" s="170">
        <v>5.4353429999999996</v>
      </c>
      <c r="R35" s="181">
        <f t="shared" si="0"/>
        <v>52.407553672325747</v>
      </c>
    </row>
    <row r="36" spans="1:18" ht="12.75" customHeight="1">
      <c r="B36" s="213" t="s">
        <v>13</v>
      </c>
      <c r="C36" s="225">
        <v>9.1240000000000006</v>
      </c>
      <c r="D36" s="225">
        <v>9.4763999999999999</v>
      </c>
      <c r="E36" s="225">
        <v>9.8970000000000002</v>
      </c>
      <c r="F36" s="225">
        <v>9.7280000000000015</v>
      </c>
      <c r="G36" s="225">
        <v>10.185</v>
      </c>
      <c r="H36" s="225">
        <v>10.887744566</v>
      </c>
      <c r="I36" s="225">
        <v>11.558659800000001</v>
      </c>
      <c r="J36" s="322">
        <v>11.947100000000001</v>
      </c>
      <c r="K36" s="322">
        <v>12.502099999999999</v>
      </c>
      <c r="L36" s="322">
        <v>13.2267808832</v>
      </c>
      <c r="M36" s="322">
        <v>13.688930092800002</v>
      </c>
      <c r="N36" s="322">
        <v>14.449882079999998</v>
      </c>
      <c r="O36" s="244">
        <v>5.5588857715055155</v>
      </c>
      <c r="P36" s="213" t="s">
        <v>13</v>
      </c>
      <c r="Q36" s="170">
        <v>65.808572999999996</v>
      </c>
      <c r="R36" s="181">
        <f t="shared" si="0"/>
        <v>219.57446304146421</v>
      </c>
    </row>
    <row r="37" spans="1:18" ht="12.75" customHeight="1">
      <c r="B37" s="251" t="s">
        <v>270</v>
      </c>
      <c r="C37" s="323" t="s">
        <v>142</v>
      </c>
      <c r="D37" s="323" t="s">
        <v>142</v>
      </c>
      <c r="E37" s="323" t="s">
        <v>142</v>
      </c>
      <c r="F37" s="323" t="s">
        <v>142</v>
      </c>
      <c r="G37" s="323" t="s">
        <v>142</v>
      </c>
      <c r="H37" s="323" t="s">
        <v>142</v>
      </c>
      <c r="I37" s="323" t="s">
        <v>142</v>
      </c>
      <c r="J37" s="323" t="s">
        <v>142</v>
      </c>
      <c r="K37" s="323" t="s">
        <v>142</v>
      </c>
      <c r="L37" s="323" t="s">
        <v>142</v>
      </c>
      <c r="M37" s="323" t="s">
        <v>142</v>
      </c>
      <c r="N37" s="323" t="s">
        <v>142</v>
      </c>
      <c r="O37" s="324" t="s">
        <v>142</v>
      </c>
      <c r="P37" s="251" t="s">
        <v>270</v>
      </c>
    </row>
    <row r="38" spans="1:18" ht="12.75" customHeight="1">
      <c r="B38" s="213" t="s">
        <v>223</v>
      </c>
      <c r="C38" s="325" t="s">
        <v>142</v>
      </c>
      <c r="D38" s="325" t="s">
        <v>142</v>
      </c>
      <c r="E38" s="325" t="s">
        <v>142</v>
      </c>
      <c r="F38" s="325" t="s">
        <v>142</v>
      </c>
      <c r="G38" s="325" t="s">
        <v>142</v>
      </c>
      <c r="H38" s="325" t="s">
        <v>142</v>
      </c>
      <c r="I38" s="325" t="s">
        <v>142</v>
      </c>
      <c r="J38" s="325" t="s">
        <v>142</v>
      </c>
      <c r="K38" s="325" t="s">
        <v>142</v>
      </c>
      <c r="L38" s="325" t="s">
        <v>142</v>
      </c>
      <c r="M38" s="325" t="s">
        <v>142</v>
      </c>
      <c r="N38" s="325" t="s">
        <v>142</v>
      </c>
      <c r="O38" s="321" t="s">
        <v>142</v>
      </c>
      <c r="P38" s="213" t="s">
        <v>223</v>
      </c>
      <c r="R38" s="746">
        <f>R6</f>
        <v>210.0275078678186</v>
      </c>
    </row>
    <row r="39" spans="1:18" s="235" customFormat="1" ht="12.75" customHeight="1">
      <c r="A39" s="229"/>
      <c r="B39" s="221" t="s">
        <v>145</v>
      </c>
      <c r="C39" s="318" t="s">
        <v>142</v>
      </c>
      <c r="D39" s="318" t="s">
        <v>142</v>
      </c>
      <c r="E39" s="318" t="s">
        <v>142</v>
      </c>
      <c r="F39" s="318" t="s">
        <v>142</v>
      </c>
      <c r="G39" s="318" t="s">
        <v>142</v>
      </c>
      <c r="H39" s="318" t="s">
        <v>142</v>
      </c>
      <c r="I39" s="318" t="s">
        <v>142</v>
      </c>
      <c r="J39" s="318" t="s">
        <v>142</v>
      </c>
      <c r="K39" s="318" t="s">
        <v>142</v>
      </c>
      <c r="L39" s="318" t="s">
        <v>142</v>
      </c>
      <c r="M39" s="318" t="s">
        <v>142</v>
      </c>
      <c r="N39" s="318" t="s">
        <v>142</v>
      </c>
      <c r="O39" s="319" t="s">
        <v>142</v>
      </c>
      <c r="P39" s="221" t="s">
        <v>145</v>
      </c>
      <c r="R39" s="746">
        <f>R7</f>
        <v>193.27893244802848</v>
      </c>
    </row>
    <row r="40" spans="1:18" s="235" customFormat="1" ht="12.75" customHeight="1">
      <c r="A40" s="229"/>
      <c r="B40" s="213" t="s">
        <v>224</v>
      </c>
      <c r="C40" s="317"/>
      <c r="D40" s="317"/>
      <c r="E40" s="325"/>
      <c r="F40" s="325"/>
      <c r="G40" s="226">
        <v>0.43019567558770144</v>
      </c>
      <c r="H40" s="226">
        <v>0.43539520546182431</v>
      </c>
      <c r="I40" s="226">
        <v>0.45043191350042133</v>
      </c>
      <c r="J40" s="226">
        <v>0.46382932349263195</v>
      </c>
      <c r="K40" s="226">
        <v>0.46490978492133023</v>
      </c>
      <c r="L40" s="226">
        <v>0.42586941274663298</v>
      </c>
      <c r="M40" s="226">
        <v>0.48753510761497898</v>
      </c>
      <c r="N40" s="848">
        <v>0.63100000000000001</v>
      </c>
      <c r="O40" s="227">
        <v>29.426576700671063</v>
      </c>
      <c r="P40" s="213" t="s">
        <v>224</v>
      </c>
    </row>
    <row r="41" spans="1:18" ht="12.75" customHeight="1">
      <c r="B41" s="256" t="s">
        <v>146</v>
      </c>
      <c r="C41" s="230"/>
      <c r="D41" s="230"/>
      <c r="E41" s="230"/>
      <c r="F41" s="230"/>
      <c r="G41" s="230"/>
      <c r="H41" s="230"/>
      <c r="I41" s="230"/>
      <c r="J41" s="230"/>
      <c r="K41" s="230"/>
      <c r="L41" s="230"/>
      <c r="M41" s="230"/>
      <c r="N41" s="230"/>
      <c r="O41" s="326"/>
      <c r="P41" s="256" t="s">
        <v>146</v>
      </c>
    </row>
    <row r="42" spans="1:18" s="235" customFormat="1" ht="12.75" customHeight="1">
      <c r="A42" s="229"/>
      <c r="B42" s="213" t="s">
        <v>147</v>
      </c>
      <c r="C42" s="327" t="s">
        <v>142</v>
      </c>
      <c r="D42" s="327" t="s">
        <v>142</v>
      </c>
      <c r="E42" s="327" t="s">
        <v>142</v>
      </c>
      <c r="F42" s="327" t="s">
        <v>142</v>
      </c>
      <c r="G42" s="327" t="s">
        <v>142</v>
      </c>
      <c r="H42" s="327" t="s">
        <v>142</v>
      </c>
      <c r="I42" s="327" t="s">
        <v>142</v>
      </c>
      <c r="J42" s="327" t="s">
        <v>142</v>
      </c>
      <c r="K42" s="327" t="s">
        <v>142</v>
      </c>
      <c r="L42" s="327" t="s">
        <v>142</v>
      </c>
      <c r="M42" s="327" t="s">
        <v>142</v>
      </c>
      <c r="N42" s="327" t="s">
        <v>142</v>
      </c>
      <c r="O42" s="328" t="s">
        <v>142</v>
      </c>
      <c r="P42" s="213" t="s">
        <v>147</v>
      </c>
    </row>
    <row r="43" spans="1:18" ht="12.75" customHeight="1">
      <c r="B43" s="221" t="s">
        <v>148</v>
      </c>
      <c r="C43" s="230">
        <v>0.50800000000000001</v>
      </c>
      <c r="D43" s="230">
        <v>0.53500000000000003</v>
      </c>
      <c r="E43" s="230">
        <v>0.57199999999999995</v>
      </c>
      <c r="F43" s="230">
        <v>0.58799999999999997</v>
      </c>
      <c r="G43" s="230">
        <v>0.62</v>
      </c>
      <c r="H43" s="230">
        <v>0.63100000000000001</v>
      </c>
      <c r="I43" s="230">
        <v>0.66038399999999997</v>
      </c>
      <c r="J43" s="230">
        <v>0.72891899999999998</v>
      </c>
      <c r="K43" s="230">
        <v>0.752</v>
      </c>
      <c r="L43" s="249">
        <v>0.80900000000000005</v>
      </c>
      <c r="M43" s="230">
        <v>0.88300000000000001</v>
      </c>
      <c r="N43" s="230">
        <v>0.95799999999999996</v>
      </c>
      <c r="O43" s="223">
        <v>8.4937712344280669</v>
      </c>
      <c r="P43" s="221" t="s">
        <v>148</v>
      </c>
    </row>
    <row r="44" spans="1:18" s="235" customFormat="1" ht="12.75" customHeight="1">
      <c r="A44" s="229"/>
      <c r="B44" s="217" t="s">
        <v>149</v>
      </c>
      <c r="C44" s="250">
        <v>0.78639999999999999</v>
      </c>
      <c r="D44" s="250">
        <v>0.8226</v>
      </c>
      <c r="E44" s="250">
        <v>0.90310000000000001</v>
      </c>
      <c r="F44" s="250">
        <v>0.93459999999999999</v>
      </c>
      <c r="G44" s="250">
        <v>0.97819999999999996</v>
      </c>
      <c r="H44" s="250">
        <v>1.0706</v>
      </c>
      <c r="I44" s="250">
        <v>1.1303000000000001</v>
      </c>
      <c r="J44" s="250">
        <v>1.1200000000000001</v>
      </c>
      <c r="K44" s="250">
        <v>1.1303000000000001</v>
      </c>
      <c r="L44" s="250">
        <v>1.1533</v>
      </c>
      <c r="M44" s="250">
        <v>1.1751</v>
      </c>
      <c r="N44" s="877">
        <v>1.177</v>
      </c>
      <c r="O44" s="264">
        <v>0.16168836694750155</v>
      </c>
      <c r="P44" s="217" t="s">
        <v>149</v>
      </c>
    </row>
    <row r="45" spans="1:18" ht="31.5" customHeight="1">
      <c r="B45" s="1148" t="s">
        <v>175</v>
      </c>
      <c r="C45" s="1148"/>
      <c r="D45" s="1148"/>
      <c r="E45" s="1148"/>
      <c r="F45" s="1148"/>
      <c r="G45" s="1148"/>
      <c r="H45" s="1148"/>
      <c r="I45" s="1148"/>
      <c r="J45" s="1148"/>
      <c r="K45" s="1148"/>
      <c r="L45" s="1148"/>
      <c r="M45" s="1148"/>
      <c r="N45" s="1148"/>
      <c r="O45" s="1148"/>
      <c r="P45" s="1148"/>
    </row>
    <row r="46" spans="1:18" ht="12.75" customHeight="1">
      <c r="B46" s="303" t="s">
        <v>176</v>
      </c>
      <c r="C46" s="329"/>
      <c r="D46" s="329"/>
      <c r="E46" s="329"/>
      <c r="F46" s="329"/>
      <c r="G46" s="329"/>
      <c r="H46" s="329"/>
      <c r="I46" s="329"/>
      <c r="J46" s="329"/>
      <c r="K46" s="329"/>
      <c r="L46" s="329"/>
      <c r="M46" s="329"/>
      <c r="N46" s="329"/>
      <c r="O46" s="304"/>
      <c r="P46" s="329"/>
    </row>
    <row r="47" spans="1:18" ht="12.75" customHeight="1">
      <c r="B47" s="194" t="s">
        <v>306</v>
      </c>
      <c r="C47" s="330"/>
      <c r="D47" s="330"/>
      <c r="E47" s="330"/>
      <c r="F47" s="330"/>
      <c r="G47" s="330"/>
      <c r="H47" s="330"/>
      <c r="I47" s="330"/>
      <c r="J47" s="330"/>
      <c r="K47" s="330"/>
      <c r="L47" s="330"/>
      <c r="M47" s="330"/>
      <c r="N47" s="330"/>
      <c r="O47" s="330"/>
    </row>
    <row r="48" spans="1:18" ht="12.75" customHeight="1">
      <c r="B48" s="331" t="s">
        <v>288</v>
      </c>
      <c r="C48" s="332"/>
      <c r="D48" s="332"/>
      <c r="E48" s="332"/>
      <c r="F48" s="332"/>
      <c r="G48" s="332"/>
      <c r="H48" s="332"/>
      <c r="I48" s="332"/>
      <c r="J48" s="332"/>
      <c r="K48" s="332"/>
      <c r="L48" s="332"/>
      <c r="M48" s="332"/>
      <c r="N48" s="332"/>
      <c r="O48" s="332"/>
      <c r="P48" s="332"/>
    </row>
    <row r="49" spans="2:15" s="190" customFormat="1" ht="12.75" customHeight="1">
      <c r="B49" s="331" t="s">
        <v>289</v>
      </c>
      <c r="C49" s="334"/>
      <c r="D49" s="334"/>
      <c r="E49" s="334"/>
      <c r="F49" s="334"/>
      <c r="G49" s="334"/>
      <c r="H49" s="334"/>
      <c r="I49" s="335"/>
      <c r="J49" s="334"/>
      <c r="K49" s="334"/>
      <c r="L49" s="334"/>
      <c r="M49" s="334"/>
      <c r="N49" s="334"/>
      <c r="O49" s="334"/>
    </row>
    <row r="50" spans="2:15" s="190" customFormat="1" ht="12.75" customHeight="1">
      <c r="B50" s="194" t="s">
        <v>290</v>
      </c>
      <c r="D50" s="334"/>
      <c r="E50" s="334"/>
      <c r="F50" s="334"/>
      <c r="G50" s="334"/>
      <c r="H50" s="334"/>
      <c r="I50" s="335"/>
      <c r="J50" s="334"/>
      <c r="K50" s="334"/>
      <c r="L50" s="334"/>
      <c r="M50" s="334"/>
      <c r="N50" s="334"/>
      <c r="O50" s="334"/>
    </row>
    <row r="51" spans="2:15" s="190" customFormat="1">
      <c r="B51" s="270" t="s">
        <v>291</v>
      </c>
      <c r="D51" s="334"/>
      <c r="E51" s="334"/>
      <c r="F51" s="334"/>
      <c r="G51" s="334"/>
      <c r="H51" s="334"/>
      <c r="I51" s="335"/>
      <c r="J51" s="334"/>
      <c r="K51" s="334"/>
      <c r="L51" s="334"/>
      <c r="M51" s="334"/>
      <c r="N51" s="334"/>
      <c r="O51" s="334"/>
    </row>
    <row r="52" spans="2:15" s="190" customFormat="1">
      <c r="B52" s="270" t="s">
        <v>307</v>
      </c>
      <c r="D52" s="334"/>
      <c r="E52" s="334"/>
      <c r="F52" s="334"/>
      <c r="G52" s="334"/>
      <c r="H52" s="334"/>
    </row>
    <row r="53" spans="2:15" s="190" customFormat="1">
      <c r="D53" s="334"/>
      <c r="E53" s="334"/>
      <c r="F53" s="334"/>
      <c r="G53" s="334"/>
      <c r="H53" s="334"/>
    </row>
    <row r="54" spans="2:15" s="190" customFormat="1" ht="12.75" customHeight="1">
      <c r="D54" s="334"/>
      <c r="E54" s="334"/>
      <c r="F54" s="334"/>
      <c r="G54" s="334"/>
      <c r="H54" s="334"/>
    </row>
    <row r="55" spans="2:15" s="190" customFormat="1">
      <c r="D55" s="334"/>
      <c r="E55" s="334"/>
      <c r="F55" s="334"/>
      <c r="G55" s="334"/>
      <c r="H55" s="334"/>
    </row>
    <row r="56" spans="2:15" s="190" customFormat="1">
      <c r="D56" s="334"/>
      <c r="E56" s="334"/>
      <c r="F56" s="334"/>
      <c r="G56" s="334"/>
      <c r="H56" s="334"/>
    </row>
    <row r="57" spans="2:15" s="190" customFormat="1"/>
    <row r="58" spans="2:15" s="190" customFormat="1">
      <c r="C58" s="336"/>
      <c r="D58" s="336"/>
      <c r="E58" s="336"/>
      <c r="F58" s="336"/>
      <c r="G58" s="336"/>
      <c r="H58" s="336"/>
    </row>
    <row r="59" spans="2:15" s="190" customFormat="1">
      <c r="C59" s="336"/>
      <c r="D59" s="336"/>
      <c r="E59" s="336"/>
      <c r="F59" s="336"/>
      <c r="G59" s="336"/>
      <c r="H59" s="336"/>
    </row>
    <row r="60" spans="2:15" s="190" customFormat="1">
      <c r="C60" s="336"/>
      <c r="D60" s="336"/>
      <c r="E60" s="336"/>
      <c r="F60" s="336"/>
      <c r="G60" s="336"/>
      <c r="H60" s="336"/>
    </row>
    <row r="61" spans="2:15" s="190" customFormat="1">
      <c r="C61" s="336"/>
      <c r="D61" s="336"/>
      <c r="E61" s="336"/>
      <c r="F61" s="336"/>
      <c r="G61" s="336"/>
      <c r="H61" s="336"/>
    </row>
    <row r="62" spans="2:15" s="190" customFormat="1">
      <c r="C62" s="336"/>
      <c r="D62" s="336"/>
      <c r="E62" s="336"/>
      <c r="F62" s="336"/>
      <c r="G62" s="336"/>
      <c r="H62" s="336"/>
    </row>
    <row r="63" spans="2:15" s="190" customFormat="1">
      <c r="C63" s="336"/>
      <c r="D63" s="336"/>
      <c r="E63" s="336"/>
      <c r="F63" s="336"/>
      <c r="G63" s="336"/>
      <c r="H63" s="336"/>
    </row>
    <row r="64" spans="2:15" s="190" customFormat="1">
      <c r="C64" s="336"/>
      <c r="D64" s="336"/>
      <c r="E64" s="336"/>
      <c r="F64" s="336"/>
      <c r="G64" s="336"/>
      <c r="H64" s="336"/>
    </row>
    <row r="65" spans="3:8" s="190" customFormat="1">
      <c r="C65" s="336"/>
      <c r="D65" s="336"/>
      <c r="E65" s="336"/>
      <c r="F65" s="336"/>
      <c r="G65" s="336"/>
      <c r="H65" s="336"/>
    </row>
    <row r="66" spans="3:8">
      <c r="C66" s="336"/>
      <c r="D66" s="336"/>
      <c r="E66" s="336"/>
      <c r="F66" s="336"/>
      <c r="G66" s="336"/>
      <c r="H66" s="336"/>
    </row>
    <row r="67" spans="3:8">
      <c r="C67" s="336"/>
      <c r="D67" s="336"/>
      <c r="E67" s="336"/>
      <c r="F67" s="336"/>
      <c r="G67" s="336"/>
    </row>
    <row r="68" spans="3:8">
      <c r="C68" s="336"/>
      <c r="D68" s="336"/>
      <c r="E68" s="336"/>
      <c r="F68" s="336"/>
      <c r="G68" s="336"/>
    </row>
    <row r="69" spans="3:8">
      <c r="C69" s="336"/>
      <c r="D69" s="336"/>
      <c r="E69" s="336"/>
      <c r="F69" s="336"/>
      <c r="G69" s="336"/>
    </row>
    <row r="70" spans="3:8">
      <c r="C70" s="336"/>
      <c r="D70" s="336"/>
      <c r="E70" s="336"/>
      <c r="F70" s="336"/>
      <c r="G70" s="336"/>
    </row>
    <row r="71" spans="3:8">
      <c r="C71" s="336"/>
      <c r="D71" s="336"/>
      <c r="E71" s="336"/>
      <c r="F71" s="336"/>
      <c r="G71" s="336"/>
    </row>
    <row r="72" spans="3:8">
      <c r="C72" s="336"/>
      <c r="D72" s="336"/>
      <c r="E72" s="336"/>
      <c r="F72" s="336"/>
      <c r="G72" s="336"/>
    </row>
  </sheetData>
  <mergeCells count="2">
    <mergeCell ref="B2:P2"/>
    <mergeCell ref="B45:P45"/>
  </mergeCells>
  <printOptions horizontalCentered="1"/>
  <pageMargins left="0.47244094488188981" right="0.47244094488188981" top="0.51181102362204722" bottom="0.27559055118110237" header="0" footer="0"/>
  <pageSetup paperSize="9" scale="7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B92"/>
  <sheetViews>
    <sheetView zoomScaleNormal="100" workbookViewId="0">
      <selection activeCell="S5" sqref="S5"/>
    </sheetView>
  </sheetViews>
  <sheetFormatPr defaultRowHeight="11.25"/>
  <cols>
    <col min="1" max="1" width="2.7109375" style="190" customWidth="1"/>
    <col min="2" max="2" width="4" style="190" customWidth="1"/>
    <col min="3" max="12" width="7.28515625" style="190" customWidth="1"/>
    <col min="13" max="15" width="9" style="190" hidden="1" customWidth="1"/>
    <col min="16" max="16" width="7.28515625" style="190" hidden="1" customWidth="1"/>
    <col min="17" max="18" width="7.85546875" style="190" customWidth="1"/>
    <col min="19" max="19" width="6" style="190" customWidth="1"/>
    <col min="20" max="20" width="5.42578125" style="190" customWidth="1"/>
    <col min="21" max="16384" width="9.140625" style="190"/>
  </cols>
  <sheetData>
    <row r="1" spans="1:28" ht="14.25" customHeight="1">
      <c r="B1" s="189"/>
      <c r="C1" s="191"/>
      <c r="D1" s="191"/>
      <c r="E1" s="191"/>
      <c r="F1" s="191"/>
      <c r="G1" s="191"/>
      <c r="H1" s="191"/>
      <c r="I1" s="191"/>
      <c r="J1" s="191"/>
      <c r="K1" s="191"/>
      <c r="L1" s="191"/>
      <c r="M1" s="191"/>
      <c r="N1" s="191"/>
      <c r="O1" s="191"/>
      <c r="P1" s="191"/>
      <c r="Q1" s="191"/>
      <c r="R1" s="191"/>
      <c r="T1" s="191" t="s">
        <v>177</v>
      </c>
    </row>
    <row r="2" spans="1:28" s="194" customFormat="1" ht="30" customHeight="1">
      <c r="B2" s="1149" t="s">
        <v>22</v>
      </c>
      <c r="C2" s="1149"/>
      <c r="D2" s="1149"/>
      <c r="E2" s="1149"/>
      <c r="F2" s="1149"/>
      <c r="G2" s="1149"/>
      <c r="H2" s="1149"/>
      <c r="I2" s="1149"/>
      <c r="J2" s="1149"/>
      <c r="K2" s="1149"/>
      <c r="L2" s="1149"/>
      <c r="M2" s="1149"/>
      <c r="N2" s="1149"/>
      <c r="O2" s="1149"/>
      <c r="P2" s="1149"/>
      <c r="Q2" s="1149"/>
      <c r="R2" s="1149"/>
      <c r="S2" s="1149"/>
      <c r="T2" s="1149"/>
    </row>
    <row r="3" spans="1:28" ht="8.25" customHeight="1">
      <c r="G3" s="195"/>
      <c r="H3" s="195"/>
      <c r="I3" s="195"/>
      <c r="J3" s="195"/>
      <c r="L3" s="195" t="s">
        <v>240</v>
      </c>
      <c r="M3" s="195"/>
      <c r="N3" s="195"/>
      <c r="O3" s="195"/>
      <c r="P3" s="195"/>
      <c r="Q3" s="195"/>
      <c r="R3" s="195"/>
      <c r="S3" s="197"/>
      <c r="T3" s="195"/>
    </row>
    <row r="4" spans="1:28" ht="24.75" customHeight="1">
      <c r="B4" s="198"/>
      <c r="C4" s="200">
        <v>2006</v>
      </c>
      <c r="D4" s="200">
        <v>2007</v>
      </c>
      <c r="E4" s="200">
        <v>2008</v>
      </c>
      <c r="F4" s="200">
        <v>2009</v>
      </c>
      <c r="G4" s="200">
        <v>2010</v>
      </c>
      <c r="H4" s="200">
        <v>2011</v>
      </c>
      <c r="I4" s="200">
        <v>2012</v>
      </c>
      <c r="J4" s="200">
        <v>2013</v>
      </c>
      <c r="K4" s="200">
        <v>2014</v>
      </c>
      <c r="L4" s="200">
        <v>2015</v>
      </c>
      <c r="M4" s="338"/>
      <c r="N4" s="338"/>
      <c r="O4" s="338"/>
      <c r="P4" s="338" t="s">
        <v>241</v>
      </c>
      <c r="Q4" s="200">
        <v>2016</v>
      </c>
      <c r="R4" s="200">
        <v>2017</v>
      </c>
      <c r="S4" s="201" t="s">
        <v>335</v>
      </c>
      <c r="T4" s="272"/>
      <c r="U4" s="179" t="s">
        <v>353</v>
      </c>
      <c r="V4" s="169"/>
    </row>
    <row r="5" spans="1:28" ht="9.9499999999999993" customHeight="1">
      <c r="B5" s="203"/>
      <c r="C5" s="205"/>
      <c r="D5" s="205"/>
      <c r="E5" s="205"/>
      <c r="F5" s="205"/>
      <c r="G5" s="205"/>
      <c r="H5" s="205"/>
      <c r="I5" s="206"/>
      <c r="J5" s="206"/>
      <c r="K5" s="206"/>
      <c r="L5" s="206"/>
      <c r="M5" s="339">
        <v>2012</v>
      </c>
      <c r="N5" s="339">
        <v>2013</v>
      </c>
      <c r="O5" s="340">
        <v>2014</v>
      </c>
      <c r="P5" s="340">
        <v>2015</v>
      </c>
      <c r="Q5" s="206"/>
      <c r="R5" s="206"/>
      <c r="S5" s="274" t="s">
        <v>143</v>
      </c>
      <c r="T5" s="272"/>
      <c r="U5" s="157" t="s">
        <v>0</v>
      </c>
      <c r="V5" s="169" t="s">
        <v>299</v>
      </c>
    </row>
    <row r="6" spans="1:28" ht="12.75" customHeight="1">
      <c r="B6" s="208" t="s">
        <v>237</v>
      </c>
      <c r="C6" s="343">
        <v>389.35489861600001</v>
      </c>
      <c r="D6" s="343">
        <v>396.39345699900002</v>
      </c>
      <c r="E6" s="343">
        <v>411.77794044400002</v>
      </c>
      <c r="F6" s="343">
        <v>404.73641833891702</v>
      </c>
      <c r="G6" s="343">
        <v>406.77556774583996</v>
      </c>
      <c r="H6" s="343">
        <v>415.13198409338003</v>
      </c>
      <c r="I6" s="343">
        <v>420.87095878564827</v>
      </c>
      <c r="J6" s="343">
        <v>426.58423435359691</v>
      </c>
      <c r="K6" s="343">
        <v>433.75344617924003</v>
      </c>
      <c r="L6" s="343">
        <v>441.89804573775319</v>
      </c>
      <c r="M6" s="344">
        <v>63.990086231276713</v>
      </c>
      <c r="N6" s="344">
        <v>67.011692304499093</v>
      </c>
      <c r="O6" s="344">
        <v>68.070833296270706</v>
      </c>
      <c r="P6" s="345">
        <v>66.334045900000007</v>
      </c>
      <c r="Q6" s="343">
        <v>450.05244555575848</v>
      </c>
      <c r="R6" s="343">
        <v>469.73400000000004</v>
      </c>
      <c r="S6" s="994">
        <f>L6/K6*100-100</f>
        <v>1.877702558966547</v>
      </c>
      <c r="T6" s="208" t="s">
        <v>237</v>
      </c>
      <c r="U6" s="170">
        <v>511.52267099999995</v>
      </c>
      <c r="V6" s="181">
        <f>R6/U6*1000</f>
        <v>918.30533939325653</v>
      </c>
    </row>
    <row r="7" spans="1:28" ht="12.75" customHeight="1">
      <c r="A7" s="212"/>
      <c r="B7" s="213" t="s">
        <v>89</v>
      </c>
      <c r="C7" s="348">
        <v>338.261898616</v>
      </c>
      <c r="D7" s="348">
        <v>345.36645699899998</v>
      </c>
      <c r="E7" s="348">
        <v>361.37294044399999</v>
      </c>
      <c r="F7" s="348">
        <v>357.73141833891697</v>
      </c>
      <c r="G7" s="348">
        <v>361.54256774583996</v>
      </c>
      <c r="H7" s="348">
        <v>370.12298409337996</v>
      </c>
      <c r="I7" s="348">
        <v>376.34695878564833</v>
      </c>
      <c r="J7" s="348">
        <v>383.04723435359693</v>
      </c>
      <c r="K7" s="348">
        <v>390.50344617924003</v>
      </c>
      <c r="L7" s="348">
        <v>396.10904573775315</v>
      </c>
      <c r="M7" s="349"/>
      <c r="N7" s="349"/>
      <c r="O7" s="349"/>
      <c r="P7" s="350"/>
      <c r="Q7" s="348">
        <f>Q9+Q10+Q15+Q19+Q20+Q14+Q17+Q23+Q24+Q26+Q29+Q31+Q18+Q33+Q36</f>
        <v>287.6724455557586</v>
      </c>
      <c r="R7" s="348">
        <f>R9+R10+R15+R19+R20+R14+R17+R23+R24+R26+R29+R31+R18+R33+R36</f>
        <v>418.84700000000009</v>
      </c>
      <c r="S7" s="351"/>
      <c r="T7" s="213" t="s">
        <v>89</v>
      </c>
      <c r="U7" s="170">
        <v>407.34291199999996</v>
      </c>
      <c r="V7" s="181">
        <f>R7/U7*1000</f>
        <v>1028.2417777776384</v>
      </c>
    </row>
    <row r="8" spans="1:28" ht="12.75" customHeight="1">
      <c r="A8" s="212"/>
      <c r="B8" s="217" t="s">
        <v>238</v>
      </c>
      <c r="C8" s="352">
        <v>51.093000000000018</v>
      </c>
      <c r="D8" s="352">
        <v>51.027000000000044</v>
      </c>
      <c r="E8" s="352">
        <v>50.40500000000003</v>
      </c>
      <c r="F8" s="352">
        <v>47.005000000000052</v>
      </c>
      <c r="G8" s="352">
        <v>45.233000000000004</v>
      </c>
      <c r="H8" s="352">
        <v>45.009000000000071</v>
      </c>
      <c r="I8" s="352">
        <v>44.523999999999944</v>
      </c>
      <c r="J8" s="352">
        <v>43.536999999999978</v>
      </c>
      <c r="K8" s="352">
        <v>43.25</v>
      </c>
      <c r="L8" s="352">
        <v>45.789000000000044</v>
      </c>
      <c r="M8" s="353"/>
      <c r="N8" s="353"/>
      <c r="O8" s="353"/>
      <c r="P8" s="354"/>
      <c r="Q8" s="352"/>
      <c r="R8" s="352"/>
      <c r="S8" s="355"/>
      <c r="T8" s="217" t="s">
        <v>238</v>
      </c>
      <c r="U8" s="170"/>
      <c r="V8" s="181"/>
    </row>
    <row r="9" spans="1:28" ht="12.75" customHeight="1">
      <c r="A9" s="212"/>
      <c r="B9" s="213" t="s">
        <v>81</v>
      </c>
      <c r="C9" s="317" t="s">
        <v>142</v>
      </c>
      <c r="D9" s="317" t="s">
        <v>142</v>
      </c>
      <c r="E9" s="317" t="s">
        <v>142</v>
      </c>
      <c r="F9" s="317" t="s">
        <v>142</v>
      </c>
      <c r="G9" s="317" t="s">
        <v>142</v>
      </c>
      <c r="H9" s="317" t="s">
        <v>142</v>
      </c>
      <c r="I9" s="317" t="s">
        <v>142</v>
      </c>
      <c r="J9" s="317" t="s">
        <v>142</v>
      </c>
      <c r="K9" s="317" t="s">
        <v>142</v>
      </c>
      <c r="L9" s="317" t="s">
        <v>142</v>
      </c>
      <c r="M9" s="356" t="s">
        <v>142</v>
      </c>
      <c r="N9" s="357" t="s">
        <v>142</v>
      </c>
      <c r="O9" s="357" t="s">
        <v>142</v>
      </c>
      <c r="P9" s="358" t="s">
        <v>142</v>
      </c>
      <c r="Q9" s="734">
        <v>0</v>
      </c>
      <c r="R9" s="876">
        <v>12.657</v>
      </c>
      <c r="S9" s="995">
        <v>0.62728074987478522</v>
      </c>
      <c r="T9" s="213" t="s">
        <v>81</v>
      </c>
      <c r="U9" s="170">
        <v>8.7728649999999995</v>
      </c>
      <c r="V9" s="181">
        <f t="shared" ref="V9:V36" si="0">R9/U9*1000</f>
        <v>1442.7441890420064</v>
      </c>
      <c r="Z9" s="235"/>
      <c r="AA9" s="235"/>
      <c r="AB9" s="235"/>
    </row>
    <row r="10" spans="1:28" ht="12.75" customHeight="1">
      <c r="A10" s="212"/>
      <c r="B10" s="221" t="s">
        <v>60</v>
      </c>
      <c r="C10" s="876">
        <v>8.907</v>
      </c>
      <c r="D10" s="876">
        <v>9.1669999999999998</v>
      </c>
      <c r="E10" s="876">
        <v>10.365</v>
      </c>
      <c r="F10" s="876">
        <v>10.183999999999999</v>
      </c>
      <c r="G10" s="876">
        <v>10.263</v>
      </c>
      <c r="H10" s="876">
        <v>10.778</v>
      </c>
      <c r="I10" s="876">
        <v>11.211</v>
      </c>
      <c r="J10" s="876">
        <v>11.804</v>
      </c>
      <c r="K10" s="876">
        <v>11.981</v>
      </c>
      <c r="L10" s="876">
        <v>12.103999999999999</v>
      </c>
      <c r="M10" s="360"/>
      <c r="N10" s="360"/>
      <c r="O10" s="357">
        <v>71.099999999999994</v>
      </c>
      <c r="P10" s="358">
        <v>69.107289107289105</v>
      </c>
      <c r="Q10" s="876">
        <v>12.578099999999999</v>
      </c>
      <c r="R10" s="242">
        <v>10.167</v>
      </c>
      <c r="S10" s="244">
        <v>1.4164588528678337</v>
      </c>
      <c r="T10" s="874" t="s">
        <v>60</v>
      </c>
      <c r="U10" s="170">
        <v>11.351727</v>
      </c>
      <c r="V10" s="181">
        <f t="shared" si="0"/>
        <v>895.6346466048733</v>
      </c>
    </row>
    <row r="11" spans="1:28" s="235" customFormat="1" ht="12.75" customHeight="1">
      <c r="A11" s="229"/>
      <c r="B11" s="874" t="s">
        <v>100</v>
      </c>
      <c r="C11" s="242">
        <v>8.9640000000000004</v>
      </c>
      <c r="D11" s="242">
        <v>9.4030000000000005</v>
      </c>
      <c r="E11" s="242">
        <v>10.138999999999999</v>
      </c>
      <c r="F11" s="242">
        <v>10.237</v>
      </c>
      <c r="G11" s="242">
        <v>10.564</v>
      </c>
      <c r="H11" s="242">
        <v>10.669</v>
      </c>
      <c r="I11" s="242">
        <v>10.856999999999999</v>
      </c>
      <c r="J11" s="242">
        <v>10.885999999999999</v>
      </c>
      <c r="K11" s="242">
        <v>10.974</v>
      </c>
      <c r="L11" s="242">
        <v>10.333</v>
      </c>
      <c r="M11" s="357"/>
      <c r="N11" s="357">
        <v>89.334925592504135</v>
      </c>
      <c r="O11" s="357">
        <v>90.4</v>
      </c>
      <c r="P11" s="358"/>
      <c r="Q11" s="242">
        <v>10.025</v>
      </c>
      <c r="R11" s="876">
        <v>1.4339999999999999</v>
      </c>
      <c r="S11" s="224">
        <v>-1.443298969072174</v>
      </c>
      <c r="T11" s="221" t="s">
        <v>100</v>
      </c>
      <c r="U11" s="170">
        <v>7.1018590000000001</v>
      </c>
      <c r="V11" s="181">
        <f t="shared" si="0"/>
        <v>201.91896234492967</v>
      </c>
      <c r="Z11" s="190"/>
      <c r="AA11" s="190"/>
      <c r="AB11" s="190"/>
    </row>
    <row r="12" spans="1:28" ht="12.75" customHeight="1">
      <c r="A12" s="212"/>
      <c r="B12" s="221" t="s">
        <v>71</v>
      </c>
      <c r="C12" s="230">
        <v>1.3220000000000001</v>
      </c>
      <c r="D12" s="230">
        <v>1.573</v>
      </c>
      <c r="E12" s="230">
        <v>1.7689999999999999</v>
      </c>
      <c r="F12" s="230">
        <v>1.802</v>
      </c>
      <c r="G12" s="230">
        <v>1.7110000000000001</v>
      </c>
      <c r="H12" s="230">
        <v>1.4570000000000001</v>
      </c>
      <c r="I12" s="230">
        <v>1.08</v>
      </c>
      <c r="J12" s="230">
        <v>0.93500000000000005</v>
      </c>
      <c r="K12" s="230">
        <v>0.91700000000000004</v>
      </c>
      <c r="L12" s="230">
        <v>0.94099999999999995</v>
      </c>
      <c r="M12" s="357"/>
      <c r="N12" s="357">
        <v>100</v>
      </c>
      <c r="O12" s="357">
        <v>100</v>
      </c>
      <c r="P12" s="358">
        <v>100</v>
      </c>
      <c r="Q12" s="230">
        <v>0.82699999999999996</v>
      </c>
      <c r="R12" s="318" t="s">
        <v>142</v>
      </c>
      <c r="S12" s="230" t="s">
        <v>142</v>
      </c>
      <c r="T12" s="221" t="s">
        <v>71</v>
      </c>
      <c r="U12" s="170">
        <v>0.85480199999999995</v>
      </c>
      <c r="V12" s="181">
        <v>0</v>
      </c>
    </row>
    <row r="13" spans="1:28" s="235" customFormat="1" ht="12.75" customHeight="1">
      <c r="A13" s="229"/>
      <c r="B13" s="221" t="s">
        <v>61</v>
      </c>
      <c r="C13" s="876">
        <v>2.411</v>
      </c>
      <c r="D13" s="876">
        <v>2.4039999999999999</v>
      </c>
      <c r="E13" s="876">
        <v>2.3170000000000002</v>
      </c>
      <c r="F13" s="876">
        <v>2.1379999999999999</v>
      </c>
      <c r="G13" s="876">
        <v>2.09</v>
      </c>
      <c r="H13" s="876">
        <v>2.0590000000000002</v>
      </c>
      <c r="I13" s="876">
        <v>1.87</v>
      </c>
      <c r="J13" s="876">
        <v>1.821</v>
      </c>
      <c r="K13" s="876">
        <v>1.698</v>
      </c>
      <c r="L13" s="876">
        <v>1.5489999999999999</v>
      </c>
      <c r="M13" s="357">
        <v>85.273416350839199</v>
      </c>
      <c r="N13" s="357">
        <v>88.083470620538165</v>
      </c>
      <c r="O13" s="357">
        <v>91.2</v>
      </c>
      <c r="P13" s="358">
        <v>94.150238371343903</v>
      </c>
      <c r="Q13" s="876">
        <v>1.4550000000000001</v>
      </c>
      <c r="R13" s="232">
        <v>9.4030000000000005</v>
      </c>
      <c r="S13" s="244">
        <v>7.6104371709773631</v>
      </c>
      <c r="T13" s="874" t="s">
        <v>61</v>
      </c>
      <c r="U13" s="170">
        <v>10.57882</v>
      </c>
      <c r="V13" s="181">
        <f t="shared" si="0"/>
        <v>888.8514976150459</v>
      </c>
    </row>
    <row r="14" spans="1:28" ht="12.75" customHeight="1">
      <c r="A14" s="212"/>
      <c r="B14" s="221" t="s">
        <v>63</v>
      </c>
      <c r="C14" s="232">
        <v>6.9219999999999997</v>
      </c>
      <c r="D14" s="232">
        <v>6.8979999999999997</v>
      </c>
      <c r="E14" s="232">
        <v>6.7729999999999997</v>
      </c>
      <c r="F14" s="232">
        <v>6.4720000000000004</v>
      </c>
      <c r="G14" s="232">
        <v>6.5590000000000002</v>
      </c>
      <c r="H14" s="232">
        <v>6.6689999999999996</v>
      </c>
      <c r="I14" s="232">
        <v>7.1959999999999997</v>
      </c>
      <c r="J14" s="232">
        <v>7.5119999999999996</v>
      </c>
      <c r="K14" s="232">
        <v>7.6440000000000001</v>
      </c>
      <c r="L14" s="232">
        <v>8.125</v>
      </c>
      <c r="M14" s="357">
        <v>92.307692307692307</v>
      </c>
      <c r="N14" s="357"/>
      <c r="O14" s="357">
        <v>93.2</v>
      </c>
      <c r="P14" s="358">
        <v>99.998794919380103</v>
      </c>
      <c r="Q14" s="232">
        <v>8.7379999999999995</v>
      </c>
      <c r="R14" s="232">
        <v>95.757000000000005</v>
      </c>
      <c r="S14" s="239">
        <v>1.6571828952397283</v>
      </c>
      <c r="T14" s="221" t="s">
        <v>63</v>
      </c>
      <c r="U14" s="180">
        <v>82.521653000000001</v>
      </c>
      <c r="V14" s="181">
        <f t="shared" si="0"/>
        <v>1160.386353385335</v>
      </c>
      <c r="Z14" s="235"/>
      <c r="AA14" s="235"/>
      <c r="AB14" s="235"/>
    </row>
    <row r="15" spans="1:28" ht="12.75" customHeight="1">
      <c r="A15" s="212"/>
      <c r="B15" s="874" t="s">
        <v>14</v>
      </c>
      <c r="C15" s="318" t="s">
        <v>142</v>
      </c>
      <c r="D15" s="318" t="s">
        <v>142</v>
      </c>
      <c r="E15" s="318" t="s">
        <v>142</v>
      </c>
      <c r="F15" s="318" t="s">
        <v>142</v>
      </c>
      <c r="G15" s="318" t="s">
        <v>142</v>
      </c>
      <c r="H15" s="318" t="s">
        <v>142</v>
      </c>
      <c r="I15" s="318" t="s">
        <v>142</v>
      </c>
      <c r="J15" s="318" t="s">
        <v>142</v>
      </c>
      <c r="K15" s="318" t="s">
        <v>142</v>
      </c>
      <c r="L15" s="318" t="s">
        <v>142</v>
      </c>
      <c r="M15" s="357" t="s">
        <v>142</v>
      </c>
      <c r="N15" s="357" t="s">
        <v>142</v>
      </c>
      <c r="O15" s="357" t="s">
        <v>142</v>
      </c>
      <c r="P15" s="358" t="s">
        <v>142</v>
      </c>
      <c r="Q15" s="733">
        <v>0</v>
      </c>
      <c r="R15" s="876">
        <v>6.28</v>
      </c>
      <c r="S15" s="996">
        <v>-0.82122552116233294</v>
      </c>
      <c r="T15" s="221" t="s">
        <v>14</v>
      </c>
      <c r="U15" s="170">
        <v>5.7487690000000002</v>
      </c>
      <c r="V15" s="181">
        <f t="shared" si="0"/>
        <v>1092.4077833010858</v>
      </c>
    </row>
    <row r="16" spans="1:28" ht="12.75" customHeight="1">
      <c r="A16" s="212"/>
      <c r="B16" s="874" t="s">
        <v>64</v>
      </c>
      <c r="C16" s="232">
        <v>79</v>
      </c>
      <c r="D16" s="232">
        <v>79.106999999999999</v>
      </c>
      <c r="E16" s="232">
        <v>82.538825000000003</v>
      </c>
      <c r="F16" s="232">
        <v>82.254000000000005</v>
      </c>
      <c r="G16" s="232">
        <v>83.891999999999996</v>
      </c>
      <c r="H16" s="232">
        <v>85.412999999999997</v>
      </c>
      <c r="I16" s="232">
        <v>88.795000000000002</v>
      </c>
      <c r="J16" s="232">
        <v>89.614999999999995</v>
      </c>
      <c r="K16" s="232">
        <v>90.975999999999999</v>
      </c>
      <c r="L16" s="232">
        <v>91.257832365053162</v>
      </c>
      <c r="M16" s="357"/>
      <c r="N16" s="357">
        <v>60.311042341965873</v>
      </c>
      <c r="O16" s="357">
        <v>60.1</v>
      </c>
      <c r="P16" s="358">
        <v>59.391965255157444</v>
      </c>
      <c r="Q16" s="232">
        <v>95.83</v>
      </c>
      <c r="R16" s="876">
        <v>0.36599999999999999</v>
      </c>
      <c r="S16" s="239">
        <v>15.822784810126578</v>
      </c>
      <c r="T16" s="221" t="s">
        <v>64</v>
      </c>
      <c r="U16" s="180">
        <v>1.3156350000000001</v>
      </c>
      <c r="V16" s="181">
        <f t="shared" si="0"/>
        <v>278.19265981826265</v>
      </c>
    </row>
    <row r="17" spans="1:28" ht="12.75" customHeight="1">
      <c r="A17" s="212"/>
      <c r="B17" s="213" t="s">
        <v>15</v>
      </c>
      <c r="C17" s="225">
        <v>0.25700000000000001</v>
      </c>
      <c r="D17" s="225">
        <v>0.27400000000000002</v>
      </c>
      <c r="E17" s="225">
        <v>0.27400000000000002</v>
      </c>
      <c r="F17" s="225">
        <v>0.249</v>
      </c>
      <c r="G17" s="225">
        <v>0.247</v>
      </c>
      <c r="H17" s="225">
        <v>0.24299999999999999</v>
      </c>
      <c r="I17" s="225">
        <v>0.23499999999999999</v>
      </c>
      <c r="J17" s="225">
        <v>0.223</v>
      </c>
      <c r="K17" s="225">
        <v>0.28000000000000003</v>
      </c>
      <c r="L17" s="225">
        <v>0.28599999999999998</v>
      </c>
      <c r="M17" s="357">
        <v>92.765957446808514</v>
      </c>
      <c r="N17" s="357">
        <v>90.016143497757838</v>
      </c>
      <c r="O17" s="357">
        <v>93.4</v>
      </c>
      <c r="P17" s="358">
        <v>100</v>
      </c>
      <c r="Q17" s="225">
        <v>0.316</v>
      </c>
      <c r="R17" s="876">
        <v>1.1120000000000001</v>
      </c>
      <c r="S17" s="244">
        <v>-6.7114093959731491</v>
      </c>
      <c r="T17" s="213" t="s">
        <v>15</v>
      </c>
      <c r="U17" s="170">
        <v>10.768193</v>
      </c>
      <c r="V17" s="181">
        <f t="shared" si="0"/>
        <v>103.26709411690523</v>
      </c>
    </row>
    <row r="18" spans="1:28" ht="12.75" customHeight="1">
      <c r="A18" s="212"/>
      <c r="B18" s="221" t="s">
        <v>66</v>
      </c>
      <c r="C18" s="876">
        <v>1.8109999999999999</v>
      </c>
      <c r="D18" s="876">
        <v>1.93</v>
      </c>
      <c r="E18" s="876">
        <v>1.657</v>
      </c>
      <c r="F18" s="876">
        <v>1.4670000000000001</v>
      </c>
      <c r="G18" s="876">
        <v>1.383</v>
      </c>
      <c r="H18" s="876">
        <v>0.95799999999999996</v>
      </c>
      <c r="I18" s="876">
        <v>0.83199999999999996</v>
      </c>
      <c r="J18" s="876">
        <v>1.056</v>
      </c>
      <c r="K18" s="876">
        <v>1.0720000000000001</v>
      </c>
      <c r="L18" s="876">
        <v>1.2629999999999999</v>
      </c>
      <c r="M18" s="357">
        <v>100</v>
      </c>
      <c r="N18" s="357"/>
      <c r="O18" s="357"/>
      <c r="P18" s="358">
        <v>93.013861386138615</v>
      </c>
      <c r="Q18" s="876">
        <v>1.1919999999999999</v>
      </c>
      <c r="R18" s="230">
        <v>27.515999999999998</v>
      </c>
      <c r="S18" s="244">
        <v>3.1717166414823907</v>
      </c>
      <c r="T18" s="874" t="s">
        <v>66</v>
      </c>
      <c r="U18" s="170">
        <v>46.528024000000002</v>
      </c>
      <c r="V18" s="181">
        <f t="shared" si="0"/>
        <v>591.38552713951492</v>
      </c>
    </row>
    <row r="19" spans="1:28" ht="12.75" customHeight="1">
      <c r="A19" s="212"/>
      <c r="B19" s="213" t="s">
        <v>87</v>
      </c>
      <c r="C19" s="225">
        <v>0.72399999999999998</v>
      </c>
      <c r="D19" s="225">
        <v>0.74</v>
      </c>
      <c r="E19" s="225">
        <v>0.76500000000000001</v>
      </c>
      <c r="F19" s="225">
        <v>0.77300000000000002</v>
      </c>
      <c r="G19" s="225">
        <v>0.72899999999999998</v>
      </c>
      <c r="H19" s="225">
        <v>0.68899999999999995</v>
      </c>
      <c r="I19" s="225">
        <v>0.65900000000000003</v>
      </c>
      <c r="J19" s="225">
        <v>0.67900000000000005</v>
      </c>
      <c r="K19" s="225">
        <v>0.62</v>
      </c>
      <c r="L19" s="225">
        <v>0.628</v>
      </c>
      <c r="M19" s="357">
        <v>83.870967741935488</v>
      </c>
      <c r="N19" s="357">
        <v>98.291721419185279</v>
      </c>
      <c r="O19" s="357">
        <v>98.5</v>
      </c>
      <c r="P19" s="358">
        <v>94.555712270803951</v>
      </c>
      <c r="Q19" s="225">
        <v>0.61099999999999999</v>
      </c>
      <c r="R19" s="876">
        <v>4.2709999999999999</v>
      </c>
      <c r="S19" s="244">
        <v>10.41882109617373</v>
      </c>
      <c r="T19" s="213" t="s">
        <v>87</v>
      </c>
      <c r="U19" s="170">
        <v>5.5032969999999999</v>
      </c>
      <c r="V19" s="181">
        <f t="shared" si="0"/>
        <v>776.08022972410902</v>
      </c>
    </row>
    <row r="20" spans="1:28" s="235" customFormat="1" ht="12.75" customHeight="1">
      <c r="A20" s="229"/>
      <c r="B20" s="874" t="s">
        <v>67</v>
      </c>
      <c r="C20" s="242">
        <v>21.62</v>
      </c>
      <c r="D20" s="242">
        <v>21.361999999999998</v>
      </c>
      <c r="E20" s="242">
        <v>23.452999999999999</v>
      </c>
      <c r="F20" s="242">
        <v>23.055</v>
      </c>
      <c r="G20" s="242">
        <v>22.347999999999999</v>
      </c>
      <c r="H20" s="242">
        <v>22.937000000000001</v>
      </c>
      <c r="I20" s="242">
        <v>22.452000000000002</v>
      </c>
      <c r="J20" s="242">
        <v>23.765999999999998</v>
      </c>
      <c r="K20" s="242">
        <v>25.146000000000001</v>
      </c>
      <c r="L20" s="242">
        <v>26.247</v>
      </c>
      <c r="M20" s="357">
        <v>50.858063904427794</v>
      </c>
      <c r="N20" s="357"/>
      <c r="O20" s="357"/>
      <c r="P20" s="358"/>
      <c r="Q20" s="242">
        <v>26.670100000000001</v>
      </c>
      <c r="R20" s="876">
        <v>100.1</v>
      </c>
      <c r="S20" s="224">
        <v>6.4893617021276668</v>
      </c>
      <c r="T20" s="221" t="s">
        <v>67</v>
      </c>
      <c r="U20" s="170">
        <v>66.989082999999994</v>
      </c>
      <c r="V20" s="181">
        <f t="shared" si="0"/>
        <v>1494.273328088399</v>
      </c>
      <c r="Z20" s="190"/>
      <c r="AA20" s="190"/>
      <c r="AB20" s="190"/>
    </row>
    <row r="21" spans="1:28" ht="12.75" customHeight="1">
      <c r="A21" s="212"/>
      <c r="B21" s="221" t="s">
        <v>144</v>
      </c>
      <c r="C21" s="876">
        <v>3.54</v>
      </c>
      <c r="D21" s="876">
        <v>3.778</v>
      </c>
      <c r="E21" s="876">
        <v>4.0519999999999996</v>
      </c>
      <c r="F21" s="876">
        <v>3.8759999999999999</v>
      </c>
      <c r="G21" s="876">
        <v>3.9590000000000001</v>
      </c>
      <c r="H21" s="876">
        <v>3.8820000000000001</v>
      </c>
      <c r="I21" s="876">
        <v>4.0350000000000001</v>
      </c>
      <c r="J21" s="876">
        <v>4.0529999999999999</v>
      </c>
      <c r="K21" s="876">
        <v>3.8740000000000001</v>
      </c>
      <c r="L21" s="876">
        <v>4.1139999999999999</v>
      </c>
      <c r="M21" s="357">
        <f>0.968277571251549*100</f>
        <v>96.827757125154903</v>
      </c>
      <c r="N21" s="357">
        <f>0.961756723414754*100</f>
        <v>96.175672341475405</v>
      </c>
      <c r="O21" s="357">
        <v>96.5</v>
      </c>
      <c r="P21" s="358">
        <v>97.301239970824213</v>
      </c>
      <c r="Q21" s="876">
        <v>3.8679999999999999</v>
      </c>
      <c r="R21" s="230">
        <v>0.73599999999999999</v>
      </c>
      <c r="S21" s="244">
        <v>-11.003627569528419</v>
      </c>
      <c r="T21" s="874" t="s">
        <v>144</v>
      </c>
      <c r="U21" s="170">
        <v>4.1542130000000004</v>
      </c>
      <c r="V21" s="181">
        <f t="shared" si="0"/>
        <v>177.1695384902026</v>
      </c>
    </row>
    <row r="22" spans="1:28" s="235" customFormat="1" ht="12.75" customHeight="1">
      <c r="A22" s="229"/>
      <c r="B22" s="221" t="s">
        <v>77</v>
      </c>
      <c r="C22" s="230">
        <v>0.26800000000000002</v>
      </c>
      <c r="D22" s="230">
        <v>0.246</v>
      </c>
      <c r="E22" s="230">
        <v>0.25800000000000001</v>
      </c>
      <c r="F22" s="230">
        <v>0.23100000000000001</v>
      </c>
      <c r="G22" s="230">
        <v>0.24399999999999999</v>
      </c>
      <c r="H22" s="230">
        <v>0.26900000000000002</v>
      </c>
      <c r="I22" s="230">
        <v>0.27800000000000002</v>
      </c>
      <c r="J22" s="230">
        <v>0.27800000000000002</v>
      </c>
      <c r="K22" s="230">
        <v>0.27</v>
      </c>
      <c r="L22" s="230">
        <v>0.26200000000000001</v>
      </c>
      <c r="M22" s="357">
        <v>100</v>
      </c>
      <c r="N22" s="357">
        <v>64.514066496163679</v>
      </c>
      <c r="O22" s="357">
        <v>67.2</v>
      </c>
      <c r="P22" s="358">
        <v>68.69806094182826</v>
      </c>
      <c r="Q22" s="230">
        <v>0.28000000000000003</v>
      </c>
      <c r="R22" s="230">
        <v>7.7309999999999999</v>
      </c>
      <c r="S22" s="239">
        <v>1.0192081536652324</v>
      </c>
      <c r="T22" s="221" t="s">
        <v>77</v>
      </c>
      <c r="U22" s="170">
        <v>9.797561</v>
      </c>
      <c r="V22" s="181">
        <f t="shared" si="0"/>
        <v>789.07393380862845</v>
      </c>
      <c r="Z22" s="190"/>
      <c r="AA22" s="190"/>
      <c r="AB22" s="190"/>
    </row>
    <row r="23" spans="1:28" ht="12.75" customHeight="1">
      <c r="A23" s="212"/>
      <c r="B23" s="221" t="s">
        <v>68</v>
      </c>
      <c r="C23" s="876">
        <v>6.11</v>
      </c>
      <c r="D23" s="876">
        <v>6.1760000000000002</v>
      </c>
      <c r="E23" s="876">
        <v>6.28</v>
      </c>
      <c r="F23" s="876">
        <v>6.1520000000000001</v>
      </c>
      <c r="G23" s="876">
        <v>6.3380000000000001</v>
      </c>
      <c r="H23" s="876">
        <v>6.3650000000000002</v>
      </c>
      <c r="I23" s="876">
        <v>6.5170000000000003</v>
      </c>
      <c r="J23" s="876">
        <v>6.5510000000000002</v>
      </c>
      <c r="K23" s="876">
        <v>6.5129999999999999</v>
      </c>
      <c r="L23" s="876">
        <v>6.5060000000000002</v>
      </c>
      <c r="M23" s="357">
        <v>90.592086535724448</v>
      </c>
      <c r="N23" s="359">
        <v>95.972300734878459</v>
      </c>
      <c r="O23" s="357">
        <v>100</v>
      </c>
      <c r="P23" s="358">
        <v>100</v>
      </c>
      <c r="Q23" s="876">
        <v>6.3319999999999999</v>
      </c>
      <c r="R23" s="242">
        <v>2.1219999999999999</v>
      </c>
      <c r="S23" s="244">
        <v>6.579608237066779</v>
      </c>
      <c r="T23" s="874" t="s">
        <v>68</v>
      </c>
      <c r="U23" s="180">
        <v>4.7843830000000001</v>
      </c>
      <c r="V23" s="181">
        <f t="shared" si="0"/>
        <v>443.5263648416107</v>
      </c>
    </row>
    <row r="24" spans="1:28" s="235" customFormat="1" ht="12.75" customHeight="1">
      <c r="A24" s="229"/>
      <c r="B24" s="213" t="s">
        <v>69</v>
      </c>
      <c r="C24" s="225">
        <v>79.275898615999978</v>
      </c>
      <c r="D24" s="225">
        <v>81.293456998999986</v>
      </c>
      <c r="E24" s="225">
        <v>86.339115443999987</v>
      </c>
      <c r="F24" s="225">
        <v>85.612418338916967</v>
      </c>
      <c r="G24" s="225">
        <v>85.601567745840001</v>
      </c>
      <c r="H24" s="225">
        <v>88.731984093380021</v>
      </c>
      <c r="I24" s="225">
        <v>88.788958785648262</v>
      </c>
      <c r="J24" s="225">
        <v>88.129234353596985</v>
      </c>
      <c r="K24" s="225">
        <v>87.227446179240019</v>
      </c>
      <c r="L24" s="225">
        <v>89.121213372700026</v>
      </c>
      <c r="M24" s="357">
        <v>37.609649122807014</v>
      </c>
      <c r="N24" s="357">
        <v>37.086092715231786</v>
      </c>
      <c r="O24" s="357">
        <v>38.200000000000003</v>
      </c>
      <c r="P24" s="358">
        <v>37.655068573860099</v>
      </c>
      <c r="Q24" s="225">
        <v>87.804180555758535</v>
      </c>
      <c r="R24" s="876">
        <v>53.231000000000002</v>
      </c>
      <c r="S24" s="244">
        <v>2.0179648287072354</v>
      </c>
      <c r="T24" s="213" t="s">
        <v>69</v>
      </c>
      <c r="U24" s="170">
        <v>60.589444999999998</v>
      </c>
      <c r="V24" s="181">
        <f t="shared" si="0"/>
        <v>878.55236171910815</v>
      </c>
    </row>
    <row r="25" spans="1:28" ht="12.75" customHeight="1">
      <c r="A25" s="212"/>
      <c r="B25" s="221" t="s">
        <v>73</v>
      </c>
      <c r="C25" s="242">
        <v>1.8720000000000001</v>
      </c>
      <c r="D25" s="242">
        <v>2.0070000000000001</v>
      </c>
      <c r="E25" s="242">
        <v>1.976</v>
      </c>
      <c r="F25" s="242">
        <v>1.6830000000000001</v>
      </c>
      <c r="G25" s="242">
        <v>1.6779999999999999</v>
      </c>
      <c r="H25" s="242">
        <v>1.6379999999999999</v>
      </c>
      <c r="I25" s="242">
        <v>1.5780000000000001</v>
      </c>
      <c r="J25" s="242">
        <v>1.569</v>
      </c>
      <c r="K25" s="242">
        <v>1.728</v>
      </c>
      <c r="L25" s="242">
        <v>1.9179999999999999</v>
      </c>
      <c r="M25" s="357">
        <v>93.931731984829327</v>
      </c>
      <c r="N25" s="357">
        <v>100</v>
      </c>
      <c r="O25" s="357"/>
      <c r="P25" s="358"/>
      <c r="Q25" s="242">
        <v>1.9910000000000001</v>
      </c>
      <c r="R25" s="230">
        <v>0.315</v>
      </c>
      <c r="S25" s="224">
        <v>12.5</v>
      </c>
      <c r="T25" s="221" t="s">
        <v>73</v>
      </c>
      <c r="U25" s="180">
        <v>2.8479040000000002</v>
      </c>
      <c r="V25" s="181">
        <f t="shared" si="0"/>
        <v>110.60766093239097</v>
      </c>
    </row>
    <row r="26" spans="1:28" s="235" customFormat="1" ht="12.75" customHeight="1">
      <c r="A26" s="229"/>
      <c r="B26" s="213" t="s">
        <v>76</v>
      </c>
      <c r="C26" s="225">
        <v>50.185000000000002</v>
      </c>
      <c r="D26" s="225">
        <v>49.78</v>
      </c>
      <c r="E26" s="225">
        <v>49.524000000000001</v>
      </c>
      <c r="F26" s="225">
        <v>48.124000000000002</v>
      </c>
      <c r="G26" s="225">
        <v>47.171999999999997</v>
      </c>
      <c r="H26" s="225">
        <v>46.844999999999999</v>
      </c>
      <c r="I26" s="225">
        <v>46.759</v>
      </c>
      <c r="J26" s="225">
        <v>48.738999999999997</v>
      </c>
      <c r="K26" s="225">
        <v>49.957000000000001</v>
      </c>
      <c r="L26" s="225">
        <v>52.207000000000001</v>
      </c>
      <c r="M26" s="357">
        <v>51.367123467313611</v>
      </c>
      <c r="N26" s="357">
        <v>61.089518687367381</v>
      </c>
      <c r="O26" s="357">
        <v>66.7</v>
      </c>
      <c r="P26" s="358">
        <v>60.161833826318691</v>
      </c>
      <c r="Q26" s="225">
        <v>52.178064999999997</v>
      </c>
      <c r="R26" s="876">
        <v>0.438</v>
      </c>
      <c r="S26" s="244">
        <v>5.0359712230215905</v>
      </c>
      <c r="T26" s="213" t="s">
        <v>76</v>
      </c>
      <c r="U26" s="170">
        <v>0.59066700000000005</v>
      </c>
      <c r="V26" s="181">
        <f t="shared" si="0"/>
        <v>741.53457024008435</v>
      </c>
    </row>
    <row r="27" spans="1:28" ht="12.75" customHeight="1">
      <c r="A27" s="212"/>
      <c r="B27" s="874" t="s">
        <v>72</v>
      </c>
      <c r="C27" s="230">
        <v>9.6579999999999995</v>
      </c>
      <c r="D27" s="230">
        <v>8.7520000000000007</v>
      </c>
      <c r="E27" s="230">
        <v>8.2919999999999998</v>
      </c>
      <c r="F27" s="230">
        <v>8.0719999999999992</v>
      </c>
      <c r="G27" s="230">
        <v>7.681</v>
      </c>
      <c r="H27" s="230">
        <v>7.7629999999999999</v>
      </c>
      <c r="I27" s="230">
        <v>7.806</v>
      </c>
      <c r="J27" s="230">
        <v>7.8419999999999996</v>
      </c>
      <c r="K27" s="230">
        <v>7.7380000000000004</v>
      </c>
      <c r="L27" s="230">
        <v>7.609</v>
      </c>
      <c r="M27" s="357">
        <v>94.260089686098652</v>
      </c>
      <c r="N27" s="357">
        <v>95.349135169762974</v>
      </c>
      <c r="O27" s="357">
        <v>95.5</v>
      </c>
      <c r="P27" s="358">
        <v>95.088271969547804</v>
      </c>
      <c r="Q27" s="230">
        <v>7.6529999999999996</v>
      </c>
      <c r="R27" s="876">
        <v>0.59599999999999997</v>
      </c>
      <c r="S27" s="239">
        <v>2.0547945205479579</v>
      </c>
      <c r="T27" s="221" t="s">
        <v>72</v>
      </c>
      <c r="U27" s="180">
        <v>1.950116</v>
      </c>
      <c r="V27" s="181">
        <f t="shared" si="0"/>
        <v>305.62284499998975</v>
      </c>
      <c r="Z27" s="235"/>
      <c r="AA27" s="235"/>
      <c r="AB27" s="235"/>
    </row>
    <row r="28" spans="1:28" s="235" customFormat="1" ht="12.75" customHeight="1">
      <c r="A28" s="229"/>
      <c r="B28" s="213" t="s">
        <v>78</v>
      </c>
      <c r="C28" s="876">
        <v>0.29799999999999999</v>
      </c>
      <c r="D28" s="876">
        <v>0.316</v>
      </c>
      <c r="E28" s="876">
        <v>0.34499999999999997</v>
      </c>
      <c r="F28" s="876">
        <v>0.33300000000000002</v>
      </c>
      <c r="G28" s="876">
        <v>0.34699999999999998</v>
      </c>
      <c r="H28" s="876">
        <f>0.349</f>
        <v>0.34899999999999998</v>
      </c>
      <c r="I28" s="876">
        <v>0.373</v>
      </c>
      <c r="J28" s="876">
        <v>0.39400000000000002</v>
      </c>
      <c r="K28" s="876">
        <v>0.36599999999999999</v>
      </c>
      <c r="L28" s="876">
        <v>0.41799999999999998</v>
      </c>
      <c r="M28" s="360"/>
      <c r="N28" s="357">
        <v>100</v>
      </c>
      <c r="O28" s="357">
        <v>100</v>
      </c>
      <c r="P28" s="358"/>
      <c r="Q28" s="876">
        <v>0.41699999999999998</v>
      </c>
      <c r="R28" s="317">
        <v>0</v>
      </c>
      <c r="S28" s="876" t="s">
        <v>142</v>
      </c>
      <c r="T28" s="213" t="s">
        <v>78</v>
      </c>
      <c r="U28" s="170">
        <v>0.46029700000000001</v>
      </c>
      <c r="V28" s="181">
        <f t="shared" si="0"/>
        <v>0</v>
      </c>
    </row>
    <row r="29" spans="1:28" ht="12.75" customHeight="1">
      <c r="A29" s="212"/>
      <c r="B29" s="221" t="s">
        <v>16</v>
      </c>
      <c r="C29" s="876">
        <v>0.98599999999999999</v>
      </c>
      <c r="D29" s="876">
        <v>0.97499999999999998</v>
      </c>
      <c r="E29" s="876">
        <v>0.94099999999999995</v>
      </c>
      <c r="F29" s="876">
        <v>0.748</v>
      </c>
      <c r="G29" s="876">
        <v>0.74099999999999999</v>
      </c>
      <c r="H29" s="876">
        <v>0.73299999999999998</v>
      </c>
      <c r="I29" s="876">
        <v>0.71699999999999997</v>
      </c>
      <c r="J29" s="876">
        <v>0.72099999999999997</v>
      </c>
      <c r="K29" s="876">
        <v>0.64400000000000002</v>
      </c>
      <c r="L29" s="876">
        <v>0.59</v>
      </c>
      <c r="M29" s="357">
        <v>88.275862068965523</v>
      </c>
      <c r="N29" s="357">
        <v>88.520055325034576</v>
      </c>
      <c r="O29" s="357">
        <v>89.8</v>
      </c>
      <c r="P29" s="358">
        <v>91.832148900169202</v>
      </c>
      <c r="Q29" s="876">
        <v>0.58399999999999996</v>
      </c>
      <c r="R29" s="230">
        <v>18.437000000000001</v>
      </c>
      <c r="S29" s="244">
        <v>2.5417130144605125</v>
      </c>
      <c r="T29" s="874" t="s">
        <v>16</v>
      </c>
      <c r="U29" s="180">
        <v>17.081506999999998</v>
      </c>
      <c r="V29" s="181">
        <f t="shared" si="0"/>
        <v>1079.3544152749521</v>
      </c>
    </row>
    <row r="30" spans="1:28" s="235" customFormat="1" ht="12.75" customHeight="1">
      <c r="A30" s="229"/>
      <c r="B30" s="221" t="s">
        <v>80</v>
      </c>
      <c r="C30" s="230">
        <v>15.888999999999999</v>
      </c>
      <c r="D30" s="230">
        <v>16.324999999999999</v>
      </c>
      <c r="E30" s="230">
        <v>16.343</v>
      </c>
      <c r="F30" s="230">
        <v>16.454999999999998</v>
      </c>
      <c r="G30" s="230">
        <v>16.899999999999999</v>
      </c>
      <c r="H30" s="230">
        <v>17.478999999999999</v>
      </c>
      <c r="I30" s="230">
        <v>17.771000000000001</v>
      </c>
      <c r="J30" s="230">
        <v>19.044</v>
      </c>
      <c r="K30" s="230">
        <v>20.004999999999999</v>
      </c>
      <c r="L30" s="230">
        <v>17.523</v>
      </c>
      <c r="M30" s="357"/>
      <c r="N30" s="357">
        <v>96.315580961005153</v>
      </c>
      <c r="O30" s="357">
        <v>94.7</v>
      </c>
      <c r="P30" s="358">
        <v>100</v>
      </c>
      <c r="Q30" s="230">
        <v>17.98</v>
      </c>
      <c r="R30" s="230">
        <v>20.318999999999999</v>
      </c>
      <c r="S30" s="239">
        <v>5.9661016949152526</v>
      </c>
      <c r="T30" s="221" t="s">
        <v>80</v>
      </c>
      <c r="U30" s="170">
        <v>37.972963999999997</v>
      </c>
      <c r="V30" s="181">
        <f t="shared" si="0"/>
        <v>535.09122964433334</v>
      </c>
      <c r="Z30" s="190"/>
      <c r="AA30" s="190"/>
      <c r="AB30" s="190"/>
    </row>
    <row r="31" spans="1:28" ht="12.75" customHeight="1">
      <c r="A31" s="212"/>
      <c r="B31" s="874" t="s">
        <v>92</v>
      </c>
      <c r="C31" s="230">
        <v>18.239999999999998</v>
      </c>
      <c r="D31" s="230">
        <v>19.524000000000001</v>
      </c>
      <c r="E31" s="230">
        <v>19.762</v>
      </c>
      <c r="F31" s="230">
        <v>18.128</v>
      </c>
      <c r="G31" s="230">
        <v>17.484999999999999</v>
      </c>
      <c r="H31" s="230">
        <v>17.632999999999999</v>
      </c>
      <c r="I31" s="230">
        <v>17.673999999999999</v>
      </c>
      <c r="J31" s="230">
        <v>16.658999999999999</v>
      </c>
      <c r="K31" s="230">
        <v>15.885</v>
      </c>
      <c r="L31" s="230">
        <v>17.239999999999998</v>
      </c>
      <c r="M31" s="357">
        <v>81.909772752714645</v>
      </c>
      <c r="N31" s="357">
        <v>86.513510296393278</v>
      </c>
      <c r="O31" s="357">
        <v>86.2</v>
      </c>
      <c r="P31" s="358">
        <v>82.21272664279941</v>
      </c>
      <c r="Q31" s="230">
        <v>19.175000000000001</v>
      </c>
      <c r="R31" s="876">
        <v>4.516</v>
      </c>
      <c r="S31" s="239">
        <v>5.8602906704172426</v>
      </c>
      <c r="T31" s="221" t="s">
        <v>92</v>
      </c>
      <c r="U31" s="180">
        <v>10.309573</v>
      </c>
      <c r="V31" s="181">
        <f t="shared" si="0"/>
        <v>438.03948039361086</v>
      </c>
      <c r="Z31" s="235"/>
      <c r="AA31" s="235"/>
      <c r="AB31" s="235"/>
    </row>
    <row r="32" spans="1:28" ht="12.75" customHeight="1">
      <c r="A32" s="212"/>
      <c r="B32" s="221" t="s">
        <v>101</v>
      </c>
      <c r="C32" s="876">
        <v>3.8759999999999999</v>
      </c>
      <c r="D32" s="876">
        <v>3.9870000000000001</v>
      </c>
      <c r="E32" s="876">
        <v>4.2130000000000001</v>
      </c>
      <c r="F32" s="876">
        <v>4.2130000000000001</v>
      </c>
      <c r="G32" s="876">
        <v>4.1109999999999998</v>
      </c>
      <c r="H32" s="876">
        <v>4.2370000000000001</v>
      </c>
      <c r="I32" s="876">
        <v>3.8029999999999999</v>
      </c>
      <c r="J32" s="876">
        <v>3.649</v>
      </c>
      <c r="K32" s="876">
        <v>3.8519999999999999</v>
      </c>
      <c r="L32" s="876">
        <v>3.9569999999999999</v>
      </c>
      <c r="M32" s="357"/>
      <c r="N32" s="359">
        <v>67.753424657534239</v>
      </c>
      <c r="O32" s="357">
        <v>65</v>
      </c>
      <c r="P32" s="358"/>
      <c r="Q32" s="876">
        <v>4.266</v>
      </c>
      <c r="R32" s="230">
        <v>5.6630000000000003</v>
      </c>
      <c r="S32" s="244">
        <v>13.532477947072977</v>
      </c>
      <c r="T32" s="874" t="s">
        <v>101</v>
      </c>
      <c r="U32" s="170">
        <v>19.644349999999999</v>
      </c>
      <c r="V32" s="181">
        <f t="shared" si="0"/>
        <v>288.27627282144744</v>
      </c>
    </row>
    <row r="33" spans="1:22" ht="12.75" customHeight="1">
      <c r="A33" s="212"/>
      <c r="B33" s="221" t="s">
        <v>88</v>
      </c>
      <c r="C33" s="230">
        <v>2.2130000000000001</v>
      </c>
      <c r="D33" s="230">
        <v>2.165</v>
      </c>
      <c r="E33" s="230">
        <v>2.2959999999999998</v>
      </c>
      <c r="F33" s="230">
        <v>2.2639999999999998</v>
      </c>
      <c r="G33" s="230">
        <v>2.3090000000000002</v>
      </c>
      <c r="H33" s="230">
        <v>2.431</v>
      </c>
      <c r="I33" s="230">
        <v>2.4590000000000001</v>
      </c>
      <c r="J33" s="230">
        <v>2.4849999999999999</v>
      </c>
      <c r="K33" s="230">
        <v>2.5830000000000002</v>
      </c>
      <c r="L33" s="230">
        <v>3.411</v>
      </c>
      <c r="M33" s="357">
        <v>92.288557213930346</v>
      </c>
      <c r="N33" s="357">
        <v>90.214698596201487</v>
      </c>
      <c r="O33" s="357">
        <v>91</v>
      </c>
      <c r="P33" s="358">
        <v>99.7</v>
      </c>
      <c r="Q33" s="230">
        <v>3.484</v>
      </c>
      <c r="R33" s="230">
        <v>13.331</v>
      </c>
      <c r="S33" s="239">
        <v>4.1484374999999858</v>
      </c>
      <c r="T33" s="221" t="s">
        <v>88</v>
      </c>
      <c r="U33" s="180">
        <v>9.9951530000000002</v>
      </c>
      <c r="V33" s="181">
        <f t="shared" si="0"/>
        <v>1333.7464669125125</v>
      </c>
    </row>
    <row r="34" spans="1:22" ht="12.75" customHeight="1">
      <c r="A34" s="212"/>
      <c r="B34" s="874" t="s">
        <v>83</v>
      </c>
      <c r="C34" s="230">
        <v>8.0920000000000005</v>
      </c>
      <c r="D34" s="230">
        <v>7.476</v>
      </c>
      <c r="E34" s="230">
        <v>6.9580000000000002</v>
      </c>
      <c r="F34" s="230">
        <v>6.1280000000000001</v>
      </c>
      <c r="G34" s="230">
        <v>5.4370000000000003</v>
      </c>
      <c r="H34" s="230">
        <v>5.0629999999999997</v>
      </c>
      <c r="I34" s="230">
        <v>4.55</v>
      </c>
      <c r="J34" s="230">
        <v>4.3819999999999997</v>
      </c>
      <c r="K34" s="230">
        <v>4.9710000000000001</v>
      </c>
      <c r="L34" s="230">
        <v>5.1479999999999997</v>
      </c>
      <c r="M34" s="357">
        <v>94.597550306211716</v>
      </c>
      <c r="N34" s="357">
        <v>96.425379803395899</v>
      </c>
      <c r="O34" s="357">
        <v>95.4</v>
      </c>
      <c r="P34" s="358">
        <v>100</v>
      </c>
      <c r="Q34" s="230">
        <v>4.9880000000000004</v>
      </c>
      <c r="R34" s="876">
        <v>0.56999999999999995</v>
      </c>
      <c r="S34" s="239">
        <v>-6.7103109656301143</v>
      </c>
      <c r="T34" s="221" t="s">
        <v>83</v>
      </c>
      <c r="U34" s="170">
        <v>2.0658949999999998</v>
      </c>
      <c r="V34" s="181">
        <f t="shared" si="0"/>
        <v>275.90947264986846</v>
      </c>
    </row>
    <row r="35" spans="1:22" ht="12.75" customHeight="1">
      <c r="A35" s="212"/>
      <c r="B35" s="221" t="s">
        <v>85</v>
      </c>
      <c r="C35" s="230">
        <v>9.6170000000000009</v>
      </c>
      <c r="D35" s="230">
        <v>10.260999999999999</v>
      </c>
      <c r="E35" s="230">
        <v>11.146000000000001</v>
      </c>
      <c r="F35" s="230">
        <v>11.321</v>
      </c>
      <c r="G35" s="230">
        <v>11.154999999999999</v>
      </c>
      <c r="H35" s="230">
        <v>11.379</v>
      </c>
      <c r="I35" s="230">
        <v>11.792</v>
      </c>
      <c r="J35" s="230">
        <v>11.842000000000001</v>
      </c>
      <c r="K35" s="230">
        <v>12.121</v>
      </c>
      <c r="L35" s="230">
        <v>12.741</v>
      </c>
      <c r="M35" s="357">
        <v>46.530332848464106</v>
      </c>
      <c r="N35" s="357">
        <v>50</v>
      </c>
      <c r="O35" s="357">
        <v>49.8</v>
      </c>
      <c r="P35" s="358">
        <v>49.941134918766188</v>
      </c>
      <c r="Q35" s="230">
        <v>12.8</v>
      </c>
      <c r="R35" s="230">
        <v>3.754</v>
      </c>
      <c r="S35" s="239">
        <v>7.7497129735935744</v>
      </c>
      <c r="T35" s="221" t="s">
        <v>85</v>
      </c>
      <c r="U35" s="170">
        <v>5.4353429999999996</v>
      </c>
      <c r="V35" s="181">
        <f t="shared" si="0"/>
        <v>690.66478417277449</v>
      </c>
    </row>
    <row r="36" spans="1:22" ht="12.75" customHeight="1">
      <c r="A36" s="212"/>
      <c r="B36" s="217" t="s">
        <v>13</v>
      </c>
      <c r="C36" s="250">
        <v>47.296999999999997</v>
      </c>
      <c r="D36" s="250">
        <v>50.473999999999997</v>
      </c>
      <c r="E36" s="250">
        <v>53.002000000000002</v>
      </c>
      <c r="F36" s="250">
        <v>52.765000000000001</v>
      </c>
      <c r="G36" s="250">
        <v>55.831000000000003</v>
      </c>
      <c r="H36" s="250">
        <v>58.462000000000003</v>
      </c>
      <c r="I36" s="250">
        <v>60.783000000000001</v>
      </c>
      <c r="J36" s="250">
        <v>61.95</v>
      </c>
      <c r="K36" s="250">
        <v>64.710999999999999</v>
      </c>
      <c r="L36" s="250">
        <v>66.399000000000001</v>
      </c>
      <c r="M36" s="362">
        <v>96.189491986942897</v>
      </c>
      <c r="N36" s="362">
        <v>95.483870967741936</v>
      </c>
      <c r="O36" s="362">
        <v>96.1</v>
      </c>
      <c r="P36" s="363">
        <v>96.907560983018925</v>
      </c>
      <c r="Q36" s="250">
        <v>68.010000000000005</v>
      </c>
      <c r="R36" s="877">
        <v>68.912000000000006</v>
      </c>
      <c r="S36" s="264">
        <v>1.3262755477135642</v>
      </c>
      <c r="T36" s="217" t="s">
        <v>13</v>
      </c>
      <c r="U36" s="170">
        <v>65.808572999999996</v>
      </c>
      <c r="V36" s="181">
        <f t="shared" si="0"/>
        <v>1047.1583998637991</v>
      </c>
    </row>
    <row r="37" spans="1:22" ht="12.75" customHeight="1">
      <c r="A37" s="212"/>
      <c r="B37" s="221" t="s">
        <v>270</v>
      </c>
      <c r="C37" s="230">
        <v>0.08</v>
      </c>
      <c r="D37" s="230">
        <v>5.0999999999999997E-2</v>
      </c>
      <c r="E37" s="230">
        <v>4.1000000000000002E-2</v>
      </c>
      <c r="F37" s="230">
        <v>3.2000000000000001E-2</v>
      </c>
      <c r="G37" s="230">
        <v>1.9E-2</v>
      </c>
      <c r="H37" s="230">
        <v>1.7999999999999999E-2</v>
      </c>
      <c r="I37" s="230">
        <v>1.6E-2</v>
      </c>
      <c r="J37" s="230">
        <v>1.2E-2</v>
      </c>
      <c r="K37" s="230">
        <v>8.0000000000000002E-3</v>
      </c>
      <c r="L37" s="230">
        <v>7.0000000000000001E-3</v>
      </c>
      <c r="M37" s="356"/>
      <c r="N37" s="357"/>
      <c r="O37" s="357"/>
      <c r="P37" s="358"/>
      <c r="Q37" s="230"/>
      <c r="R37" s="230"/>
      <c r="S37" s="239">
        <f>L37/K37*100-100</f>
        <v>-12.5</v>
      </c>
      <c r="T37" s="221" t="s">
        <v>270</v>
      </c>
    </row>
    <row r="38" spans="1:22" ht="12.75" customHeight="1">
      <c r="A38" s="212"/>
      <c r="B38" s="213" t="s">
        <v>223</v>
      </c>
      <c r="C38" s="225"/>
      <c r="D38" s="225"/>
      <c r="E38" s="225"/>
      <c r="F38" s="225"/>
      <c r="G38" s="225">
        <v>9.0660000000000004E-2</v>
      </c>
      <c r="H38" s="225">
        <v>6.5100000000000005E-2</v>
      </c>
      <c r="I38" s="225">
        <v>6.2E-2</v>
      </c>
      <c r="J38" s="225">
        <v>7.2999999999999995E-2</v>
      </c>
      <c r="K38" s="225">
        <v>7.5999999999999998E-2</v>
      </c>
      <c r="L38" s="225">
        <v>8.1000000000000003E-2</v>
      </c>
      <c r="M38" s="364"/>
      <c r="N38" s="364"/>
      <c r="O38" s="364"/>
      <c r="P38" s="365"/>
      <c r="Q38" s="225"/>
      <c r="R38" s="876"/>
      <c r="S38" s="244">
        <f>L38/K38*100-100</f>
        <v>6.5789473684210691</v>
      </c>
      <c r="T38" s="213" t="s">
        <v>223</v>
      </c>
      <c r="V38" s="746">
        <f>V6</f>
        <v>918.30533939325653</v>
      </c>
    </row>
    <row r="39" spans="1:22" s="235" customFormat="1" ht="12.75" customHeight="1">
      <c r="A39" s="229"/>
      <c r="B39" s="221" t="s">
        <v>145</v>
      </c>
      <c r="C39" s="230">
        <v>0.105</v>
      </c>
      <c r="D39" s="230">
        <v>0.109</v>
      </c>
      <c r="E39" s="230">
        <v>0.14799999999999999</v>
      </c>
      <c r="F39" s="230">
        <v>0.154</v>
      </c>
      <c r="G39" s="230">
        <f>0.155</f>
        <v>0.155</v>
      </c>
      <c r="H39" s="230">
        <f>0.145</f>
        <v>0.14499999999999999</v>
      </c>
      <c r="I39" s="230">
        <f>0.099</f>
        <v>9.9000000000000005E-2</v>
      </c>
      <c r="J39" s="230">
        <v>0.08</v>
      </c>
      <c r="K39" s="230">
        <v>0.08</v>
      </c>
      <c r="L39" s="230">
        <v>0.17699999999999999</v>
      </c>
      <c r="M39" s="364"/>
      <c r="N39" s="364"/>
      <c r="O39" s="364"/>
      <c r="P39" s="365"/>
      <c r="Q39" s="230"/>
      <c r="R39" s="230"/>
      <c r="S39" s="239">
        <f>L39/K39*100-100</f>
        <v>121.25</v>
      </c>
      <c r="T39" s="221" t="s">
        <v>145</v>
      </c>
      <c r="V39" s="746">
        <f>V7</f>
        <v>1028.2417777776384</v>
      </c>
    </row>
    <row r="40" spans="1:22" s="235" customFormat="1" ht="12.75" customHeight="1">
      <c r="A40" s="229"/>
      <c r="B40" s="213" t="s">
        <v>224</v>
      </c>
      <c r="C40" s="225">
        <v>0.68400000000000005</v>
      </c>
      <c r="D40" s="225">
        <v>0.68700000000000006</v>
      </c>
      <c r="E40" s="225">
        <v>0.58299999999999996</v>
      </c>
      <c r="F40" s="225">
        <v>0.52200000000000002</v>
      </c>
      <c r="G40" s="225">
        <v>0.52200000000000002</v>
      </c>
      <c r="H40" s="225">
        <v>0.54100000000000004</v>
      </c>
      <c r="I40" s="225">
        <v>0.54</v>
      </c>
      <c r="J40" s="225">
        <v>0.61199999999999999</v>
      </c>
      <c r="K40" s="225">
        <v>0.45300000000000001</v>
      </c>
      <c r="L40" s="225">
        <v>0.50900000000000001</v>
      </c>
      <c r="M40" s="364"/>
      <c r="N40" s="364"/>
      <c r="O40" s="364"/>
      <c r="P40" s="365"/>
      <c r="Q40" s="225"/>
      <c r="R40" s="876"/>
      <c r="S40" s="244">
        <f>L40/K40*100-100</f>
        <v>12.362030905077262</v>
      </c>
      <c r="T40" s="213" t="s">
        <v>224</v>
      </c>
    </row>
    <row r="41" spans="1:22" ht="12.75" customHeight="1">
      <c r="A41" s="212"/>
      <c r="B41" s="256" t="s">
        <v>146</v>
      </c>
      <c r="C41" s="230">
        <v>5.2770000000000001</v>
      </c>
      <c r="D41" s="230">
        <v>5.5529999999999999</v>
      </c>
      <c r="E41" s="230">
        <v>5.0970000000000004</v>
      </c>
      <c r="F41" s="230">
        <v>5.3739999999999997</v>
      </c>
      <c r="G41" s="230">
        <v>5.4909999999999997</v>
      </c>
      <c r="H41" s="230">
        <f>5.882</f>
        <v>5.8819999999999997</v>
      </c>
      <c r="I41" s="230">
        <v>4.5979999999999999</v>
      </c>
      <c r="J41" s="230">
        <v>3.7749999999999999</v>
      </c>
      <c r="K41" s="230">
        <v>4.3929999999999998</v>
      </c>
      <c r="L41" s="230">
        <v>4.8280000000000003</v>
      </c>
      <c r="M41" s="364"/>
      <c r="N41" s="364"/>
      <c r="O41" s="364"/>
      <c r="P41" s="365"/>
      <c r="Q41" s="230"/>
      <c r="R41" s="230"/>
      <c r="S41" s="261">
        <f>L41/K41*100-100</f>
        <v>9.9021170043250777</v>
      </c>
      <c r="T41" s="256" t="s">
        <v>146</v>
      </c>
    </row>
    <row r="42" spans="1:22" s="235" customFormat="1" ht="12.75" customHeight="1">
      <c r="A42" s="229"/>
      <c r="B42" s="213" t="s">
        <v>147</v>
      </c>
      <c r="C42" s="327" t="s">
        <v>142</v>
      </c>
      <c r="D42" s="327" t="s">
        <v>142</v>
      </c>
      <c r="E42" s="327" t="s">
        <v>142</v>
      </c>
      <c r="F42" s="327" t="s">
        <v>142</v>
      </c>
      <c r="G42" s="327" t="s">
        <v>142</v>
      </c>
      <c r="H42" s="327" t="s">
        <v>142</v>
      </c>
      <c r="I42" s="327" t="s">
        <v>142</v>
      </c>
      <c r="J42" s="327" t="s">
        <v>142</v>
      </c>
      <c r="K42" s="327" t="s">
        <v>142</v>
      </c>
      <c r="L42" s="327" t="s">
        <v>142</v>
      </c>
      <c r="M42" s="356" t="s">
        <v>142</v>
      </c>
      <c r="N42" s="356" t="s">
        <v>142</v>
      </c>
      <c r="O42" s="356" t="s">
        <v>142</v>
      </c>
      <c r="P42" s="366" t="s">
        <v>142</v>
      </c>
      <c r="Q42" s="327"/>
      <c r="R42" s="327"/>
      <c r="S42" s="328" t="s">
        <v>142</v>
      </c>
      <c r="T42" s="213" t="s">
        <v>147</v>
      </c>
    </row>
    <row r="43" spans="1:22" ht="12.75" customHeight="1">
      <c r="A43" s="212"/>
      <c r="B43" s="221" t="s">
        <v>148</v>
      </c>
      <c r="C43" s="230">
        <v>2.8330000000000002</v>
      </c>
      <c r="D43" s="230">
        <v>2.9580000000000002</v>
      </c>
      <c r="E43" s="230">
        <v>3.1230000000000002</v>
      </c>
      <c r="F43" s="230">
        <v>3.08</v>
      </c>
      <c r="G43" s="230">
        <v>3.1859999999999999</v>
      </c>
      <c r="H43" s="230">
        <v>3.0760000000000001</v>
      </c>
      <c r="I43" s="230">
        <v>3.0920000000000001</v>
      </c>
      <c r="J43" s="230">
        <v>3.26</v>
      </c>
      <c r="K43" s="230">
        <v>3.44</v>
      </c>
      <c r="L43" s="230">
        <v>3.5550000000000002</v>
      </c>
      <c r="M43" s="357">
        <v>74.141161773891312</v>
      </c>
      <c r="N43" s="357">
        <v>74.577832361068459</v>
      </c>
      <c r="O43" s="357">
        <v>74.400000000000006</v>
      </c>
      <c r="P43" s="358">
        <v>44.872513309050156</v>
      </c>
      <c r="Q43" s="230"/>
      <c r="R43" s="230"/>
      <c r="S43" s="239">
        <f>L43/K43*100-100</f>
        <v>3.343023255813975</v>
      </c>
      <c r="T43" s="221" t="s">
        <v>148</v>
      </c>
    </row>
    <row r="44" spans="1:22" s="235" customFormat="1" ht="12.75" customHeight="1">
      <c r="A44" s="229"/>
      <c r="B44" s="217" t="s">
        <v>149</v>
      </c>
      <c r="C44" s="250">
        <v>16.577999999999999</v>
      </c>
      <c r="D44" s="250">
        <v>17.434000000000001</v>
      </c>
      <c r="E44" s="250">
        <v>17.699000000000002</v>
      </c>
      <c r="F44" s="250">
        <v>18.497</v>
      </c>
      <c r="G44" s="250">
        <v>19.093</v>
      </c>
      <c r="H44" s="250">
        <v>19.387</v>
      </c>
      <c r="I44" s="250">
        <v>19.18</v>
      </c>
      <c r="J44" s="250">
        <v>19.367999999999999</v>
      </c>
      <c r="K44" s="250">
        <v>19.934000000000001</v>
      </c>
      <c r="L44" s="250">
        <v>20.311</v>
      </c>
      <c r="M44" s="367"/>
      <c r="N44" s="367"/>
      <c r="O44" s="367"/>
      <c r="P44" s="368"/>
      <c r="Q44" s="250"/>
      <c r="R44" s="877"/>
      <c r="S44" s="264">
        <f>L44/K44*100-100</f>
        <v>1.8912410956155128</v>
      </c>
      <c r="T44" s="217" t="s">
        <v>149</v>
      </c>
    </row>
    <row r="45" spans="1:22" ht="18.75" customHeight="1">
      <c r="B45" s="1139" t="s">
        <v>308</v>
      </c>
      <c r="C45" s="1139"/>
      <c r="D45" s="1139"/>
      <c r="E45" s="1139"/>
      <c r="F45" s="1139"/>
      <c r="G45" s="1139"/>
      <c r="H45" s="1139"/>
      <c r="I45" s="1139"/>
      <c r="J45" s="1139"/>
      <c r="K45" s="1139"/>
      <c r="L45" s="1139"/>
      <c r="M45" s="1139"/>
      <c r="N45" s="1139"/>
      <c r="O45" s="1139"/>
      <c r="P45" s="1139"/>
      <c r="Q45" s="1139"/>
      <c r="R45" s="1139"/>
      <c r="S45" s="1139"/>
      <c r="T45" s="1139"/>
    </row>
    <row r="46" spans="1:22" ht="15.75" customHeight="1">
      <c r="B46" s="370" t="s">
        <v>309</v>
      </c>
      <c r="C46" s="369"/>
      <c r="D46" s="369"/>
      <c r="E46" s="369"/>
      <c r="F46" s="369"/>
      <c r="G46" s="369"/>
      <c r="H46" s="369"/>
      <c r="I46" s="369"/>
      <c r="J46" s="369"/>
      <c r="K46" s="369"/>
      <c r="L46" s="369"/>
      <c r="M46" s="369"/>
      <c r="N46" s="369"/>
      <c r="O46" s="369"/>
      <c r="P46" s="369"/>
      <c r="Q46" s="369"/>
      <c r="R46" s="369"/>
      <c r="S46" s="369"/>
      <c r="T46" s="369"/>
    </row>
    <row r="47" spans="1:22">
      <c r="B47" s="303" t="s">
        <v>292</v>
      </c>
    </row>
    <row r="50" spans="3:13" ht="20.25">
      <c r="C50" s="371"/>
      <c r="D50" s="371"/>
      <c r="E50" s="371"/>
      <c r="F50" s="372"/>
      <c r="G50" s="372"/>
      <c r="H50" s="372"/>
      <c r="I50" s="372"/>
      <c r="J50" s="372"/>
      <c r="K50" s="372"/>
      <c r="L50" s="223"/>
    </row>
    <row r="51" spans="3:13">
      <c r="L51" s="223"/>
    </row>
    <row r="52" spans="3:13">
      <c r="L52" s="223"/>
    </row>
    <row r="53" spans="3:13">
      <c r="L53" s="223"/>
    </row>
    <row r="54" spans="3:13">
      <c r="L54" s="223"/>
    </row>
    <row r="55" spans="3:13">
      <c r="L55" s="223"/>
    </row>
    <row r="56" spans="3:13">
      <c r="L56" s="223"/>
    </row>
    <row r="57" spans="3:13">
      <c r="L57" s="223"/>
    </row>
    <row r="58" spans="3:13">
      <c r="L58" s="373"/>
      <c r="M58" s="270"/>
    </row>
    <row r="59" spans="3:13">
      <c r="L59" s="373"/>
      <c r="M59" s="270"/>
    </row>
    <row r="60" spans="3:13">
      <c r="L60" s="223"/>
    </row>
    <row r="61" spans="3:13">
      <c r="L61" s="373"/>
      <c r="M61" s="270"/>
    </row>
    <row r="62" spans="3:13">
      <c r="L62" s="223"/>
    </row>
    <row r="63" spans="3:13">
      <c r="L63" s="223"/>
    </row>
    <row r="64" spans="3:13">
      <c r="L64" s="223"/>
    </row>
    <row r="65" spans="12:13">
      <c r="L65" s="223"/>
    </row>
    <row r="66" spans="12:13">
      <c r="L66" s="223"/>
    </row>
    <row r="67" spans="12:13">
      <c r="L67" s="223"/>
    </row>
    <row r="68" spans="12:13">
      <c r="L68" s="223"/>
    </row>
    <row r="69" spans="12:13">
      <c r="L69" s="223"/>
    </row>
    <row r="70" spans="12:13">
      <c r="L70" s="373"/>
      <c r="M70" s="270"/>
    </row>
    <row r="71" spans="12:13">
      <c r="L71" s="223"/>
    </row>
    <row r="72" spans="12:13">
      <c r="L72" s="223"/>
    </row>
    <row r="73" spans="12:13">
      <c r="L73" s="223"/>
    </row>
    <row r="74" spans="12:13">
      <c r="L74" s="223"/>
    </row>
    <row r="75" spans="12:13">
      <c r="L75" s="223"/>
    </row>
    <row r="76" spans="12:13">
      <c r="L76" s="223"/>
    </row>
    <row r="77" spans="12:13">
      <c r="L77" s="373"/>
      <c r="M77" s="270"/>
    </row>
    <row r="78" spans="12:13">
      <c r="L78" s="223"/>
    </row>
    <row r="79" spans="12:13">
      <c r="L79" s="223"/>
    </row>
    <row r="80" spans="12:13">
      <c r="L80" s="223"/>
    </row>
    <row r="81" spans="12:12">
      <c r="L81" s="223"/>
    </row>
    <row r="82" spans="12:12">
      <c r="L82" s="223"/>
    </row>
    <row r="83" spans="12:12">
      <c r="L83" s="223"/>
    </row>
    <row r="84" spans="12:12">
      <c r="L84" s="223"/>
    </row>
    <row r="85" spans="12:12">
      <c r="L85" s="223"/>
    </row>
    <row r="86" spans="12:12">
      <c r="L86" s="223"/>
    </row>
    <row r="87" spans="12:12">
      <c r="L87" s="223"/>
    </row>
    <row r="88" spans="12:12">
      <c r="L88" s="223"/>
    </row>
    <row r="89" spans="12:12">
      <c r="L89" s="223"/>
    </row>
    <row r="90" spans="12:12">
      <c r="L90" s="223"/>
    </row>
    <row r="91" spans="12:12">
      <c r="L91" s="223"/>
    </row>
    <row r="92" spans="12:12">
      <c r="L92" s="223"/>
    </row>
  </sheetData>
  <mergeCells count="2">
    <mergeCell ref="B2:T2"/>
    <mergeCell ref="B45:T45"/>
  </mergeCells>
  <printOptions horizontalCentered="1"/>
  <pageMargins left="0.47244094488188981" right="0.47244094488188981" top="0.51181102362204722" bottom="0.27559055118110237" header="0" footer="0"/>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7"/>
  <sheetViews>
    <sheetView topLeftCell="H1" zoomScaleNormal="100" workbookViewId="0">
      <selection activeCell="AE7" sqref="AE7"/>
    </sheetView>
  </sheetViews>
  <sheetFormatPr defaultRowHeight="12.75"/>
  <cols>
    <col min="1" max="1" width="12" style="333" customWidth="1"/>
    <col min="2" max="29" width="9.140625" style="333"/>
    <col min="30" max="30" width="13.140625" style="333" customWidth="1"/>
    <col min="31" max="31" width="9.140625" style="333"/>
    <col min="32" max="32" width="6.28515625" style="333" customWidth="1"/>
    <col min="33" max="33" width="9.140625" style="333"/>
    <col min="34" max="34" width="5.85546875" style="333" customWidth="1"/>
    <col min="35" max="16384" width="9.140625" style="333"/>
  </cols>
  <sheetData>
    <row r="1" spans="1:36" ht="14.25" customHeight="1">
      <c r="AD1" s="191" t="s">
        <v>150</v>
      </c>
    </row>
    <row r="2" spans="1:36" ht="20.100000000000001" customHeight="1">
      <c r="A2" s="1150" t="s">
        <v>151</v>
      </c>
      <c r="B2" s="1150"/>
      <c r="C2" s="1150"/>
      <c r="D2" s="1150"/>
      <c r="E2" s="1150"/>
      <c r="F2" s="1150"/>
      <c r="G2" s="1150"/>
      <c r="H2" s="1150"/>
      <c r="I2" s="1150"/>
      <c r="J2" s="1150"/>
      <c r="K2" s="1150"/>
      <c r="L2" s="1150"/>
      <c r="M2" s="1150"/>
      <c r="N2" s="1150"/>
      <c r="O2" s="1150"/>
      <c r="P2" s="1150"/>
      <c r="Q2" s="1150"/>
      <c r="R2" s="1150"/>
      <c r="S2" s="1150"/>
      <c r="T2" s="1150"/>
      <c r="U2" s="1150"/>
      <c r="V2" s="1150"/>
      <c r="W2" s="1150"/>
      <c r="X2" s="1150"/>
      <c r="Y2" s="1150"/>
      <c r="Z2" s="1150"/>
      <c r="AA2" s="1150"/>
      <c r="AB2" s="1150"/>
      <c r="AC2" s="1150"/>
      <c r="AD2" s="1150"/>
    </row>
    <row r="3" spans="1:36" ht="20.100000000000001" customHeight="1">
      <c r="A3" s="1151" t="s">
        <v>152</v>
      </c>
      <c r="B3" s="1151"/>
      <c r="C3" s="1151"/>
      <c r="D3" s="1151"/>
      <c r="E3" s="1151"/>
      <c r="F3" s="1151"/>
      <c r="G3" s="1151"/>
      <c r="H3" s="1151"/>
      <c r="I3" s="1151"/>
      <c r="J3" s="1151"/>
      <c r="K3" s="1151"/>
      <c r="L3" s="1151"/>
      <c r="M3" s="1151"/>
      <c r="N3" s="1151"/>
      <c r="O3" s="1151"/>
      <c r="P3" s="1151"/>
      <c r="Q3" s="1151"/>
      <c r="R3" s="1151"/>
      <c r="S3" s="1151"/>
      <c r="T3" s="1151"/>
      <c r="U3" s="1151"/>
      <c r="V3" s="1151"/>
      <c r="W3" s="1151"/>
      <c r="X3" s="1151"/>
      <c r="Y3" s="1151"/>
      <c r="Z3" s="1151"/>
      <c r="AA3" s="1151"/>
      <c r="AB3" s="1151"/>
      <c r="AC3" s="1151"/>
      <c r="AD3" s="1151"/>
      <c r="AE3" s="197" t="s">
        <v>318</v>
      </c>
      <c r="AG3" s="197" t="s">
        <v>319</v>
      </c>
    </row>
    <row r="4" spans="1:36">
      <c r="A4" s="1152">
        <v>2017</v>
      </c>
      <c r="B4" s="1152"/>
      <c r="C4" s="1152"/>
      <c r="D4" s="1152"/>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2"/>
      <c r="AC4" s="1152"/>
      <c r="AD4" s="1152"/>
      <c r="AE4" s="168">
        <f>SUM(AE7:AE34)</f>
        <v>1113.5629459999998</v>
      </c>
      <c r="AG4" s="382">
        <v>1113.5629459999998</v>
      </c>
    </row>
    <row r="5" spans="1:36" ht="13.5" customHeight="1">
      <c r="B5" s="379" t="s">
        <v>153</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1"/>
      <c r="AF5"/>
      <c r="AG5" s="168">
        <f>AG7+AG8+AG13+AG17+AG18+AG12+AG15+AG21+AG22+AG24+AG27+AG29+AG16+AG31+AG34</f>
        <v>1003.6864029999999</v>
      </c>
      <c r="AI5" s="735"/>
      <c r="AJ5" s="440"/>
    </row>
    <row r="6" spans="1:36" ht="24" customHeight="1">
      <c r="A6" s="997" t="s">
        <v>154</v>
      </c>
      <c r="B6" s="998" t="s">
        <v>60</v>
      </c>
      <c r="C6" s="999" t="s">
        <v>100</v>
      </c>
      <c r="D6" s="999" t="s">
        <v>61</v>
      </c>
      <c r="E6" s="999" t="s">
        <v>355</v>
      </c>
      <c r="F6" s="999" t="s">
        <v>63</v>
      </c>
      <c r="G6" s="999" t="s">
        <v>64</v>
      </c>
      <c r="H6" s="999" t="s">
        <v>68</v>
      </c>
      <c r="I6" s="999" t="s">
        <v>15</v>
      </c>
      <c r="J6" s="999" t="s">
        <v>66</v>
      </c>
      <c r="K6" s="999" t="s">
        <v>67</v>
      </c>
      <c r="L6" s="999" t="s">
        <v>144</v>
      </c>
      <c r="M6" s="999" t="s">
        <v>69</v>
      </c>
      <c r="N6" s="999" t="s">
        <v>71</v>
      </c>
      <c r="O6" s="999" t="s">
        <v>72</v>
      </c>
      <c r="P6" s="999" t="s">
        <v>73</v>
      </c>
      <c r="Q6" s="999" t="s">
        <v>76</v>
      </c>
      <c r="R6" s="999" t="s">
        <v>77</v>
      </c>
      <c r="S6" s="999" t="s">
        <v>78</v>
      </c>
      <c r="T6" s="999" t="s">
        <v>16</v>
      </c>
      <c r="U6" s="999" t="s">
        <v>81</v>
      </c>
      <c r="V6" s="999" t="s">
        <v>80</v>
      </c>
      <c r="W6" s="999" t="s">
        <v>92</v>
      </c>
      <c r="X6" s="999" t="s">
        <v>101</v>
      </c>
      <c r="Y6" s="999" t="s">
        <v>83</v>
      </c>
      <c r="Z6" s="999" t="s">
        <v>85</v>
      </c>
      <c r="AA6" s="999" t="s">
        <v>87</v>
      </c>
      <c r="AB6" s="999" t="s">
        <v>88</v>
      </c>
      <c r="AC6" s="1000" t="s">
        <v>13</v>
      </c>
      <c r="AD6" s="1001"/>
      <c r="AE6" s="168"/>
      <c r="AF6"/>
      <c r="AG6" s="168"/>
      <c r="AI6" s="735"/>
      <c r="AJ6" s="440"/>
    </row>
    <row r="7" spans="1:36" ht="15" customHeight="1">
      <c r="A7" s="1002" t="s">
        <v>60</v>
      </c>
      <c r="B7" s="1003">
        <v>9.85</v>
      </c>
      <c r="C7" s="1004">
        <v>302.154</v>
      </c>
      <c r="D7" s="1004">
        <v>481.09899999999999</v>
      </c>
      <c r="E7" s="1004">
        <v>734.60799999999995</v>
      </c>
      <c r="F7" s="1004">
        <v>2065.9769999999999</v>
      </c>
      <c r="G7" s="1004">
        <v>65.055000000000007</v>
      </c>
      <c r="H7" s="1004">
        <v>506.28199999999998</v>
      </c>
      <c r="I7" s="1004">
        <v>1055.462</v>
      </c>
      <c r="J7" s="1004">
        <v>5952.3090000000002</v>
      </c>
      <c r="K7" s="1004">
        <v>2418.183</v>
      </c>
      <c r="L7" s="1004">
        <v>244.035</v>
      </c>
      <c r="M7" s="1004">
        <v>3466.1979999999999</v>
      </c>
      <c r="N7" s="1004">
        <v>78.884</v>
      </c>
      <c r="O7" s="1004">
        <v>126.27800000000001</v>
      </c>
      <c r="P7" s="1004">
        <v>90.474999999999994</v>
      </c>
      <c r="Q7" s="1004">
        <v>0.95799999999999996</v>
      </c>
      <c r="R7" s="1004">
        <v>554.33500000000004</v>
      </c>
      <c r="S7" s="1004">
        <v>242</v>
      </c>
      <c r="T7" s="1004">
        <v>265.685</v>
      </c>
      <c r="U7" s="1004">
        <v>521.58699999999999</v>
      </c>
      <c r="V7" s="1004">
        <v>787.62099999999998</v>
      </c>
      <c r="W7" s="1004">
        <v>1391.9960000000001</v>
      </c>
      <c r="X7" s="1004">
        <v>645.89099999999996</v>
      </c>
      <c r="Y7" s="1004">
        <v>104.36499999999999</v>
      </c>
      <c r="Z7" s="1004">
        <v>64.864999999999995</v>
      </c>
      <c r="AA7" s="1004">
        <v>189.10300000000001</v>
      </c>
      <c r="AB7" s="1004">
        <v>559.66899999999998</v>
      </c>
      <c r="AC7" s="1004">
        <v>1596.9269999999999</v>
      </c>
      <c r="AD7" s="1002" t="s">
        <v>60</v>
      </c>
      <c r="AE7" s="168">
        <f>SUM(B7:AC7)/1000</f>
        <v>24.521850999999995</v>
      </c>
      <c r="AF7" s="94" t="s">
        <v>60</v>
      </c>
      <c r="AG7" s="382">
        <v>20.092275000000001</v>
      </c>
      <c r="AH7" s="333" t="s">
        <v>81</v>
      </c>
      <c r="AI7" s="735"/>
      <c r="AJ7" s="440"/>
    </row>
    <row r="8" spans="1:36" ht="15" customHeight="1">
      <c r="A8" s="1002" t="s">
        <v>100</v>
      </c>
      <c r="B8" s="1005">
        <v>286.274</v>
      </c>
      <c r="C8" s="1003">
        <v>280.43900000000002</v>
      </c>
      <c r="D8" s="1005">
        <v>346.92</v>
      </c>
      <c r="E8" s="1005">
        <v>133.09100000000001</v>
      </c>
      <c r="F8" s="1005">
        <v>2083.34</v>
      </c>
      <c r="G8" s="1005">
        <v>39.295000000000002</v>
      </c>
      <c r="H8" s="1005">
        <v>96.33</v>
      </c>
      <c r="I8" s="1005">
        <v>219.42400000000001</v>
      </c>
      <c r="J8" s="1005">
        <v>515.28800000000001</v>
      </c>
      <c r="K8" s="1005">
        <v>255.386</v>
      </c>
      <c r="L8" s="1005">
        <v>2.831</v>
      </c>
      <c r="M8" s="1005">
        <v>805.95</v>
      </c>
      <c r="N8" s="1005">
        <v>102.331</v>
      </c>
      <c r="O8" s="1005">
        <v>23.681999999999999</v>
      </c>
      <c r="P8" s="1005">
        <v>44.341999999999999</v>
      </c>
      <c r="Q8" s="1005">
        <v>24.42</v>
      </c>
      <c r="R8" s="1005">
        <v>81.808000000000007</v>
      </c>
      <c r="S8" s="1005">
        <v>52.210999999999999</v>
      </c>
      <c r="T8" s="1005">
        <v>332.66899999999998</v>
      </c>
      <c r="U8" s="1005">
        <v>423.63400000000001</v>
      </c>
      <c r="V8" s="1005">
        <v>560.72</v>
      </c>
      <c r="W8" s="1005">
        <v>13.646000000000001</v>
      </c>
      <c r="X8" s="1005">
        <v>54.529000000000003</v>
      </c>
      <c r="Y8" s="1005">
        <v>0.215</v>
      </c>
      <c r="Z8" s="1005">
        <v>123.904</v>
      </c>
      <c r="AA8" s="1005">
        <v>50.795000000000002</v>
      </c>
      <c r="AB8" s="1005">
        <v>83.093999999999994</v>
      </c>
      <c r="AC8" s="1005">
        <v>1751.98</v>
      </c>
      <c r="AD8" s="1002" t="s">
        <v>100</v>
      </c>
      <c r="AE8" s="168">
        <f t="shared" ref="AE8:AE34" si="0">SUM(B8:AC8)/1000</f>
        <v>8.7885480000000005</v>
      </c>
      <c r="AF8" s="94" t="s">
        <v>100</v>
      </c>
      <c r="AG8" s="382">
        <v>24.521850999999995</v>
      </c>
      <c r="AH8" s="333" t="s">
        <v>60</v>
      </c>
      <c r="AI8" s="735"/>
      <c r="AJ8" s="440"/>
    </row>
    <row r="9" spans="1:36" ht="15" customHeight="1">
      <c r="A9" s="1002" t="s">
        <v>61</v>
      </c>
      <c r="B9" s="1004">
        <v>480.57900000000001</v>
      </c>
      <c r="C9" s="1004">
        <v>350.84300000000002</v>
      </c>
      <c r="D9" s="1003">
        <v>67.506</v>
      </c>
      <c r="E9" s="1004">
        <v>273.01100000000002</v>
      </c>
      <c r="F9" s="1004">
        <v>1271.354</v>
      </c>
      <c r="G9" s="1004">
        <v>0.183</v>
      </c>
      <c r="H9" s="1004">
        <v>200.434</v>
      </c>
      <c r="I9" s="1004">
        <v>766.20600000000002</v>
      </c>
      <c r="J9" s="1004">
        <v>1000.471</v>
      </c>
      <c r="K9" s="1004">
        <v>1105.1099999999999</v>
      </c>
      <c r="L9" s="1004">
        <v>99.760999999999996</v>
      </c>
      <c r="M9" s="1004">
        <v>1388.5070000000001</v>
      </c>
      <c r="N9" s="1004">
        <v>23.181000000000001</v>
      </c>
      <c r="O9" s="1004">
        <v>54.996000000000002</v>
      </c>
      <c r="P9" s="1004">
        <v>2.4E-2</v>
      </c>
      <c r="Q9" s="1004">
        <v>12.670999999999999</v>
      </c>
      <c r="R9" s="1004">
        <v>109.91800000000001</v>
      </c>
      <c r="S9" s="1004">
        <v>36.832000000000001</v>
      </c>
      <c r="T9" s="1004">
        <v>826.79100000000005</v>
      </c>
      <c r="U9" s="1004">
        <v>158.47900000000001</v>
      </c>
      <c r="V9" s="1004">
        <v>220.82499999999999</v>
      </c>
      <c r="W9" s="1004">
        <v>194.36500000000001</v>
      </c>
      <c r="X9" s="1004">
        <v>81.375</v>
      </c>
      <c r="Y9" s="1004">
        <v>12.981</v>
      </c>
      <c r="Z9" s="1004">
        <v>74.64</v>
      </c>
      <c r="AA9" s="1004">
        <v>318.39800000000002</v>
      </c>
      <c r="AB9" s="1004">
        <v>267.56599999999997</v>
      </c>
      <c r="AC9" s="1004">
        <v>2052.6030000000001</v>
      </c>
      <c r="AD9" s="1002" t="s">
        <v>61</v>
      </c>
      <c r="AE9" s="168">
        <f t="shared" si="0"/>
        <v>11.44961</v>
      </c>
      <c r="AF9" s="94" t="s">
        <v>61</v>
      </c>
      <c r="AG9" s="382">
        <v>8.7885480000000005</v>
      </c>
      <c r="AH9" s="333" t="s">
        <v>100</v>
      </c>
      <c r="AI9" s="735"/>
      <c r="AJ9" s="440"/>
    </row>
    <row r="10" spans="1:36" ht="15" customHeight="1">
      <c r="A10" s="1002" t="s">
        <v>355</v>
      </c>
      <c r="B10" s="1005">
        <v>733.72400000000005</v>
      </c>
      <c r="C10" s="1005">
        <v>135.75399999999999</v>
      </c>
      <c r="D10" s="1005">
        <v>272.56700000000001</v>
      </c>
      <c r="E10" s="1003">
        <v>1950.742</v>
      </c>
      <c r="F10" s="1005">
        <v>2792.7269999999999</v>
      </c>
      <c r="G10" s="1005">
        <v>75.631</v>
      </c>
      <c r="H10" s="1005">
        <v>291.392</v>
      </c>
      <c r="I10" s="1005">
        <v>1004.982</v>
      </c>
      <c r="J10" s="1005">
        <v>3426.3220000000001</v>
      </c>
      <c r="K10" s="1005">
        <v>1503.5530000000001</v>
      </c>
      <c r="L10" s="1005">
        <v>215.858</v>
      </c>
      <c r="M10" s="1005">
        <v>1499.3620000000001</v>
      </c>
      <c r="N10" s="1005">
        <v>82.013999999999996</v>
      </c>
      <c r="O10" s="1005">
        <v>234.268</v>
      </c>
      <c r="P10" s="1005">
        <v>331.036</v>
      </c>
      <c r="Q10" s="1005">
        <v>59.99</v>
      </c>
      <c r="R10" s="1005">
        <v>285.36599999999999</v>
      </c>
      <c r="S10" s="1005">
        <v>83.694000000000003</v>
      </c>
      <c r="T10" s="1005">
        <v>1703.34</v>
      </c>
      <c r="U10" s="1005">
        <v>421.64499999999998</v>
      </c>
      <c r="V10" s="1005">
        <v>639.60699999999997</v>
      </c>
      <c r="W10" s="1005">
        <v>361.86500000000001</v>
      </c>
      <c r="X10" s="1005">
        <v>120.318</v>
      </c>
      <c r="Y10" s="1005">
        <v>26.867000000000001</v>
      </c>
      <c r="Z10" s="1005">
        <v>1.0920000000000001</v>
      </c>
      <c r="AA10" s="1005">
        <v>925.64599999999996</v>
      </c>
      <c r="AB10" s="1005">
        <v>1916.259</v>
      </c>
      <c r="AC10" s="1005">
        <v>3586.163</v>
      </c>
      <c r="AD10" s="1002" t="s">
        <v>355</v>
      </c>
      <c r="AE10" s="168">
        <f t="shared" si="0"/>
        <v>24.681784</v>
      </c>
      <c r="AF10" s="94" t="s">
        <v>14</v>
      </c>
      <c r="AG10" s="382">
        <v>6.811064</v>
      </c>
      <c r="AH10" s="333" t="s">
        <v>71</v>
      </c>
      <c r="AI10" s="735"/>
      <c r="AJ10" s="440"/>
    </row>
    <row r="11" spans="1:36" ht="15" customHeight="1">
      <c r="A11" s="1002" t="s">
        <v>63</v>
      </c>
      <c r="B11" s="1004">
        <v>2044.2940000000001</v>
      </c>
      <c r="C11" s="1004">
        <v>2076.3490000000002</v>
      </c>
      <c r="D11" s="1004">
        <v>1223.788</v>
      </c>
      <c r="E11" s="1004">
        <v>2775.8919999999998</v>
      </c>
      <c r="F11" s="1003">
        <v>23832.918000000001</v>
      </c>
      <c r="G11" s="1004">
        <v>435.96</v>
      </c>
      <c r="H11" s="1004">
        <v>2121.1770000000001</v>
      </c>
      <c r="I11" s="1004">
        <v>6971.58</v>
      </c>
      <c r="J11" s="1004">
        <v>28331.474999999999</v>
      </c>
      <c r="K11" s="1004">
        <v>7739.0420000000004</v>
      </c>
      <c r="L11" s="1004">
        <v>1905.5840000000001</v>
      </c>
      <c r="M11" s="1004">
        <v>14008.764999999999</v>
      </c>
      <c r="N11" s="1004">
        <v>434.608</v>
      </c>
      <c r="O11" s="1004">
        <v>866.76199999999994</v>
      </c>
      <c r="P11" s="1004">
        <v>481.27</v>
      </c>
      <c r="Q11" s="1004">
        <v>495.92099999999999</v>
      </c>
      <c r="R11" s="1004">
        <v>1974.684</v>
      </c>
      <c r="S11" s="1004">
        <v>806.61099999999999</v>
      </c>
      <c r="T11" s="1004">
        <v>4377.22</v>
      </c>
      <c r="U11" s="1004">
        <v>7055.018</v>
      </c>
      <c r="V11" s="1004">
        <v>4093.3939999999998</v>
      </c>
      <c r="W11" s="1004">
        <v>4961.5749999999998</v>
      </c>
      <c r="X11" s="1004">
        <v>2553.107</v>
      </c>
      <c r="Y11" s="1004">
        <v>229.476</v>
      </c>
      <c r="Z11" s="1004">
        <v>82.412999999999997</v>
      </c>
      <c r="AA11" s="1004">
        <v>1890.1880000000001</v>
      </c>
      <c r="AB11" s="1004">
        <v>3379.6289999999999</v>
      </c>
      <c r="AC11" s="1004">
        <v>14576.701999999999</v>
      </c>
      <c r="AD11" s="1002" t="s">
        <v>63</v>
      </c>
      <c r="AE11" s="168">
        <f t="shared" si="0"/>
        <v>141.725402</v>
      </c>
      <c r="AF11" s="94" t="s">
        <v>63</v>
      </c>
      <c r="AG11" s="382">
        <v>11.44961</v>
      </c>
      <c r="AH11" s="333" t="s">
        <v>61</v>
      </c>
      <c r="AI11" s="735"/>
      <c r="AJ11" s="440"/>
    </row>
    <row r="12" spans="1:36" ht="15" customHeight="1">
      <c r="A12" s="1002" t="s">
        <v>64</v>
      </c>
      <c r="B12" s="1005">
        <v>64.406999999999996</v>
      </c>
      <c r="C12" s="1005">
        <v>40.267000000000003</v>
      </c>
      <c r="D12" s="1005">
        <v>0.13500000000000001</v>
      </c>
      <c r="E12" s="1005">
        <v>75.33</v>
      </c>
      <c r="F12" s="1005">
        <v>438.84300000000002</v>
      </c>
      <c r="G12" s="1003">
        <v>24.524000000000001</v>
      </c>
      <c r="H12" s="1005">
        <v>22.166</v>
      </c>
      <c r="I12" s="1005">
        <v>68.358000000000004</v>
      </c>
      <c r="J12" s="1005">
        <v>69.296999999999997</v>
      </c>
      <c r="K12" s="1005">
        <v>41.061999999999998</v>
      </c>
      <c r="L12" s="1005">
        <v>14.602</v>
      </c>
      <c r="M12" s="1005">
        <v>92.59</v>
      </c>
      <c r="N12" s="1005">
        <v>4.9390000000000001</v>
      </c>
      <c r="O12" s="1005">
        <v>219.346</v>
      </c>
      <c r="P12" s="1005">
        <v>82.778999999999996</v>
      </c>
      <c r="Q12" s="1005">
        <v>4.2999999999999997E-2</v>
      </c>
      <c r="R12" s="1005">
        <v>0.128</v>
      </c>
      <c r="S12" s="1005">
        <v>0.88400000000000001</v>
      </c>
      <c r="T12" s="1005">
        <v>109.54600000000001</v>
      </c>
      <c r="U12" s="1005">
        <v>51.421999999999997</v>
      </c>
      <c r="V12" s="1005">
        <v>110.205</v>
      </c>
      <c r="W12" s="1005">
        <v>0.66600000000000004</v>
      </c>
      <c r="X12" s="1006">
        <v>7.9000000000000001E-2</v>
      </c>
      <c r="Y12" s="1006">
        <v>0.27200000000000002</v>
      </c>
      <c r="Z12" s="1006">
        <v>8.7999999999999995E-2</v>
      </c>
      <c r="AA12" s="1006">
        <v>252.83</v>
      </c>
      <c r="AB12" s="1005">
        <v>202.005</v>
      </c>
      <c r="AC12" s="1005">
        <v>132.35300000000001</v>
      </c>
      <c r="AD12" s="1002" t="s">
        <v>64</v>
      </c>
      <c r="AE12" s="168">
        <f t="shared" si="0"/>
        <v>2.1191659999999999</v>
      </c>
      <c r="AF12" s="94" t="s">
        <v>64</v>
      </c>
      <c r="AG12" s="382">
        <v>141.725402</v>
      </c>
      <c r="AH12" s="333" t="s">
        <v>63</v>
      </c>
      <c r="AI12" s="735"/>
      <c r="AJ12" s="440"/>
    </row>
    <row r="13" spans="1:36" ht="15" customHeight="1">
      <c r="A13" s="1002" t="s">
        <v>68</v>
      </c>
      <c r="B13" s="1004">
        <v>504.12200000000001</v>
      </c>
      <c r="C13" s="1004">
        <v>96.445999999999998</v>
      </c>
      <c r="D13" s="1004">
        <v>200.77099999999999</v>
      </c>
      <c r="E13" s="1004">
        <v>291.02300000000002</v>
      </c>
      <c r="F13" s="1004">
        <v>2131.0390000000002</v>
      </c>
      <c r="G13" s="1004">
        <v>22.265000000000001</v>
      </c>
      <c r="H13" s="1003">
        <v>86.986999999999995</v>
      </c>
      <c r="I13" s="1004">
        <v>156.625</v>
      </c>
      <c r="J13" s="1004">
        <v>4153.1729999999998</v>
      </c>
      <c r="K13" s="1004">
        <v>1922.0540000000001</v>
      </c>
      <c r="L13" s="1004">
        <v>133.08500000000001</v>
      </c>
      <c r="M13" s="1004">
        <v>1362.325</v>
      </c>
      <c r="N13" s="1004">
        <v>12.609</v>
      </c>
      <c r="O13" s="1004">
        <v>115.592</v>
      </c>
      <c r="P13" s="1004">
        <v>175.14500000000001</v>
      </c>
      <c r="Q13" s="1004">
        <v>37.241</v>
      </c>
      <c r="R13" s="1004">
        <v>235.441</v>
      </c>
      <c r="S13" s="1004">
        <v>81.787999999999997</v>
      </c>
      <c r="T13" s="1004">
        <v>1374.3630000000001</v>
      </c>
      <c r="U13" s="1004">
        <v>137.30799999999999</v>
      </c>
      <c r="V13" s="1004">
        <v>1022.928</v>
      </c>
      <c r="W13" s="1004">
        <v>1092.2049999999999</v>
      </c>
      <c r="X13" s="1004">
        <v>223.81800000000001</v>
      </c>
      <c r="Y13">
        <v>2.7E-2</v>
      </c>
      <c r="Z13" s="1004">
        <v>131.78800000000001</v>
      </c>
      <c r="AA13" s="1004">
        <v>110.788</v>
      </c>
      <c r="AB13" s="1004">
        <v>151.34899999999999</v>
      </c>
      <c r="AC13" s="1004">
        <v>12840.245000000001</v>
      </c>
      <c r="AD13" s="1002" t="s">
        <v>68</v>
      </c>
      <c r="AE13" s="168">
        <f t="shared" si="0"/>
        <v>28.802550000000004</v>
      </c>
      <c r="AF13" s="94" t="s">
        <v>68</v>
      </c>
      <c r="AG13" s="382">
        <v>24.681784</v>
      </c>
      <c r="AH13" s="333" t="s">
        <v>14</v>
      </c>
      <c r="AI13" s="735"/>
      <c r="AJ13" s="440"/>
    </row>
    <row r="14" spans="1:36" ht="15" customHeight="1">
      <c r="A14" s="1002" t="s">
        <v>15</v>
      </c>
      <c r="B14" s="1005">
        <v>1130.752</v>
      </c>
      <c r="C14" s="1005">
        <v>213.749</v>
      </c>
      <c r="D14" s="1005">
        <v>761.91600000000005</v>
      </c>
      <c r="E14" s="1005">
        <v>981.80399999999997</v>
      </c>
      <c r="F14" s="1005">
        <v>6992.4579999999996</v>
      </c>
      <c r="G14" s="1005">
        <v>66.501000000000005</v>
      </c>
      <c r="H14" s="1005">
        <v>154.97399999999999</v>
      </c>
      <c r="I14" s="1003">
        <v>8334.9390000000003</v>
      </c>
      <c r="J14" s="1005">
        <v>615.51300000000003</v>
      </c>
      <c r="K14" s="1005">
        <v>2495.5940000000001</v>
      </c>
      <c r="L14" s="1005">
        <v>54.677</v>
      </c>
      <c r="M14" s="1005">
        <v>3302.1750000000002</v>
      </c>
      <c r="N14" s="1005">
        <v>1632.921</v>
      </c>
      <c r="O14" s="1005">
        <v>88.772000000000006</v>
      </c>
      <c r="P14" s="1005">
        <v>95.494</v>
      </c>
      <c r="Q14" s="1005">
        <v>68.043000000000006</v>
      </c>
      <c r="R14" s="1005">
        <v>306.37200000000001</v>
      </c>
      <c r="S14" s="1005">
        <v>74.152000000000001</v>
      </c>
      <c r="T14" s="1005">
        <v>2038.277</v>
      </c>
      <c r="U14" s="1005">
        <v>867.452</v>
      </c>
      <c r="V14" s="1005">
        <v>1670.4970000000001</v>
      </c>
      <c r="W14" s="1005">
        <v>51.634</v>
      </c>
      <c r="X14" s="1005">
        <v>490.87900000000002</v>
      </c>
      <c r="Y14" s="1005">
        <v>51.893000000000001</v>
      </c>
      <c r="Z14" s="1005">
        <v>223.24600000000001</v>
      </c>
      <c r="AA14" s="1005">
        <v>452.90199999999999</v>
      </c>
      <c r="AB14" s="1005">
        <v>1319.0060000000001</v>
      </c>
      <c r="AC14" s="1005">
        <v>7127.0290000000005</v>
      </c>
      <c r="AD14" s="1002" t="s">
        <v>15</v>
      </c>
      <c r="AE14" s="168">
        <f t="shared" si="0"/>
        <v>41.663620999999999</v>
      </c>
      <c r="AF14" s="94" t="s">
        <v>15</v>
      </c>
      <c r="AG14" s="382">
        <v>2.1191659999999999</v>
      </c>
      <c r="AH14" s="333" t="s">
        <v>64</v>
      </c>
      <c r="AI14" s="735"/>
      <c r="AJ14" s="440"/>
    </row>
    <row r="15" spans="1:36" ht="15" customHeight="1">
      <c r="A15" s="1002" t="s">
        <v>66</v>
      </c>
      <c r="B15" s="1004">
        <v>5958.8090000000002</v>
      </c>
      <c r="C15" s="1004">
        <v>489.38400000000001</v>
      </c>
      <c r="D15" s="1004">
        <v>1001.825</v>
      </c>
      <c r="E15" s="1004">
        <v>3440.1930000000002</v>
      </c>
      <c r="F15" s="1004">
        <v>28629.760999999999</v>
      </c>
      <c r="G15" s="1004">
        <v>69.878</v>
      </c>
      <c r="H15" s="1004">
        <v>4164.87</v>
      </c>
      <c r="I15" s="1004">
        <v>621.13900000000001</v>
      </c>
      <c r="J15" s="1003">
        <v>36166.455999999998</v>
      </c>
      <c r="K15" s="1004">
        <v>13720.055</v>
      </c>
      <c r="L15" s="1004">
        <v>257.77100000000002</v>
      </c>
      <c r="M15" s="1004">
        <v>13979.406000000001</v>
      </c>
      <c r="N15" s="1004">
        <v>21.239000000000001</v>
      </c>
      <c r="O15" s="1004">
        <v>140.03100000000001</v>
      </c>
      <c r="P15" s="1004">
        <v>246.12100000000001</v>
      </c>
      <c r="Q15" s="1004">
        <v>481.69600000000003</v>
      </c>
      <c r="R15" s="1004">
        <v>742.22199999999998</v>
      </c>
      <c r="S15" s="1004">
        <v>234.12700000000001</v>
      </c>
      <c r="T15" s="1004">
        <v>8560.7129999999997</v>
      </c>
      <c r="U15" s="1004">
        <v>1395.501</v>
      </c>
      <c r="V15" s="1004">
        <v>2460.0140000000001</v>
      </c>
      <c r="W15" s="1004">
        <v>4269.2209999999995</v>
      </c>
      <c r="X15" s="1004">
        <v>1676.6030000000001</v>
      </c>
      <c r="Y15" s="1004">
        <v>6.3</v>
      </c>
      <c r="Z15" s="1004">
        <v>179.15</v>
      </c>
      <c r="AA15" s="1004">
        <v>1595.453</v>
      </c>
      <c r="AB15" s="1004">
        <v>4018.4670000000001</v>
      </c>
      <c r="AC15" s="1004">
        <v>45389.911999999997</v>
      </c>
      <c r="AD15" s="1002" t="s">
        <v>66</v>
      </c>
      <c r="AE15" s="168">
        <f t="shared" si="0"/>
        <v>179.91631699999999</v>
      </c>
      <c r="AF15" s="94" t="s">
        <v>66</v>
      </c>
      <c r="AG15" s="382">
        <v>41.663620999999999</v>
      </c>
      <c r="AH15" s="333" t="s">
        <v>15</v>
      </c>
      <c r="AI15" s="735"/>
      <c r="AJ15" s="440"/>
    </row>
    <row r="16" spans="1:36" ht="15" customHeight="1">
      <c r="A16" s="1002" t="s">
        <v>67</v>
      </c>
      <c r="B16" s="1005">
        <v>2231.123</v>
      </c>
      <c r="C16" s="1005">
        <v>220.37299999999999</v>
      </c>
      <c r="D16" s="1005">
        <v>1039.7370000000001</v>
      </c>
      <c r="E16" s="1005">
        <v>1408.1279999999999</v>
      </c>
      <c r="F16" s="1005">
        <v>7829.7650000000003</v>
      </c>
      <c r="G16" s="1005">
        <v>40.930999999999997</v>
      </c>
      <c r="H16" s="1005">
        <v>1841.7660000000001</v>
      </c>
      <c r="I16" s="1005">
        <v>2259.5940000000001</v>
      </c>
      <c r="J16" s="1005">
        <v>12124.507</v>
      </c>
      <c r="K16" s="1003">
        <v>30024.024000000001</v>
      </c>
      <c r="L16" s="1005">
        <v>588.86500000000001</v>
      </c>
      <c r="M16" s="1005">
        <v>10899.663</v>
      </c>
      <c r="N16" s="1005">
        <v>70.718999999999994</v>
      </c>
      <c r="O16" s="1005">
        <v>141.369</v>
      </c>
      <c r="P16" s="1005">
        <v>141.755</v>
      </c>
      <c r="Q16" s="1005">
        <v>198.786</v>
      </c>
      <c r="R16" s="1005">
        <v>725.58799999999997</v>
      </c>
      <c r="S16" s="1005">
        <v>353.03199999999998</v>
      </c>
      <c r="T16" s="1005">
        <v>3796.3220000000001</v>
      </c>
      <c r="U16" s="1005">
        <v>1200.6120000000001</v>
      </c>
      <c r="V16" s="1005">
        <v>1248.979</v>
      </c>
      <c r="W16" s="1005">
        <v>6308.375</v>
      </c>
      <c r="X16" s="1005">
        <v>823.08399999999995</v>
      </c>
      <c r="Y16" s="1005">
        <v>85.766000000000005</v>
      </c>
      <c r="Z16" s="1005">
        <v>23.876000000000001</v>
      </c>
      <c r="AA16" s="1005">
        <v>634.33299999999997</v>
      </c>
      <c r="AB16" s="1005">
        <v>1140.3219999999999</v>
      </c>
      <c r="AC16" s="1005">
        <v>12196.037</v>
      </c>
      <c r="AD16" s="1002" t="s">
        <v>67</v>
      </c>
      <c r="AE16" s="168">
        <f t="shared" si="0"/>
        <v>99.597431000000014</v>
      </c>
      <c r="AF16" s="94" t="s">
        <v>67</v>
      </c>
      <c r="AG16" s="382">
        <v>179.91631699999999</v>
      </c>
      <c r="AH16" s="333" t="s">
        <v>66</v>
      </c>
      <c r="AI16" s="735"/>
      <c r="AJ16" s="440"/>
    </row>
    <row r="17" spans="1:36" ht="15" customHeight="1">
      <c r="A17" s="1002" t="s">
        <v>144</v>
      </c>
      <c r="B17" s="1007">
        <v>233.988</v>
      </c>
      <c r="C17" s="1008">
        <v>0.95699999999999996</v>
      </c>
      <c r="D17" s="1008">
        <v>99.186999999999998</v>
      </c>
      <c r="E17" s="1008">
        <v>214.767</v>
      </c>
      <c r="F17" s="1008">
        <v>1845.527</v>
      </c>
      <c r="G17" s="1008">
        <v>9.9990000000000006</v>
      </c>
      <c r="H17" s="1008">
        <v>132.86000000000001</v>
      </c>
      <c r="I17" s="1008">
        <v>55.316000000000003</v>
      </c>
      <c r="J17" s="1008">
        <v>259.00200000000001</v>
      </c>
      <c r="K17" s="1008">
        <v>650.78200000000004</v>
      </c>
      <c r="L17" s="1009">
        <v>526.60900000000004</v>
      </c>
      <c r="M17" s="1008">
        <v>302.77999999999997</v>
      </c>
      <c r="N17" s="1008">
        <v>0.13800000000000001</v>
      </c>
      <c r="O17" s="1008">
        <v>8.0239999999999991</v>
      </c>
      <c r="P17" s="1008">
        <v>0.18099999999999999</v>
      </c>
      <c r="Q17" s="1008">
        <v>6.4119999999999999</v>
      </c>
      <c r="R17" s="1008">
        <v>0.51</v>
      </c>
      <c r="S17" s="1008">
        <v>4.2270000000000003</v>
      </c>
      <c r="T17" s="1008">
        <v>357.452</v>
      </c>
      <c r="U17" s="1008">
        <v>343.57900000000001</v>
      </c>
      <c r="V17" s="1008">
        <v>121.004</v>
      </c>
      <c r="W17" s="1008">
        <v>30.984999999999999</v>
      </c>
      <c r="X17" s="1008">
        <v>7.2320000000000002</v>
      </c>
      <c r="Y17" s="1008">
        <v>0.34499999999999997</v>
      </c>
      <c r="Z17" s="1008">
        <v>0.55500000000000005</v>
      </c>
      <c r="AA17" s="1008">
        <v>200.744</v>
      </c>
      <c r="AB17" s="1008">
        <v>377.24799999999999</v>
      </c>
      <c r="AC17" s="1010">
        <v>1610.999</v>
      </c>
      <c r="AD17" s="1002" t="s">
        <v>144</v>
      </c>
      <c r="AE17" s="168">
        <f t="shared" si="0"/>
        <v>7.4014089999999984</v>
      </c>
      <c r="AF17" s="94" t="s">
        <v>144</v>
      </c>
      <c r="AG17" s="382">
        <v>15.236349000000002</v>
      </c>
      <c r="AH17" s="333" t="s">
        <v>87</v>
      </c>
      <c r="AI17" s="735"/>
      <c r="AJ17" s="440"/>
    </row>
    <row r="18" spans="1:36" ht="15" customHeight="1">
      <c r="A18" s="1002" t="s">
        <v>69</v>
      </c>
      <c r="B18" s="1011">
        <v>3440.556</v>
      </c>
      <c r="C18" s="1011">
        <v>808.18899999999996</v>
      </c>
      <c r="D18" s="1011">
        <v>1390.056</v>
      </c>
      <c r="E18" s="1011">
        <v>1509.02</v>
      </c>
      <c r="F18" s="1011">
        <v>14045.691999999999</v>
      </c>
      <c r="G18" s="1011">
        <v>91.802999999999997</v>
      </c>
      <c r="H18" s="1011">
        <v>1361.41</v>
      </c>
      <c r="I18" s="1011">
        <v>3272.5639999999999</v>
      </c>
      <c r="J18" s="1011">
        <v>13939.069</v>
      </c>
      <c r="K18" s="1011">
        <v>11361.428</v>
      </c>
      <c r="L18" s="1011">
        <v>297.90100000000001</v>
      </c>
      <c r="M18" s="1009">
        <v>31120.613000000001</v>
      </c>
      <c r="N18" s="1011">
        <v>84.075000000000003</v>
      </c>
      <c r="O18" s="1011">
        <v>230.51300000000001</v>
      </c>
      <c r="P18" s="1011">
        <v>313.65100000000001</v>
      </c>
      <c r="Q18" s="1011">
        <v>336.47</v>
      </c>
      <c r="R18" s="1011">
        <v>1180.135</v>
      </c>
      <c r="S18" s="1011">
        <v>1232.867</v>
      </c>
      <c r="T18" s="1011">
        <v>5002.4279999999999</v>
      </c>
      <c r="U18" s="1011">
        <v>1168.7090000000001</v>
      </c>
      <c r="V18" s="1011">
        <v>2171.5940000000001</v>
      </c>
      <c r="W18" s="1011">
        <v>2017.8710000000001</v>
      </c>
      <c r="X18" s="1011">
        <v>3608.64</v>
      </c>
      <c r="Y18" s="1011">
        <v>3.6440000000000001</v>
      </c>
      <c r="Z18" s="1011">
        <v>233.01</v>
      </c>
      <c r="AA18" s="1011">
        <v>530.40200000000004</v>
      </c>
      <c r="AB18" s="1011">
        <v>954.75699999999995</v>
      </c>
      <c r="AC18" s="1011">
        <v>15101.931</v>
      </c>
      <c r="AD18" s="1002" t="s">
        <v>69</v>
      </c>
      <c r="AE18" s="168">
        <f t="shared" si="0"/>
        <v>116.80899799999997</v>
      </c>
      <c r="AF18" s="94" t="s">
        <v>69</v>
      </c>
      <c r="AG18" s="382">
        <v>99.597431000000014</v>
      </c>
      <c r="AH18" s="333" t="s">
        <v>67</v>
      </c>
      <c r="AI18" s="735"/>
      <c r="AJ18" s="440"/>
    </row>
    <row r="19" spans="1:36" ht="15" customHeight="1">
      <c r="A19" s="1002" t="s">
        <v>71</v>
      </c>
      <c r="B19" s="1012">
        <v>78.72</v>
      </c>
      <c r="C19" s="1012">
        <v>101.55800000000001</v>
      </c>
      <c r="D19" s="1012">
        <v>18.236000000000001</v>
      </c>
      <c r="E19" s="1012">
        <v>81.781999999999996</v>
      </c>
      <c r="F19" s="1012">
        <v>436.62299999999999</v>
      </c>
      <c r="G19" s="1012">
        <v>4.9870000000000001</v>
      </c>
      <c r="H19" s="1012">
        <v>12.666</v>
      </c>
      <c r="I19" s="1012">
        <v>1643.8789999999999</v>
      </c>
      <c r="J19" s="1012">
        <v>21.151</v>
      </c>
      <c r="K19" s="1012">
        <v>97.918999999999997</v>
      </c>
      <c r="L19" s="1012">
        <v>5.0999999999999997E-2</v>
      </c>
      <c r="M19" s="1012">
        <v>82.105000000000004</v>
      </c>
      <c r="N19" s="1013">
        <v>5.0000000000000001E-3</v>
      </c>
      <c r="O19" s="1012">
        <v>15.567</v>
      </c>
      <c r="P19" s="1012">
        <v>52.783000000000001</v>
      </c>
      <c r="Q19" s="1012">
        <v>0.25700000000000001</v>
      </c>
      <c r="R19" s="1012">
        <v>55.314999999999998</v>
      </c>
      <c r="S19" s="1012">
        <v>31.260999999999999</v>
      </c>
      <c r="T19" s="1012">
        <v>86.021000000000001</v>
      </c>
      <c r="U19" s="1012">
        <v>224.26900000000001</v>
      </c>
      <c r="V19" s="1012">
        <v>196.751</v>
      </c>
      <c r="W19" s="1012">
        <v>7.4999999999999997E-2</v>
      </c>
      <c r="X19" s="1012">
        <v>232.27199999999999</v>
      </c>
      <c r="Y19" s="1012">
        <v>0</v>
      </c>
      <c r="Z19" s="1012">
        <v>15.523</v>
      </c>
      <c r="AA19" s="1012">
        <v>33.5</v>
      </c>
      <c r="AB19" s="1012">
        <v>249.60400000000001</v>
      </c>
      <c r="AC19" s="1012">
        <v>3038.1840000000002</v>
      </c>
      <c r="AD19" s="1002" t="s">
        <v>71</v>
      </c>
      <c r="AE19" s="168">
        <f t="shared" si="0"/>
        <v>6.811064</v>
      </c>
      <c r="AF19" s="94" t="s">
        <v>71</v>
      </c>
      <c r="AG19" s="382">
        <v>7.4014089999999984</v>
      </c>
      <c r="AH19" s="333" t="s">
        <v>144</v>
      </c>
      <c r="AI19" s="735"/>
      <c r="AJ19" s="440"/>
    </row>
    <row r="20" spans="1:36" ht="15" customHeight="1">
      <c r="A20" s="1002" t="s">
        <v>72</v>
      </c>
      <c r="B20" s="1006">
        <v>126.28400000000001</v>
      </c>
      <c r="C20" s="1006">
        <v>24.096</v>
      </c>
      <c r="D20" s="1006">
        <v>55.1</v>
      </c>
      <c r="E20" s="1006">
        <v>234.92500000000001</v>
      </c>
      <c r="F20" s="1006">
        <v>871.55100000000004</v>
      </c>
      <c r="G20" s="1006">
        <v>221.12299999999999</v>
      </c>
      <c r="H20" s="1006">
        <v>115.81699999999999</v>
      </c>
      <c r="I20" s="1006">
        <v>91.727999999999994</v>
      </c>
      <c r="J20" s="1006">
        <v>139.81399999999999</v>
      </c>
      <c r="K20" s="1006">
        <v>142.572</v>
      </c>
      <c r="L20" s="1006">
        <v>15.11</v>
      </c>
      <c r="M20" s="1006">
        <v>231.93600000000001</v>
      </c>
      <c r="N20" s="1006">
        <v>15.581</v>
      </c>
      <c r="O20" s="1013">
        <v>6.335</v>
      </c>
      <c r="P20" s="1006">
        <v>222.77600000000001</v>
      </c>
      <c r="Q20" s="1006">
        <v>0</v>
      </c>
      <c r="R20" s="1006">
        <v>24.263999999999999</v>
      </c>
      <c r="S20" s="1006">
        <v>19.172999999999998</v>
      </c>
      <c r="T20" s="1006">
        <v>187.542</v>
      </c>
      <c r="U20" s="1006">
        <v>103.92700000000001</v>
      </c>
      <c r="V20" s="1006">
        <v>115.629</v>
      </c>
      <c r="W20" s="1006">
        <v>3.0630000000000002</v>
      </c>
      <c r="X20" s="1006">
        <v>6.0000000000000001E-3</v>
      </c>
      <c r="Y20" s="1006" t="s">
        <v>356</v>
      </c>
      <c r="Z20" s="1006">
        <v>2.141</v>
      </c>
      <c r="AA20" s="1006">
        <v>339.72</v>
      </c>
      <c r="AB20" s="1006">
        <v>265.553</v>
      </c>
      <c r="AC20" s="1006">
        <v>844.10599999999999</v>
      </c>
      <c r="AD20" s="1002" t="s">
        <v>72</v>
      </c>
      <c r="AE20" s="168">
        <f t="shared" si="0"/>
        <v>4.4198719999999998</v>
      </c>
      <c r="AF20" s="94" t="s">
        <v>72</v>
      </c>
      <c r="AG20" s="382">
        <v>10.605402000000002</v>
      </c>
      <c r="AH20" s="333" t="s">
        <v>77</v>
      </c>
      <c r="AI20" s="735"/>
      <c r="AJ20" s="440"/>
    </row>
    <row r="21" spans="1:36" ht="15" customHeight="1">
      <c r="A21" s="1002" t="s">
        <v>73</v>
      </c>
      <c r="B21" s="1012">
        <v>91.953999999999994</v>
      </c>
      <c r="C21" s="1012">
        <v>44.225999999999999</v>
      </c>
      <c r="D21" s="1012">
        <v>1.2E-2</v>
      </c>
      <c r="E21" s="1012">
        <v>328.17500000000001</v>
      </c>
      <c r="F21" s="1012">
        <v>482.18900000000002</v>
      </c>
      <c r="G21" s="1012">
        <v>82.738</v>
      </c>
      <c r="H21" s="1012">
        <v>170.74199999999999</v>
      </c>
      <c r="I21" s="1012">
        <v>95.869</v>
      </c>
      <c r="J21" s="1012">
        <v>242.113</v>
      </c>
      <c r="K21" s="1012">
        <v>142.274</v>
      </c>
      <c r="L21" s="1012">
        <v>0.19800000000000001</v>
      </c>
      <c r="M21" s="1012">
        <v>323.10500000000002</v>
      </c>
      <c r="N21" s="1012">
        <v>52.055</v>
      </c>
      <c r="O21" s="1012">
        <v>221.25200000000001</v>
      </c>
      <c r="P21" s="1013">
        <v>2.3E-2</v>
      </c>
      <c r="Q21" s="1012">
        <v>7.0000000000000007E-2</v>
      </c>
      <c r="R21" s="1012">
        <v>7.0000000000000001E-3</v>
      </c>
      <c r="S21" s="1012">
        <v>26.7</v>
      </c>
      <c r="T21" s="1012">
        <v>143.74600000000001</v>
      </c>
      <c r="U21" s="1012">
        <v>57.3</v>
      </c>
      <c r="V21" s="1012">
        <v>191.57400000000001</v>
      </c>
      <c r="W21" s="1012">
        <v>6.9080000000000004</v>
      </c>
      <c r="X21" s="1012">
        <v>5.8000000000000003E-2</v>
      </c>
      <c r="Y21" s="1012">
        <v>9.6000000000000002E-2</v>
      </c>
      <c r="Z21" s="1012">
        <v>0.25800000000000001</v>
      </c>
      <c r="AA21" s="1012">
        <v>99.775999999999996</v>
      </c>
      <c r="AB21" s="1012">
        <v>174.131</v>
      </c>
      <c r="AC21" s="1012">
        <v>1024.7339999999999</v>
      </c>
      <c r="AD21" s="1002" t="s">
        <v>73</v>
      </c>
      <c r="AE21" s="168">
        <f t="shared" si="0"/>
        <v>4.0022830000000003</v>
      </c>
      <c r="AF21" s="94" t="s">
        <v>73</v>
      </c>
      <c r="AG21" s="382">
        <v>28.802550000000004</v>
      </c>
      <c r="AH21" s="333" t="s">
        <v>68</v>
      </c>
      <c r="AI21" s="735"/>
      <c r="AJ21" s="440"/>
    </row>
    <row r="22" spans="1:36" ht="15" customHeight="1">
      <c r="A22" s="1002" t="s">
        <v>76</v>
      </c>
      <c r="B22" s="1006">
        <v>0.74199999999999999</v>
      </c>
      <c r="C22" s="1006">
        <v>24.260999999999999</v>
      </c>
      <c r="D22" s="1006">
        <v>12.411</v>
      </c>
      <c r="E22" s="1006">
        <v>59.363999999999997</v>
      </c>
      <c r="F22" s="1006">
        <v>498.23399999999998</v>
      </c>
      <c r="G22" s="1006" t="s">
        <v>356</v>
      </c>
      <c r="H22" s="1006">
        <v>37.235999999999997</v>
      </c>
      <c r="I22" s="1006">
        <v>68.045000000000002</v>
      </c>
      <c r="J22" s="1006">
        <v>474.298</v>
      </c>
      <c r="K22" s="1006">
        <v>198.292</v>
      </c>
      <c r="L22" s="1006">
        <v>6.53</v>
      </c>
      <c r="M22" s="1006">
        <v>335.30500000000001</v>
      </c>
      <c r="N22" s="1006">
        <v>0.249</v>
      </c>
      <c r="O22" s="1006">
        <v>8.9999999999999993E-3</v>
      </c>
      <c r="P22" s="1014">
        <v>0.108</v>
      </c>
      <c r="Q22" s="1013">
        <v>1.099</v>
      </c>
      <c r="R22" s="1006">
        <v>5.8000000000000003E-2</v>
      </c>
      <c r="S22" s="1006">
        <v>3.3250000000000002</v>
      </c>
      <c r="T22" s="1006">
        <v>167.71600000000001</v>
      </c>
      <c r="U22" s="1006">
        <v>103.413</v>
      </c>
      <c r="V22" s="1006">
        <v>40.235999999999997</v>
      </c>
      <c r="W22" s="1006">
        <v>601.30100000000004</v>
      </c>
      <c r="X22" s="1006">
        <v>2E-3</v>
      </c>
      <c r="Y22" s="1006">
        <v>0.14399999999999999</v>
      </c>
      <c r="Z22" s="1006">
        <v>0.01</v>
      </c>
      <c r="AA22" s="1006">
        <v>1.234</v>
      </c>
      <c r="AB22" s="1006">
        <v>33.295000000000002</v>
      </c>
      <c r="AC22" s="1006">
        <v>548.71699999999998</v>
      </c>
      <c r="AD22" s="1002" t="s">
        <v>76</v>
      </c>
      <c r="AE22" s="168">
        <f t="shared" si="0"/>
        <v>3.2156340000000001</v>
      </c>
      <c r="AF22" s="94" t="s">
        <v>76</v>
      </c>
      <c r="AG22" s="382">
        <v>116.80899799999997</v>
      </c>
      <c r="AH22" s="333" t="s">
        <v>69</v>
      </c>
      <c r="AI22" s="735"/>
      <c r="AJ22" s="440"/>
    </row>
    <row r="23" spans="1:36" ht="15" customHeight="1">
      <c r="A23" s="1002" t="s">
        <v>77</v>
      </c>
      <c r="B23" s="1012">
        <v>553.85</v>
      </c>
      <c r="C23" s="1012">
        <v>82.116</v>
      </c>
      <c r="D23" s="1012">
        <v>109.27</v>
      </c>
      <c r="E23" s="1012">
        <v>285.625</v>
      </c>
      <c r="F23" s="1012">
        <v>1972.9380000000001</v>
      </c>
      <c r="G23" s="1012">
        <v>0.14199999999999999</v>
      </c>
      <c r="H23" s="1012">
        <v>235.423</v>
      </c>
      <c r="I23" s="1012">
        <v>307.74799999999999</v>
      </c>
      <c r="J23" s="1012">
        <v>740.22500000000002</v>
      </c>
      <c r="K23" s="1012">
        <v>726.03599999999994</v>
      </c>
      <c r="L23" s="1012">
        <v>0.48199999999999998</v>
      </c>
      <c r="M23" s="1012">
        <v>1180.788</v>
      </c>
      <c r="N23" s="1012">
        <v>55.972000000000001</v>
      </c>
      <c r="O23" s="1012">
        <v>24.077999999999999</v>
      </c>
      <c r="P23" s="1012">
        <v>0.17</v>
      </c>
      <c r="Q23" s="1012">
        <v>8.7999999999999995E-2</v>
      </c>
      <c r="R23" s="1013">
        <v>3.5999999999999997E-2</v>
      </c>
      <c r="S23" s="1012">
        <v>83.040999999999997</v>
      </c>
      <c r="T23" s="1012">
        <v>817.83799999999997</v>
      </c>
      <c r="U23" s="1012">
        <v>103.542</v>
      </c>
      <c r="V23" s="1012">
        <v>238.583</v>
      </c>
      <c r="W23" s="1012">
        <v>161.501</v>
      </c>
      <c r="X23" s="1012">
        <v>143.25299999999999</v>
      </c>
      <c r="Y23" s="1012">
        <v>0.113</v>
      </c>
      <c r="Z23" s="1012">
        <v>0.09</v>
      </c>
      <c r="AA23" s="1012">
        <v>250.179</v>
      </c>
      <c r="AB23" s="1012">
        <v>376.315</v>
      </c>
      <c r="AC23" s="1012">
        <v>2155.96</v>
      </c>
      <c r="AD23" s="1002" t="s">
        <v>77</v>
      </c>
      <c r="AE23" s="168">
        <f t="shared" si="0"/>
        <v>10.605402000000002</v>
      </c>
      <c r="AF23" s="94" t="s">
        <v>77</v>
      </c>
      <c r="AG23" s="382">
        <v>4.0022830000000003</v>
      </c>
      <c r="AH23" s="333" t="s">
        <v>73</v>
      </c>
      <c r="AI23" s="735"/>
      <c r="AJ23" s="440"/>
    </row>
    <row r="24" spans="1:36" ht="15" customHeight="1">
      <c r="A24" s="1002" t="s">
        <v>78</v>
      </c>
      <c r="B24" s="1006">
        <v>240.428</v>
      </c>
      <c r="C24" s="1006">
        <v>51.747999999999998</v>
      </c>
      <c r="D24" s="1006">
        <v>36.478999999999999</v>
      </c>
      <c r="E24" s="1006">
        <v>83.927000000000007</v>
      </c>
      <c r="F24" s="1006">
        <v>805.64499999999998</v>
      </c>
      <c r="G24" s="1006">
        <v>0.70499999999999996</v>
      </c>
      <c r="H24" s="1006">
        <v>80.981999999999999</v>
      </c>
      <c r="I24" s="1006">
        <v>74.397999999999996</v>
      </c>
      <c r="J24" s="1006">
        <v>232.34200000000001</v>
      </c>
      <c r="K24" s="1006">
        <v>354.46499999999997</v>
      </c>
      <c r="L24" s="1006">
        <v>4.3109999999999999</v>
      </c>
      <c r="M24" s="1006">
        <v>1225.692</v>
      </c>
      <c r="N24" s="1006">
        <v>31.178000000000001</v>
      </c>
      <c r="O24" s="1006">
        <v>18.867999999999999</v>
      </c>
      <c r="P24" s="1006">
        <v>26.812999999999999</v>
      </c>
      <c r="Q24" s="1006">
        <v>5.2039999999999997</v>
      </c>
      <c r="R24" s="1006">
        <v>82.328000000000003</v>
      </c>
      <c r="S24" s="1013">
        <v>7.0000000000000001E-3</v>
      </c>
      <c r="T24" s="1006">
        <v>153.41800000000001</v>
      </c>
      <c r="U24" s="1006">
        <v>109.178</v>
      </c>
      <c r="V24" s="1006">
        <v>202.614</v>
      </c>
      <c r="W24" s="1006">
        <v>4.2690000000000001</v>
      </c>
      <c r="X24" s="1006">
        <v>67.073999999999998</v>
      </c>
      <c r="Y24" s="1006">
        <v>4.8730000000000002</v>
      </c>
      <c r="Z24" s="1006">
        <v>3.0710000000000002</v>
      </c>
      <c r="AA24" s="1006">
        <v>32.252000000000002</v>
      </c>
      <c r="AB24" s="1006">
        <v>89.703999999999994</v>
      </c>
      <c r="AC24" s="1006">
        <v>1475.155</v>
      </c>
      <c r="AD24" s="1002" t="s">
        <v>78</v>
      </c>
      <c r="AE24" s="168">
        <f t="shared" si="0"/>
        <v>5.497128</v>
      </c>
      <c r="AF24" s="94" t="s">
        <v>78</v>
      </c>
      <c r="AG24" s="382">
        <v>3.2156340000000001</v>
      </c>
      <c r="AH24" s="333" t="s">
        <v>76</v>
      </c>
      <c r="AI24" s="735"/>
      <c r="AJ24" s="440"/>
    </row>
    <row r="25" spans="1:36" ht="15" customHeight="1">
      <c r="A25" s="1002" t="s">
        <v>16</v>
      </c>
      <c r="B25" s="1012">
        <v>255.27099999999999</v>
      </c>
      <c r="C25" s="1012">
        <v>342.43799999999999</v>
      </c>
      <c r="D25" s="1012">
        <v>826.56600000000003</v>
      </c>
      <c r="E25" s="1012">
        <v>1705.0550000000001</v>
      </c>
      <c r="F25" s="1012">
        <v>4399.4830000000002</v>
      </c>
      <c r="G25" s="1012">
        <v>109.71299999999999</v>
      </c>
      <c r="H25" s="1012">
        <v>1367.556</v>
      </c>
      <c r="I25" s="1012">
        <v>1913.7270000000001</v>
      </c>
      <c r="J25" s="1012">
        <v>8541.0110000000004</v>
      </c>
      <c r="K25" s="1012">
        <v>3816.509</v>
      </c>
      <c r="L25" s="1012">
        <v>356.02699999999999</v>
      </c>
      <c r="M25" s="1012">
        <v>5002.9970000000003</v>
      </c>
      <c r="N25" s="1012">
        <v>92.652000000000001</v>
      </c>
      <c r="O25" s="1012">
        <v>187.41</v>
      </c>
      <c r="P25" s="1012">
        <v>144.761</v>
      </c>
      <c r="Q25" s="1012">
        <v>168.26</v>
      </c>
      <c r="R25" s="1012">
        <v>818.221</v>
      </c>
      <c r="S25" s="1012">
        <v>154.37899999999999</v>
      </c>
      <c r="T25" s="1013">
        <v>2.13</v>
      </c>
      <c r="U25" s="1012">
        <v>1153.213</v>
      </c>
      <c r="V25" s="1012">
        <v>1294.6600000000001</v>
      </c>
      <c r="W25" s="1012">
        <v>2248.7060000000001</v>
      </c>
      <c r="X25" s="1012">
        <v>555.30100000000004</v>
      </c>
      <c r="Y25" s="1012">
        <v>76.156999999999996</v>
      </c>
      <c r="Z25" s="1012">
        <v>0.312</v>
      </c>
      <c r="AA25" s="1012">
        <v>697.87599999999998</v>
      </c>
      <c r="AB25" s="1012">
        <v>1418.0070000000001</v>
      </c>
      <c r="AC25" s="1012">
        <v>10719.064</v>
      </c>
      <c r="AD25" s="1002" t="s">
        <v>16</v>
      </c>
      <c r="AE25" s="168">
        <f t="shared" si="0"/>
        <v>48.367461999999982</v>
      </c>
      <c r="AF25" s="94" t="s">
        <v>16</v>
      </c>
      <c r="AG25" s="382">
        <v>4.4198719999999998</v>
      </c>
      <c r="AH25" s="333" t="s">
        <v>72</v>
      </c>
      <c r="AI25" s="735"/>
      <c r="AJ25" s="440"/>
    </row>
    <row r="26" spans="1:36" ht="15" customHeight="1">
      <c r="A26" s="1002" t="s">
        <v>81</v>
      </c>
      <c r="B26" s="1006">
        <v>486.17200000000003</v>
      </c>
      <c r="C26" s="1006">
        <v>424.18</v>
      </c>
      <c r="D26" s="1006">
        <v>155.369</v>
      </c>
      <c r="E26" s="1006">
        <v>419.41399999999999</v>
      </c>
      <c r="F26" s="1006">
        <v>7064.0709999999999</v>
      </c>
      <c r="G26" s="1006">
        <v>51.226999999999997</v>
      </c>
      <c r="H26" s="1006">
        <v>136.857</v>
      </c>
      <c r="I26" s="1006">
        <v>872.21299999999997</v>
      </c>
      <c r="J26" s="1006">
        <v>1435.9760000000001</v>
      </c>
      <c r="K26" s="1006">
        <v>1202.9970000000001</v>
      </c>
      <c r="L26" s="1006">
        <v>351.72399999999999</v>
      </c>
      <c r="M26" s="1006">
        <v>1167.855</v>
      </c>
      <c r="N26" s="1006">
        <v>223.28800000000001</v>
      </c>
      <c r="O26" s="1006">
        <v>103.607</v>
      </c>
      <c r="P26" s="1006">
        <v>57.648000000000003</v>
      </c>
      <c r="Q26" s="1006">
        <v>103.482</v>
      </c>
      <c r="R26" s="1006">
        <v>103.337</v>
      </c>
      <c r="S26" s="1006">
        <v>109.375</v>
      </c>
      <c r="T26" s="1006">
        <v>1150.0450000000001</v>
      </c>
      <c r="U26" s="1013">
        <v>531.548</v>
      </c>
      <c r="V26" s="1006">
        <v>291.846</v>
      </c>
      <c r="W26" s="1006">
        <v>290.10199999999998</v>
      </c>
      <c r="X26" s="1006">
        <v>491.04399999999998</v>
      </c>
      <c r="Y26" s="1006">
        <v>65.161000000000001</v>
      </c>
      <c r="Z26" s="1006">
        <v>52.003999999999998</v>
      </c>
      <c r="AA26" s="1006">
        <v>205.672</v>
      </c>
      <c r="AB26" s="1006">
        <v>328.096</v>
      </c>
      <c r="AC26" s="1006">
        <v>2217.9650000000001</v>
      </c>
      <c r="AD26" s="1002" t="s">
        <v>81</v>
      </c>
      <c r="AE26" s="168">
        <f t="shared" si="0"/>
        <v>20.092275000000001</v>
      </c>
      <c r="AF26" s="94" t="s">
        <v>81</v>
      </c>
      <c r="AG26" s="382">
        <v>5.497128</v>
      </c>
      <c r="AH26" s="333" t="s">
        <v>78</v>
      </c>
      <c r="AI26" s="735"/>
      <c r="AJ26" s="440"/>
    </row>
    <row r="27" spans="1:36" ht="15" customHeight="1">
      <c r="A27" s="1002" t="s">
        <v>80</v>
      </c>
      <c r="B27" s="1012">
        <v>787.05</v>
      </c>
      <c r="C27" s="1012">
        <v>567.625</v>
      </c>
      <c r="D27" s="1012">
        <v>220.27</v>
      </c>
      <c r="E27" s="1012">
        <v>638.29100000000005</v>
      </c>
      <c r="F27" s="1012">
        <v>4118.5739999999996</v>
      </c>
      <c r="G27" s="1012">
        <v>110.17100000000001</v>
      </c>
      <c r="H27" s="1012">
        <v>1015.942</v>
      </c>
      <c r="I27" s="1012">
        <v>1697.5650000000001</v>
      </c>
      <c r="J27" s="1012">
        <v>2456.7669999999998</v>
      </c>
      <c r="K27" s="1012">
        <v>1352.5920000000001</v>
      </c>
      <c r="L27" s="1012">
        <v>127.488</v>
      </c>
      <c r="M27" s="1012">
        <v>2258.3069999999998</v>
      </c>
      <c r="N27" s="1012">
        <v>206.13900000000001</v>
      </c>
      <c r="O27" s="1012">
        <v>115.59399999999999</v>
      </c>
      <c r="P27" s="1012">
        <v>192.648</v>
      </c>
      <c r="Q27" s="1012">
        <v>40.511000000000003</v>
      </c>
      <c r="R27" s="1012">
        <v>239.001</v>
      </c>
      <c r="S27" s="1012">
        <v>204.16300000000001</v>
      </c>
      <c r="T27" s="1012">
        <v>1291.982</v>
      </c>
      <c r="U27" s="1012">
        <v>293.18200000000002</v>
      </c>
      <c r="V27" s="1013">
        <v>2212.0889999999999</v>
      </c>
      <c r="W27" s="1012">
        <v>489.80900000000003</v>
      </c>
      <c r="X27" s="1012">
        <v>184.02600000000001</v>
      </c>
      <c r="Y27" s="1012">
        <v>51.7</v>
      </c>
      <c r="Z27" s="1012">
        <v>54.396999999999998</v>
      </c>
      <c r="AA27" s="1012">
        <v>297.57499999999999</v>
      </c>
      <c r="AB27" s="1012">
        <v>1331.09</v>
      </c>
      <c r="AC27" s="1012">
        <v>7691.8019999999997</v>
      </c>
      <c r="AD27" s="1002" t="s">
        <v>80</v>
      </c>
      <c r="AE27" s="168">
        <f t="shared" si="0"/>
        <v>30.246350000000007</v>
      </c>
      <c r="AF27" s="94" t="s">
        <v>80</v>
      </c>
      <c r="AG27" s="382">
        <v>48.367461999999982</v>
      </c>
      <c r="AH27" s="333" t="s">
        <v>16</v>
      </c>
      <c r="AI27" s="735"/>
      <c r="AJ27" s="440"/>
    </row>
    <row r="28" spans="1:36" ht="15" customHeight="1">
      <c r="A28" s="1002" t="s">
        <v>92</v>
      </c>
      <c r="B28" s="1006">
        <v>1394.2660000000001</v>
      </c>
      <c r="C28" s="1006">
        <v>13.643000000000001</v>
      </c>
      <c r="D28" s="1006">
        <v>196.21600000000001</v>
      </c>
      <c r="E28" s="1006">
        <v>366.13799999999998</v>
      </c>
      <c r="F28" s="1006">
        <v>4999.3239999999996</v>
      </c>
      <c r="G28" s="1006">
        <v>0.67100000000000004</v>
      </c>
      <c r="H28" s="1006">
        <v>1094.684</v>
      </c>
      <c r="I28" s="1006">
        <v>52.335000000000001</v>
      </c>
      <c r="J28" s="1006">
        <v>4322.93</v>
      </c>
      <c r="K28" s="1006">
        <v>6883.8230000000003</v>
      </c>
      <c r="L28" s="1006">
        <v>31.309000000000001</v>
      </c>
      <c r="M28" s="1006">
        <v>2021.9110000000001</v>
      </c>
      <c r="N28" s="1006">
        <v>0.218</v>
      </c>
      <c r="O28" s="1006">
        <v>3.4790000000000001</v>
      </c>
      <c r="P28" s="1006">
        <v>7.1139999999999999</v>
      </c>
      <c r="Q28" s="1006">
        <v>611.28599999999994</v>
      </c>
      <c r="R28" s="1006">
        <v>162.11500000000001</v>
      </c>
      <c r="S28" s="1006">
        <v>4.1289999999999996</v>
      </c>
      <c r="T28" s="1006">
        <v>2254.8159999999998</v>
      </c>
      <c r="U28" s="1006">
        <v>291.71899999999999</v>
      </c>
      <c r="V28" s="1006">
        <v>491.32400000000001</v>
      </c>
      <c r="W28" s="1013">
        <v>4955.1360000000004</v>
      </c>
      <c r="X28" s="1006">
        <v>128.143</v>
      </c>
      <c r="Y28" s="1006">
        <v>0.36799999999999999</v>
      </c>
      <c r="Z28" s="1006">
        <v>2.0609999999999999</v>
      </c>
      <c r="AA28" s="1006">
        <v>127.63200000000001</v>
      </c>
      <c r="AB28" s="1006">
        <v>247.54</v>
      </c>
      <c r="AC28" s="1006">
        <v>8446.4490000000005</v>
      </c>
      <c r="AD28" s="1002" t="s">
        <v>92</v>
      </c>
      <c r="AE28" s="168">
        <f t="shared" si="0"/>
        <v>39.110779000000008</v>
      </c>
      <c r="AF28" s="94" t="s">
        <v>92</v>
      </c>
      <c r="AG28" s="382">
        <v>30.246350000000007</v>
      </c>
      <c r="AH28" s="333" t="s">
        <v>80</v>
      </c>
      <c r="AI28" s="735"/>
      <c r="AJ28" s="440"/>
    </row>
    <row r="29" spans="1:36" ht="15" customHeight="1">
      <c r="A29" s="1002" t="s">
        <v>101</v>
      </c>
      <c r="B29" s="1012">
        <v>641.62800000000004</v>
      </c>
      <c r="C29" s="1012">
        <v>42.454999999999998</v>
      </c>
      <c r="D29" s="1012">
        <v>81.287999999999997</v>
      </c>
      <c r="E29" s="1012">
        <v>120.173</v>
      </c>
      <c r="F29" s="1012">
        <v>2502.7449999999999</v>
      </c>
      <c r="G29" s="1012">
        <v>8.6999999999999994E-2</v>
      </c>
      <c r="H29" s="1012">
        <v>224.54400000000001</v>
      </c>
      <c r="I29" s="1012">
        <v>472.78199999999998</v>
      </c>
      <c r="J29" s="1012">
        <v>1589.241</v>
      </c>
      <c r="K29" s="1012">
        <v>842.68600000000004</v>
      </c>
      <c r="L29" s="1012">
        <v>7.2709999999999999</v>
      </c>
      <c r="M29" s="1012">
        <v>3261.2890000000002</v>
      </c>
      <c r="N29" s="1012">
        <v>232.05799999999999</v>
      </c>
      <c r="O29" s="1012">
        <v>3.0000000000000001E-3</v>
      </c>
      <c r="P29" s="1012" t="s">
        <v>356</v>
      </c>
      <c r="Q29" s="1012">
        <v>1.2E-2</v>
      </c>
      <c r="R29" s="1012">
        <v>144.001</v>
      </c>
      <c r="S29" s="1012">
        <v>67.662999999999997</v>
      </c>
      <c r="T29" s="1012">
        <v>554.63099999999997</v>
      </c>
      <c r="U29" s="1012">
        <v>487.07799999999997</v>
      </c>
      <c r="V29" s="1012">
        <v>183.56200000000001</v>
      </c>
      <c r="W29" s="1012">
        <v>128.41800000000001</v>
      </c>
      <c r="X29" s="1013">
        <v>1369.413</v>
      </c>
      <c r="Y29" s="1012">
        <v>5.1999999999999998E-2</v>
      </c>
      <c r="Z29" s="1012">
        <v>18.061</v>
      </c>
      <c r="AA29" s="1012">
        <v>20.564</v>
      </c>
      <c r="AB29" s="1012">
        <v>178.34200000000001</v>
      </c>
      <c r="AC29" s="1012">
        <v>2540.38</v>
      </c>
      <c r="AD29" s="1002" t="s">
        <v>101</v>
      </c>
      <c r="AE29" s="168">
        <f t="shared" si="0"/>
        <v>15.710426999999999</v>
      </c>
      <c r="AF29" s="94" t="s">
        <v>101</v>
      </c>
      <c r="AG29" s="382">
        <v>39.110779000000008</v>
      </c>
      <c r="AH29" s="333" t="s">
        <v>92</v>
      </c>
      <c r="AI29" s="735"/>
      <c r="AJ29" s="440"/>
    </row>
    <row r="30" spans="1:36" ht="15" customHeight="1">
      <c r="A30" s="1002" t="s">
        <v>83</v>
      </c>
      <c r="B30" s="1006">
        <v>104.101</v>
      </c>
      <c r="C30" s="1006">
        <v>0.318</v>
      </c>
      <c r="D30" s="1006">
        <v>13.451000000000001</v>
      </c>
      <c r="E30" s="1006">
        <v>26.824000000000002</v>
      </c>
      <c r="F30" s="1006">
        <v>230.12200000000001</v>
      </c>
      <c r="G30" s="1006">
        <v>0.314</v>
      </c>
      <c r="H30" s="1006">
        <v>2.7E-2</v>
      </c>
      <c r="I30" s="1006">
        <v>50.884999999999998</v>
      </c>
      <c r="J30" s="1006">
        <v>6.0019999999999998</v>
      </c>
      <c r="K30" s="1006">
        <v>86.24</v>
      </c>
      <c r="L30" s="1006">
        <v>0.27200000000000002</v>
      </c>
      <c r="M30" s="1006">
        <v>3.88</v>
      </c>
      <c r="N30" s="1006">
        <v>4.6360000000000001</v>
      </c>
      <c r="O30" s="1006" t="s">
        <v>356</v>
      </c>
      <c r="P30" s="1005">
        <v>9.6000000000000002E-2</v>
      </c>
      <c r="Q30" s="1005">
        <v>0.14399999999999999</v>
      </c>
      <c r="R30" s="1006">
        <v>0.13800000000000001</v>
      </c>
      <c r="S30" s="1006">
        <v>4.6500000000000004</v>
      </c>
      <c r="T30" s="1006">
        <v>77.108999999999995</v>
      </c>
      <c r="U30" s="1006">
        <v>65.489999999999995</v>
      </c>
      <c r="V30" s="1006">
        <v>51.97</v>
      </c>
      <c r="W30" s="1006">
        <v>0.35899999999999999</v>
      </c>
      <c r="X30" s="1006">
        <v>0</v>
      </c>
      <c r="Y30" s="1013">
        <v>0</v>
      </c>
      <c r="Z30" s="1006">
        <v>0.215</v>
      </c>
      <c r="AA30" s="1006">
        <v>34.823</v>
      </c>
      <c r="AB30" s="1006">
        <v>0.219</v>
      </c>
      <c r="AC30" s="1006">
        <v>246.31399999999999</v>
      </c>
      <c r="AD30" s="1002" t="s">
        <v>83</v>
      </c>
      <c r="AE30" s="168">
        <f t="shared" si="0"/>
        <v>1.0085990000000002</v>
      </c>
      <c r="AF30" s="94" t="s">
        <v>269</v>
      </c>
      <c r="AG30" s="382">
        <v>15.710426999999999</v>
      </c>
      <c r="AH30" s="333" t="s">
        <v>101</v>
      </c>
      <c r="AI30" s="735"/>
      <c r="AJ30" s="440"/>
    </row>
    <row r="31" spans="1:36" ht="15" customHeight="1">
      <c r="A31" s="1002" t="s">
        <v>85</v>
      </c>
      <c r="B31" s="1012">
        <v>64.349000000000004</v>
      </c>
      <c r="C31" s="1012">
        <v>106.188</v>
      </c>
      <c r="D31" s="1012">
        <v>53.991999999999997</v>
      </c>
      <c r="E31" s="1012">
        <v>0.69599999999999995</v>
      </c>
      <c r="F31" s="1012">
        <v>82.003</v>
      </c>
      <c r="G31" s="1012">
        <v>1.6E-2</v>
      </c>
      <c r="H31" s="1012">
        <v>128.934</v>
      </c>
      <c r="I31" s="1012">
        <v>214.548</v>
      </c>
      <c r="J31" s="1012">
        <v>176.553</v>
      </c>
      <c r="K31" s="1012">
        <v>25.617000000000001</v>
      </c>
      <c r="L31" s="1012">
        <v>2.2919999999999998</v>
      </c>
      <c r="M31" s="1012">
        <v>232.595</v>
      </c>
      <c r="N31" s="1012">
        <v>15.263999999999999</v>
      </c>
      <c r="O31" s="1012">
        <v>8.6999999999999994E-2</v>
      </c>
      <c r="P31" s="1012">
        <v>0.15</v>
      </c>
      <c r="Q31" s="1012">
        <v>3.2000000000000001E-2</v>
      </c>
      <c r="R31" s="1012">
        <v>0.45700000000000002</v>
      </c>
      <c r="S31" s="1012">
        <v>3.0779999999999998</v>
      </c>
      <c r="T31" s="1012">
        <v>0.32600000000000001</v>
      </c>
      <c r="U31" s="1012">
        <v>51.932000000000002</v>
      </c>
      <c r="V31" s="1012">
        <v>54.305</v>
      </c>
      <c r="W31" s="1012">
        <v>1.9810000000000001</v>
      </c>
      <c r="X31" s="1012">
        <v>17.992999999999999</v>
      </c>
      <c r="Y31" s="1012">
        <v>0.14799999999999999</v>
      </c>
      <c r="Z31" s="1013">
        <v>24.202000000000002</v>
      </c>
      <c r="AA31" s="1012">
        <v>0.35599999999999998</v>
      </c>
      <c r="AB31" s="1012">
        <v>0.36699999999999999</v>
      </c>
      <c r="AC31" s="1012">
        <v>558.22400000000005</v>
      </c>
      <c r="AD31" s="1002" t="s">
        <v>85</v>
      </c>
      <c r="AE31" s="168">
        <f t="shared" si="0"/>
        <v>1.8166849999999999</v>
      </c>
      <c r="AF31" s="94" t="s">
        <v>85</v>
      </c>
      <c r="AG31" s="382">
        <v>31.337411999999997</v>
      </c>
      <c r="AH31" s="333" t="s">
        <v>88</v>
      </c>
      <c r="AI31" s="735"/>
      <c r="AJ31" s="440"/>
    </row>
    <row r="32" spans="1:36" ht="15" customHeight="1">
      <c r="A32" s="1002" t="s">
        <v>87</v>
      </c>
      <c r="B32" s="1006">
        <v>189.773</v>
      </c>
      <c r="C32" s="1006">
        <v>50.225999999999999</v>
      </c>
      <c r="D32" s="1006">
        <v>317.77499999999998</v>
      </c>
      <c r="E32" s="1006">
        <v>924.34699999999998</v>
      </c>
      <c r="F32" s="1006">
        <v>1899.41</v>
      </c>
      <c r="G32" s="1006">
        <v>283.63400000000001</v>
      </c>
      <c r="H32" s="1006">
        <v>111.197</v>
      </c>
      <c r="I32" s="1006">
        <v>465.23399999999998</v>
      </c>
      <c r="J32" s="1006">
        <v>1585.4690000000001</v>
      </c>
      <c r="K32" s="1006">
        <v>639.18299999999999</v>
      </c>
      <c r="L32" s="1006">
        <v>200.233</v>
      </c>
      <c r="M32" s="1006">
        <v>532.46600000000001</v>
      </c>
      <c r="N32" s="1006">
        <v>33.277000000000001</v>
      </c>
      <c r="O32" s="1006">
        <v>340.315</v>
      </c>
      <c r="P32" s="1006">
        <v>100.42</v>
      </c>
      <c r="Q32" s="1006">
        <v>1.091</v>
      </c>
      <c r="R32" s="1006">
        <v>249.95400000000001</v>
      </c>
      <c r="S32" s="1006">
        <v>32.408999999999999</v>
      </c>
      <c r="T32" s="1006">
        <v>696.38599999999997</v>
      </c>
      <c r="U32" s="1006">
        <v>205.87700000000001</v>
      </c>
      <c r="V32" s="1006">
        <v>297.791</v>
      </c>
      <c r="W32" s="1006">
        <v>125.21299999999999</v>
      </c>
      <c r="X32" s="1006">
        <v>21.501000000000001</v>
      </c>
      <c r="Y32" s="1006">
        <v>34.822000000000003</v>
      </c>
      <c r="Z32" s="1006">
        <v>1.002</v>
      </c>
      <c r="AA32" s="1013">
        <v>2758.6660000000002</v>
      </c>
      <c r="AB32" s="1006">
        <v>1845.6379999999999</v>
      </c>
      <c r="AC32" s="1006">
        <v>1293.04</v>
      </c>
      <c r="AD32" s="1002" t="s">
        <v>87</v>
      </c>
      <c r="AE32" s="168">
        <f t="shared" si="0"/>
        <v>15.236349000000002</v>
      </c>
      <c r="AF32" s="94" t="s">
        <v>87</v>
      </c>
      <c r="AG32" s="382">
        <v>1.8166849999999999</v>
      </c>
      <c r="AH32" s="333" t="s">
        <v>85</v>
      </c>
      <c r="AI32" s="735"/>
      <c r="AJ32" s="440"/>
    </row>
    <row r="33" spans="1:36" ht="15" customHeight="1">
      <c r="A33" s="1002" t="s">
        <v>88</v>
      </c>
      <c r="B33" s="1012">
        <v>559.56500000000005</v>
      </c>
      <c r="C33" s="1012">
        <v>83.638000000000005</v>
      </c>
      <c r="D33" s="1012">
        <v>278.81400000000002</v>
      </c>
      <c r="E33" s="1012">
        <v>1905.8</v>
      </c>
      <c r="F33" s="1012">
        <v>3323.7240000000002</v>
      </c>
      <c r="G33" s="1012">
        <v>203.43700000000001</v>
      </c>
      <c r="H33" s="1012">
        <v>151.42500000000001</v>
      </c>
      <c r="I33" s="1012">
        <v>1262.6479999999999</v>
      </c>
      <c r="J33" s="1012">
        <v>3855.3449999999998</v>
      </c>
      <c r="K33" s="1012">
        <v>1151.4480000000001</v>
      </c>
      <c r="L33" s="1012">
        <v>386.18900000000002</v>
      </c>
      <c r="M33" s="1012">
        <v>973.65700000000004</v>
      </c>
      <c r="N33" s="1012">
        <v>239.1</v>
      </c>
      <c r="O33" s="1012">
        <v>266.36799999999999</v>
      </c>
      <c r="P33" s="1012">
        <v>175.76300000000001</v>
      </c>
      <c r="Q33" s="1012">
        <v>33.848999999999997</v>
      </c>
      <c r="R33" s="1012">
        <v>377.517</v>
      </c>
      <c r="S33" s="1012">
        <v>90.597999999999999</v>
      </c>
      <c r="T33" s="1012">
        <v>1417.413</v>
      </c>
      <c r="U33" s="1012">
        <v>333.709</v>
      </c>
      <c r="V33" s="1012">
        <v>1331.636</v>
      </c>
      <c r="W33" s="1012">
        <v>243.334</v>
      </c>
      <c r="X33" s="1012">
        <v>178.48699999999999</v>
      </c>
      <c r="Y33" s="1012">
        <v>0.22700000000000001</v>
      </c>
      <c r="Z33" s="1012">
        <v>0.33300000000000002</v>
      </c>
      <c r="AA33" s="1012">
        <v>1843.348</v>
      </c>
      <c r="AB33" s="1013">
        <v>7859.37</v>
      </c>
      <c r="AC33" s="1012">
        <v>2810.67</v>
      </c>
      <c r="AD33" s="1002" t="s">
        <v>88</v>
      </c>
      <c r="AE33" s="168">
        <f t="shared" si="0"/>
        <v>31.337411999999997</v>
      </c>
      <c r="AF33" s="94" t="s">
        <v>88</v>
      </c>
      <c r="AG33" s="382">
        <v>1.0085990000000002</v>
      </c>
      <c r="AH33" s="333" t="s">
        <v>269</v>
      </c>
      <c r="AI33" s="735"/>
      <c r="AJ33" s="440"/>
    </row>
    <row r="34" spans="1:36" ht="15" customHeight="1">
      <c r="A34" s="1015" t="s">
        <v>13</v>
      </c>
      <c r="B34" s="1016">
        <v>1581.653</v>
      </c>
      <c r="C34" s="1017">
        <v>1814.7760000000001</v>
      </c>
      <c r="D34" s="1017">
        <v>2050.2040000000002</v>
      </c>
      <c r="E34" s="1017">
        <v>3593.556</v>
      </c>
      <c r="F34" s="1017">
        <v>14612.778</v>
      </c>
      <c r="G34" s="1017">
        <v>133.13499999999999</v>
      </c>
      <c r="H34" s="1017">
        <v>12795.334000000001</v>
      </c>
      <c r="I34" s="1017">
        <v>7179.152</v>
      </c>
      <c r="J34" s="1017">
        <v>45193.497000000003</v>
      </c>
      <c r="K34" s="1017">
        <v>13484.215</v>
      </c>
      <c r="L34" s="1017">
        <v>1614.2439999999999</v>
      </c>
      <c r="M34" s="1017">
        <v>15076.494000000001</v>
      </c>
      <c r="N34" s="1017">
        <v>3017.9270000000001</v>
      </c>
      <c r="O34" s="1017">
        <v>841.43</v>
      </c>
      <c r="P34" s="1017">
        <v>1042.8879999999999</v>
      </c>
      <c r="Q34" s="1017">
        <v>550.928</v>
      </c>
      <c r="R34" s="1017">
        <v>2155.2269999999999</v>
      </c>
      <c r="S34" s="1017">
        <v>1481.296</v>
      </c>
      <c r="T34" s="1017">
        <v>10699.674000000001</v>
      </c>
      <c r="U34" s="1017">
        <v>2222.1</v>
      </c>
      <c r="V34" s="1017">
        <v>7822.3670000000002</v>
      </c>
      <c r="W34" s="1017">
        <v>8378.6350000000002</v>
      </c>
      <c r="X34" s="1017">
        <v>2855.2510000000002</v>
      </c>
      <c r="Y34" s="1017">
        <v>247.43799999999999</v>
      </c>
      <c r="Z34" s="1017">
        <v>620.09299999999996</v>
      </c>
      <c r="AA34" s="1017">
        <v>1291.9860000000001</v>
      </c>
      <c r="AB34" s="1017">
        <v>2835.0639999999999</v>
      </c>
      <c r="AC34" s="1018">
        <v>23417.196</v>
      </c>
      <c r="AD34" s="1015" t="s">
        <v>13</v>
      </c>
      <c r="AE34" s="168">
        <f t="shared" si="0"/>
        <v>188.60853800000004</v>
      </c>
      <c r="AF34" s="94" t="s">
        <v>13</v>
      </c>
      <c r="AG34" s="382">
        <v>188.60853800000004</v>
      </c>
      <c r="AH34" s="333" t="s">
        <v>13</v>
      </c>
      <c r="AI34" s="735"/>
      <c r="AJ34" s="440"/>
    </row>
    <row r="35" spans="1:36" ht="8.25" customHeight="1"/>
    <row r="36" spans="1:36">
      <c r="A36" s="270" t="s">
        <v>242</v>
      </c>
      <c r="AG36" s="382">
        <f>AG4</f>
        <v>1113.5629459999998</v>
      </c>
    </row>
    <row r="37" spans="1:36" ht="11.25" customHeight="1">
      <c r="A37" s="267" t="s">
        <v>243</v>
      </c>
      <c r="B37" s="190" t="s">
        <v>244</v>
      </c>
      <c r="AG37" s="382">
        <f>AG5</f>
        <v>1003.6864029999999</v>
      </c>
    </row>
  </sheetData>
  <mergeCells count="3">
    <mergeCell ref="A2:AD2"/>
    <mergeCell ref="A3:AD3"/>
    <mergeCell ref="A4:AD4"/>
  </mergeCells>
  <printOptions horizontalCentered="1" verticalCentered="1"/>
  <pageMargins left="0.47244094488188981" right="0.47244094488188981" top="0.39370078740157483" bottom="0.39370078740157483" header="0" footer="0"/>
  <pageSetup paperSize="9" scale="4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Z51"/>
  <sheetViews>
    <sheetView zoomScaleNormal="100" workbookViewId="0">
      <selection activeCell="AL9" sqref="AL9:AL36"/>
    </sheetView>
  </sheetViews>
  <sheetFormatPr defaultRowHeight="11.25"/>
  <cols>
    <col min="1" max="1" width="2.7109375" style="190" customWidth="1"/>
    <col min="2" max="2" width="3.85546875" style="190" customWidth="1"/>
    <col min="3" max="4" width="6.7109375" style="190" hidden="1" customWidth="1"/>
    <col min="5" max="5" width="6.140625" style="190" hidden="1" customWidth="1"/>
    <col min="6" max="9" width="6.28515625" style="190" hidden="1" customWidth="1"/>
    <col min="10" max="13" width="6.140625" style="190" hidden="1" customWidth="1"/>
    <col min="14" max="14" width="6.5703125" style="190" hidden="1" customWidth="1"/>
    <col min="15" max="20" width="6.140625" style="190" hidden="1" customWidth="1"/>
    <col min="21" max="22" width="6.140625" style="190" customWidth="1"/>
    <col min="23" max="31" width="6.42578125" style="190" customWidth="1"/>
    <col min="32" max="32" width="7.42578125" style="190" customWidth="1"/>
    <col min="33" max="16384" width="9.140625" style="190"/>
  </cols>
  <sheetData>
    <row r="1" spans="1:38" ht="14.25" customHeight="1">
      <c r="B1" s="1153"/>
      <c r="C1" s="1153"/>
      <c r="D1" s="437"/>
      <c r="E1" s="337"/>
      <c r="F1" s="337"/>
      <c r="G1" s="337"/>
      <c r="H1" s="337"/>
      <c r="I1" s="337"/>
      <c r="J1" s="337"/>
      <c r="K1" s="337"/>
      <c r="L1" s="337"/>
      <c r="M1" s="337"/>
      <c r="N1" s="337"/>
      <c r="O1" s="337"/>
      <c r="P1" s="337"/>
      <c r="AG1" s="191" t="s">
        <v>126</v>
      </c>
    </row>
    <row r="2" spans="1:38" ht="30" customHeight="1">
      <c r="B2" s="1135" t="s">
        <v>180</v>
      </c>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row>
    <row r="3" spans="1:38" ht="15" customHeight="1">
      <c r="B3" s="1155" t="s">
        <v>181</v>
      </c>
      <c r="C3" s="1155"/>
      <c r="D3" s="1155"/>
      <c r="E3" s="1155"/>
      <c r="F3" s="1155"/>
      <c r="G3" s="1155"/>
      <c r="H3" s="1155"/>
      <c r="I3" s="1155"/>
      <c r="J3" s="1155"/>
      <c r="K3" s="1155"/>
      <c r="L3" s="1155"/>
      <c r="M3" s="1155"/>
      <c r="N3" s="1155"/>
      <c r="O3" s="1155"/>
      <c r="P3" s="1155"/>
      <c r="Q3" s="1155"/>
      <c r="R3" s="1155"/>
      <c r="S3" s="1155"/>
      <c r="T3" s="1155"/>
      <c r="U3" s="1155"/>
      <c r="V3" s="1155"/>
      <c r="W3" s="1155"/>
      <c r="X3" s="1155"/>
      <c r="Y3" s="1155"/>
      <c r="Z3" s="1155"/>
      <c r="AA3" s="1155"/>
      <c r="AB3" s="1155"/>
      <c r="AC3" s="1155"/>
      <c r="AD3" s="1155"/>
      <c r="AE3" s="1155"/>
      <c r="AF3" s="1155"/>
      <c r="AG3" s="1155"/>
    </row>
    <row r="4" spans="1:38" ht="12.75">
      <c r="B4" s="202"/>
      <c r="C4" s="202"/>
      <c r="E4" s="265"/>
      <c r="F4" s="265"/>
      <c r="G4" s="265"/>
      <c r="H4" s="265"/>
      <c r="I4" s="265"/>
      <c r="J4" s="435"/>
      <c r="K4" s="435"/>
      <c r="L4" s="435"/>
      <c r="M4" s="435"/>
      <c r="N4" s="435"/>
      <c r="O4" s="435"/>
      <c r="V4" s="434" t="s">
        <v>21</v>
      </c>
      <c r="W4" s="433"/>
      <c r="X4" s="433"/>
      <c r="Y4" s="433"/>
      <c r="Z4" s="433"/>
      <c r="AA4" s="433"/>
      <c r="AB4" s="433"/>
      <c r="AC4" s="433"/>
      <c r="AD4" s="433"/>
      <c r="AE4" s="433"/>
      <c r="AF4" s="433"/>
      <c r="AG4" s="433"/>
    </row>
    <row r="5" spans="1:38" ht="24.95" customHeight="1">
      <c r="B5" s="203"/>
      <c r="C5" s="432">
        <v>1970</v>
      </c>
      <c r="D5" s="431">
        <v>1980</v>
      </c>
      <c r="E5" s="431">
        <v>1990</v>
      </c>
      <c r="F5" s="431">
        <v>1991</v>
      </c>
      <c r="G5" s="431">
        <v>1992</v>
      </c>
      <c r="H5" s="431">
        <v>1993</v>
      </c>
      <c r="I5" s="431">
        <v>1994</v>
      </c>
      <c r="J5" s="431">
        <v>1995</v>
      </c>
      <c r="K5" s="431">
        <v>1996</v>
      </c>
      <c r="L5" s="431">
        <v>1997</v>
      </c>
      <c r="M5" s="431">
        <v>1998</v>
      </c>
      <c r="N5" s="431">
        <v>1999</v>
      </c>
      <c r="O5" s="431">
        <v>2000</v>
      </c>
      <c r="P5" s="431">
        <v>2001</v>
      </c>
      <c r="Q5" s="431">
        <v>2002</v>
      </c>
      <c r="R5" s="431">
        <v>2003</v>
      </c>
      <c r="S5" s="431">
        <v>2004</v>
      </c>
      <c r="T5" s="431">
        <v>2005</v>
      </c>
      <c r="U5" s="431">
        <v>2006</v>
      </c>
      <c r="V5" s="431">
        <v>2007</v>
      </c>
      <c r="W5" s="431">
        <v>2008</v>
      </c>
      <c r="X5" s="431">
        <v>2009</v>
      </c>
      <c r="Y5" s="431">
        <v>2010</v>
      </c>
      <c r="Z5" s="431">
        <v>2011</v>
      </c>
      <c r="AA5" s="431">
        <v>2012</v>
      </c>
      <c r="AB5" s="431">
        <v>2013</v>
      </c>
      <c r="AC5" s="430">
        <v>2014</v>
      </c>
      <c r="AD5" s="429">
        <v>2015</v>
      </c>
      <c r="AE5" s="430">
        <v>2016</v>
      </c>
      <c r="AF5" s="430">
        <v>2017</v>
      </c>
      <c r="AG5" s="272"/>
    </row>
    <row r="6" spans="1:38" ht="12.75" customHeight="1">
      <c r="B6" s="208" t="s">
        <v>237</v>
      </c>
      <c r="C6" s="428"/>
      <c r="D6" s="427"/>
      <c r="E6" s="427">
        <v>42206.6</v>
      </c>
      <c r="F6" s="427">
        <v>43243</v>
      </c>
      <c r="G6" s="427">
        <v>45360</v>
      </c>
      <c r="H6" s="427">
        <v>46236</v>
      </c>
      <c r="I6" s="427">
        <v>46916</v>
      </c>
      <c r="J6" s="426">
        <v>48297</v>
      </c>
      <c r="K6" s="426">
        <v>49444</v>
      </c>
      <c r="L6" s="426">
        <v>50768.9</v>
      </c>
      <c r="M6" s="426">
        <v>52655.1</v>
      </c>
      <c r="N6" s="426">
        <v>54296.1</v>
      </c>
      <c r="O6" s="426">
        <v>55116.1</v>
      </c>
      <c r="P6" s="426">
        <v>56826.7</v>
      </c>
      <c r="Q6" s="426">
        <v>58118</v>
      </c>
      <c r="R6" s="426">
        <v>59577.5</v>
      </c>
      <c r="S6" s="426">
        <v>61225.99</v>
      </c>
      <c r="T6" s="426">
        <v>63139.94</v>
      </c>
      <c r="U6" s="426">
        <v>64718.44</v>
      </c>
      <c r="V6" s="426">
        <v>66274.8</v>
      </c>
      <c r="W6" s="426">
        <v>67815.399999999994</v>
      </c>
      <c r="X6" s="426">
        <v>69964</v>
      </c>
      <c r="Y6" s="426">
        <v>71135.5</v>
      </c>
      <c r="Z6" s="426">
        <v>71850.92</v>
      </c>
      <c r="AA6" s="426">
        <v>73054.51999999999</v>
      </c>
      <c r="AB6" s="426">
        <v>74321.799999999988</v>
      </c>
      <c r="AC6" s="426">
        <v>74849.599999999991</v>
      </c>
      <c r="AD6" s="425">
        <v>75820.3</v>
      </c>
      <c r="AE6" s="425">
        <v>76822.650999999983</v>
      </c>
      <c r="AF6" s="425">
        <f>SUM(AF9:AF36)</f>
        <v>77396.400000000009</v>
      </c>
      <c r="AG6" s="312" t="s">
        <v>237</v>
      </c>
    </row>
    <row r="7" spans="1:38" ht="12.75" customHeight="1">
      <c r="B7" s="213" t="s">
        <v>89</v>
      </c>
      <c r="C7" s="424">
        <v>16051</v>
      </c>
      <c r="D7" s="423">
        <v>30454</v>
      </c>
      <c r="E7" s="423">
        <v>39646.6</v>
      </c>
      <c r="F7" s="423">
        <v>40695</v>
      </c>
      <c r="G7" s="423">
        <v>42776</v>
      </c>
      <c r="H7" s="423">
        <v>43579</v>
      </c>
      <c r="I7" s="423">
        <v>44203</v>
      </c>
      <c r="J7" s="422">
        <v>45493</v>
      </c>
      <c r="K7" s="422">
        <v>46529</v>
      </c>
      <c r="L7" s="422">
        <v>47658.9</v>
      </c>
      <c r="M7" s="422">
        <v>49327.1</v>
      </c>
      <c r="N7" s="422">
        <v>50809.1</v>
      </c>
      <c r="O7" s="422">
        <v>51476.1</v>
      </c>
      <c r="P7" s="422">
        <v>53099.7</v>
      </c>
      <c r="Q7" s="422">
        <v>54061</v>
      </c>
      <c r="R7" s="422">
        <v>55274.5</v>
      </c>
      <c r="S7" s="422">
        <v>56302.99</v>
      </c>
      <c r="T7" s="422">
        <v>57900.94</v>
      </c>
      <c r="U7" s="422">
        <v>59070.94</v>
      </c>
      <c r="V7" s="422">
        <v>60429.3</v>
      </c>
      <c r="W7" s="422">
        <v>61437.4</v>
      </c>
      <c r="X7" s="422">
        <v>63326</v>
      </c>
      <c r="Y7" s="422">
        <v>64186.799999999996</v>
      </c>
      <c r="Z7" s="422">
        <v>64589.719999999994</v>
      </c>
      <c r="AA7" s="422">
        <v>65200.219999999994</v>
      </c>
      <c r="AB7" s="422">
        <v>65863.099999999991</v>
      </c>
      <c r="AC7" s="422">
        <v>66256.099999999991</v>
      </c>
      <c r="AD7" s="421">
        <v>66846.3</v>
      </c>
      <c r="AE7" s="421">
        <f>AE9+AE10+AE15+AE19+AE20+AE14+AE17+AE23+AE24+AE26+AE29+AE31+AE18+AE33+AE36</f>
        <v>67271.793999999994</v>
      </c>
      <c r="AF7" s="1019">
        <f>AF9+AF10+AF15+AF19+AF20+AF14+AF17+AF23+AF24+AF26+AF29+AF31+AF18+AF33+AF36</f>
        <v>67772.5</v>
      </c>
      <c r="AG7" s="874" t="s">
        <v>89</v>
      </c>
    </row>
    <row r="8" spans="1:38" ht="12.75" customHeight="1">
      <c r="B8" s="217" t="s">
        <v>238</v>
      </c>
      <c r="C8" s="420"/>
      <c r="D8" s="419"/>
      <c r="E8" s="419">
        <v>2560</v>
      </c>
      <c r="F8" s="419">
        <v>2548</v>
      </c>
      <c r="G8" s="419">
        <v>2584</v>
      </c>
      <c r="H8" s="419">
        <v>2657</v>
      </c>
      <c r="I8" s="419">
        <v>2713</v>
      </c>
      <c r="J8" s="419">
        <v>2804</v>
      </c>
      <c r="K8" s="419">
        <v>2915</v>
      </c>
      <c r="L8" s="419">
        <v>3110</v>
      </c>
      <c r="M8" s="419">
        <v>3328</v>
      </c>
      <c r="N8" s="419">
        <v>3487</v>
      </c>
      <c r="O8" s="419">
        <v>3640</v>
      </c>
      <c r="P8" s="419">
        <v>3727</v>
      </c>
      <c r="Q8" s="419">
        <v>4057</v>
      </c>
      <c r="R8" s="419">
        <v>4303</v>
      </c>
      <c r="S8" s="419">
        <v>4923</v>
      </c>
      <c r="T8" s="419">
        <v>5239</v>
      </c>
      <c r="U8" s="419">
        <v>5647.5</v>
      </c>
      <c r="V8" s="419">
        <v>5845.5</v>
      </c>
      <c r="W8" s="419">
        <v>6377.9999999999927</v>
      </c>
      <c r="X8" s="419">
        <v>6638</v>
      </c>
      <c r="Y8" s="419">
        <v>6948.7000000000044</v>
      </c>
      <c r="Z8" s="419">
        <v>7261.2000000000044</v>
      </c>
      <c r="AA8" s="419">
        <v>7854.2999999999956</v>
      </c>
      <c r="AB8" s="419">
        <v>8458.6999999999971</v>
      </c>
      <c r="AC8" s="419">
        <v>8593.5</v>
      </c>
      <c r="AD8" s="418">
        <v>8974</v>
      </c>
      <c r="AE8" s="418"/>
      <c r="AF8" s="418"/>
      <c r="AG8" s="385" t="s">
        <v>238</v>
      </c>
    </row>
    <row r="9" spans="1:38" ht="12.75" customHeight="1">
      <c r="A9" s="212"/>
      <c r="B9" s="213" t="s">
        <v>81</v>
      </c>
      <c r="C9" s="407">
        <v>478</v>
      </c>
      <c r="D9" s="396">
        <v>938</v>
      </c>
      <c r="E9" s="396">
        <v>1445</v>
      </c>
      <c r="F9" s="396">
        <v>1450</v>
      </c>
      <c r="G9" s="396">
        <v>1554</v>
      </c>
      <c r="H9" s="396">
        <v>1557</v>
      </c>
      <c r="I9" s="396">
        <v>1559</v>
      </c>
      <c r="J9" s="396">
        <v>1596</v>
      </c>
      <c r="K9" s="396">
        <v>1607</v>
      </c>
      <c r="L9" s="396">
        <v>1613</v>
      </c>
      <c r="M9" s="396">
        <v>1613</v>
      </c>
      <c r="N9" s="396">
        <v>1634</v>
      </c>
      <c r="O9" s="396">
        <v>1633</v>
      </c>
      <c r="P9" s="396">
        <v>1645</v>
      </c>
      <c r="Q9" s="396">
        <v>1645</v>
      </c>
      <c r="R9" s="396">
        <v>1670</v>
      </c>
      <c r="S9" s="396">
        <v>1677</v>
      </c>
      <c r="T9" s="397">
        <v>1677</v>
      </c>
      <c r="U9" s="396">
        <v>1678</v>
      </c>
      <c r="V9" s="396">
        <v>1696</v>
      </c>
      <c r="W9" s="438">
        <v>1696</v>
      </c>
      <c r="X9" s="396">
        <v>1696</v>
      </c>
      <c r="Y9" s="396">
        <v>1719</v>
      </c>
      <c r="Z9" s="396">
        <v>1719</v>
      </c>
      <c r="AA9" s="396">
        <v>1719</v>
      </c>
      <c r="AB9" s="396">
        <v>1719</v>
      </c>
      <c r="AC9" s="438">
        <v>1719</v>
      </c>
      <c r="AD9" s="406">
        <v>1719</v>
      </c>
      <c r="AE9" s="406">
        <v>1743.4639999999999</v>
      </c>
      <c r="AF9" s="406">
        <v>1743</v>
      </c>
      <c r="AG9" s="314" t="s">
        <v>81</v>
      </c>
      <c r="AH9" s="383"/>
      <c r="AI9" s="383"/>
      <c r="AJ9" s="190">
        <v>1743</v>
      </c>
      <c r="AK9" s="190" t="s">
        <v>81</v>
      </c>
      <c r="AL9" s="383"/>
    </row>
    <row r="10" spans="1:38" ht="12.75" customHeight="1">
      <c r="A10" s="212"/>
      <c r="B10" s="221" t="s">
        <v>60</v>
      </c>
      <c r="C10" s="393">
        <v>488</v>
      </c>
      <c r="D10" s="391">
        <v>1203</v>
      </c>
      <c r="E10" s="391">
        <v>1666</v>
      </c>
      <c r="F10" s="391">
        <v>1650</v>
      </c>
      <c r="G10" s="391">
        <v>1658</v>
      </c>
      <c r="H10" s="391">
        <v>1665</v>
      </c>
      <c r="I10" s="391">
        <v>1666</v>
      </c>
      <c r="J10" s="391">
        <v>1666</v>
      </c>
      <c r="K10" s="391">
        <v>1674</v>
      </c>
      <c r="L10" s="391">
        <v>1678.9</v>
      </c>
      <c r="M10" s="391">
        <v>1682.1</v>
      </c>
      <c r="N10" s="391">
        <v>1691.1</v>
      </c>
      <c r="O10" s="391">
        <v>1702.1</v>
      </c>
      <c r="P10" s="391">
        <v>1726.7</v>
      </c>
      <c r="Q10" s="391">
        <v>1729</v>
      </c>
      <c r="R10" s="391">
        <v>1729</v>
      </c>
      <c r="S10" s="391">
        <v>1747</v>
      </c>
      <c r="T10" s="392">
        <v>1747</v>
      </c>
      <c r="U10" s="391">
        <v>1763</v>
      </c>
      <c r="V10" s="391">
        <v>1763</v>
      </c>
      <c r="W10" s="391">
        <v>1763</v>
      </c>
      <c r="X10" s="391">
        <v>1763</v>
      </c>
      <c r="Y10" s="391">
        <v>1763</v>
      </c>
      <c r="Z10" s="390">
        <v>1763</v>
      </c>
      <c r="AA10" s="390">
        <v>1763</v>
      </c>
      <c r="AB10" s="390">
        <v>1763</v>
      </c>
      <c r="AC10" s="390">
        <v>1763</v>
      </c>
      <c r="AD10" s="410">
        <v>1763</v>
      </c>
      <c r="AE10" s="410">
        <v>1763</v>
      </c>
      <c r="AF10" s="410">
        <v>1763</v>
      </c>
      <c r="AG10" s="408" t="s">
        <v>60</v>
      </c>
      <c r="AH10" s="383"/>
      <c r="AI10" s="383"/>
      <c r="AJ10" s="190">
        <v>1763</v>
      </c>
      <c r="AK10" s="190" t="s">
        <v>60</v>
      </c>
      <c r="AL10" s="383"/>
    </row>
    <row r="11" spans="1:38" ht="12.75" customHeight="1">
      <c r="A11" s="212"/>
      <c r="B11" s="213" t="s">
        <v>100</v>
      </c>
      <c r="C11" s="407"/>
      <c r="D11" s="396"/>
      <c r="E11" s="396">
        <v>273</v>
      </c>
      <c r="F11" s="395">
        <v>273</v>
      </c>
      <c r="G11" s="395">
        <v>273</v>
      </c>
      <c r="H11" s="396">
        <v>276</v>
      </c>
      <c r="I11" s="396">
        <v>276</v>
      </c>
      <c r="J11" s="396">
        <v>277</v>
      </c>
      <c r="K11" s="396">
        <v>277</v>
      </c>
      <c r="L11" s="396">
        <v>314</v>
      </c>
      <c r="M11" s="396">
        <v>314</v>
      </c>
      <c r="N11" s="396">
        <v>314</v>
      </c>
      <c r="O11" s="396">
        <v>319</v>
      </c>
      <c r="P11" s="396">
        <v>324</v>
      </c>
      <c r="Q11" s="396">
        <v>324</v>
      </c>
      <c r="R11" s="396">
        <v>328</v>
      </c>
      <c r="S11" s="396">
        <v>331</v>
      </c>
      <c r="T11" s="397">
        <v>331</v>
      </c>
      <c r="U11" s="396">
        <v>394</v>
      </c>
      <c r="V11" s="396">
        <v>418</v>
      </c>
      <c r="W11" s="396">
        <v>418</v>
      </c>
      <c r="X11" s="396">
        <v>418</v>
      </c>
      <c r="Y11" s="396">
        <v>437</v>
      </c>
      <c r="Z11" s="396">
        <v>458</v>
      </c>
      <c r="AA11" s="396">
        <v>541</v>
      </c>
      <c r="AB11" s="396">
        <v>605</v>
      </c>
      <c r="AC11" s="396">
        <v>610</v>
      </c>
      <c r="AD11" s="406">
        <v>734</v>
      </c>
      <c r="AE11" s="406">
        <v>740</v>
      </c>
      <c r="AF11" s="406">
        <v>734</v>
      </c>
      <c r="AG11" s="314" t="s">
        <v>100</v>
      </c>
      <c r="AH11" s="383"/>
      <c r="AI11" s="383"/>
      <c r="AJ11" s="190">
        <v>734</v>
      </c>
      <c r="AK11" s="190" t="s">
        <v>100</v>
      </c>
      <c r="AL11" s="383"/>
    </row>
    <row r="12" spans="1:38" ht="12.75" customHeight="1">
      <c r="A12" s="212"/>
      <c r="B12" s="221" t="s">
        <v>71</v>
      </c>
      <c r="C12" s="393"/>
      <c r="D12" s="391"/>
      <c r="E12" s="391">
        <v>120</v>
      </c>
      <c r="F12" s="390">
        <v>120</v>
      </c>
      <c r="G12" s="390">
        <v>120</v>
      </c>
      <c r="H12" s="391">
        <v>154</v>
      </c>
      <c r="I12" s="391">
        <v>159</v>
      </c>
      <c r="J12" s="391">
        <v>167</v>
      </c>
      <c r="K12" s="391">
        <v>167</v>
      </c>
      <c r="L12" s="391">
        <v>194</v>
      </c>
      <c r="M12" s="391">
        <v>204</v>
      </c>
      <c r="N12" s="391">
        <v>216</v>
      </c>
      <c r="O12" s="391">
        <v>257</v>
      </c>
      <c r="P12" s="391">
        <v>257</v>
      </c>
      <c r="Q12" s="391">
        <v>268</v>
      </c>
      <c r="R12" s="391">
        <v>268</v>
      </c>
      <c r="S12" s="391">
        <v>268</v>
      </c>
      <c r="T12" s="392">
        <v>276</v>
      </c>
      <c r="U12" s="391">
        <v>257</v>
      </c>
      <c r="V12" s="391">
        <v>257</v>
      </c>
      <c r="W12" s="391">
        <v>257</v>
      </c>
      <c r="X12" s="391">
        <v>257</v>
      </c>
      <c r="Y12" s="391">
        <v>257</v>
      </c>
      <c r="Z12" s="391">
        <v>257</v>
      </c>
      <c r="AA12" s="391">
        <v>257</v>
      </c>
      <c r="AB12" s="391">
        <v>257</v>
      </c>
      <c r="AC12" s="391">
        <v>257</v>
      </c>
      <c r="AD12" s="409">
        <v>272</v>
      </c>
      <c r="AE12" s="409">
        <v>272</v>
      </c>
      <c r="AF12" s="409">
        <v>257</v>
      </c>
      <c r="AG12" s="408" t="s">
        <v>71</v>
      </c>
      <c r="AH12" s="383"/>
      <c r="AI12" s="383"/>
      <c r="AJ12" s="190">
        <v>257</v>
      </c>
      <c r="AK12" s="190" t="s">
        <v>71</v>
      </c>
      <c r="AL12" s="383"/>
    </row>
    <row r="13" spans="1:38" ht="12.75" customHeight="1">
      <c r="A13" s="212"/>
      <c r="B13" s="221" t="s">
        <v>61</v>
      </c>
      <c r="C13" s="414"/>
      <c r="D13" s="413"/>
      <c r="E13" s="391">
        <v>357</v>
      </c>
      <c r="F13" s="391">
        <v>362</v>
      </c>
      <c r="G13" s="391">
        <v>366</v>
      </c>
      <c r="H13" s="391">
        <v>390</v>
      </c>
      <c r="I13" s="391">
        <v>392</v>
      </c>
      <c r="J13" s="391">
        <v>414</v>
      </c>
      <c r="K13" s="391">
        <v>423</v>
      </c>
      <c r="L13" s="391">
        <v>486</v>
      </c>
      <c r="M13" s="391">
        <v>499</v>
      </c>
      <c r="N13" s="391">
        <v>499</v>
      </c>
      <c r="O13" s="391">
        <v>501</v>
      </c>
      <c r="P13" s="391">
        <v>517</v>
      </c>
      <c r="Q13" s="391">
        <v>518</v>
      </c>
      <c r="R13" s="391">
        <v>518</v>
      </c>
      <c r="S13" s="391">
        <v>546</v>
      </c>
      <c r="T13" s="392">
        <v>564</v>
      </c>
      <c r="U13" s="391">
        <v>633</v>
      </c>
      <c r="V13" s="391">
        <v>657</v>
      </c>
      <c r="W13" s="391">
        <v>691</v>
      </c>
      <c r="X13" s="391">
        <v>729</v>
      </c>
      <c r="Y13" s="391">
        <v>734</v>
      </c>
      <c r="Z13" s="391">
        <v>745</v>
      </c>
      <c r="AA13" s="391">
        <v>751</v>
      </c>
      <c r="AB13" s="391">
        <v>775.8</v>
      </c>
      <c r="AC13" s="391">
        <v>776</v>
      </c>
      <c r="AD13" s="409">
        <v>776</v>
      </c>
      <c r="AE13" s="409">
        <v>1222.7</v>
      </c>
      <c r="AF13" s="409">
        <v>1240</v>
      </c>
      <c r="AG13" s="408" t="s">
        <v>61</v>
      </c>
      <c r="AH13" s="383"/>
      <c r="AI13" s="383"/>
      <c r="AJ13" s="190">
        <v>1240</v>
      </c>
      <c r="AK13" s="190" t="s">
        <v>61</v>
      </c>
      <c r="AL13" s="383"/>
    </row>
    <row r="14" spans="1:38" ht="12.75" customHeight="1">
      <c r="A14" s="212"/>
      <c r="B14" s="221" t="s">
        <v>63</v>
      </c>
      <c r="C14" s="393">
        <v>6061</v>
      </c>
      <c r="D14" s="391">
        <v>9225</v>
      </c>
      <c r="E14" s="391">
        <v>10854</v>
      </c>
      <c r="F14" s="391">
        <v>10955</v>
      </c>
      <c r="G14" s="391">
        <v>11013</v>
      </c>
      <c r="H14" s="391">
        <v>11080</v>
      </c>
      <c r="I14" s="391">
        <v>11143</v>
      </c>
      <c r="J14" s="391">
        <v>11190</v>
      </c>
      <c r="K14" s="391">
        <v>11246</v>
      </c>
      <c r="L14" s="391">
        <v>11309</v>
      </c>
      <c r="M14" s="391">
        <v>11427</v>
      </c>
      <c r="N14" s="391">
        <v>11515</v>
      </c>
      <c r="O14" s="391">
        <v>11712</v>
      </c>
      <c r="P14" s="391">
        <v>11786</v>
      </c>
      <c r="Q14" s="391">
        <v>12037</v>
      </c>
      <c r="R14" s="391">
        <v>12044</v>
      </c>
      <c r="S14" s="391">
        <v>12174</v>
      </c>
      <c r="T14" s="392">
        <v>12363</v>
      </c>
      <c r="U14" s="391">
        <v>12531</v>
      </c>
      <c r="V14" s="391">
        <v>12594</v>
      </c>
      <c r="W14" s="391">
        <v>12645</v>
      </c>
      <c r="X14" s="391">
        <v>12813</v>
      </c>
      <c r="Y14" s="391">
        <v>12819</v>
      </c>
      <c r="Z14" s="391">
        <v>12845</v>
      </c>
      <c r="AA14" s="391">
        <v>12879</v>
      </c>
      <c r="AB14" s="391">
        <v>12917</v>
      </c>
      <c r="AC14" s="391">
        <v>12949</v>
      </c>
      <c r="AD14" s="409">
        <v>12993</v>
      </c>
      <c r="AE14" s="409">
        <v>12996</v>
      </c>
      <c r="AF14" s="409">
        <v>13009</v>
      </c>
      <c r="AG14" s="408" t="s">
        <v>63</v>
      </c>
      <c r="AH14" s="383"/>
      <c r="AI14" s="383"/>
      <c r="AJ14" s="190">
        <v>13009</v>
      </c>
      <c r="AK14" s="190" t="s">
        <v>63</v>
      </c>
      <c r="AL14" s="383"/>
    </row>
    <row r="15" spans="1:38" ht="12.75" customHeight="1">
      <c r="A15" s="212"/>
      <c r="B15" s="213" t="s">
        <v>14</v>
      </c>
      <c r="C15" s="407">
        <v>184</v>
      </c>
      <c r="D15" s="396">
        <v>516</v>
      </c>
      <c r="E15" s="396">
        <v>611</v>
      </c>
      <c r="F15" s="396">
        <v>663</v>
      </c>
      <c r="G15" s="396">
        <v>663</v>
      </c>
      <c r="H15" s="396">
        <v>706</v>
      </c>
      <c r="I15" s="396">
        <v>747</v>
      </c>
      <c r="J15" s="396">
        <v>796</v>
      </c>
      <c r="K15" s="396">
        <v>797</v>
      </c>
      <c r="L15" s="396">
        <v>834</v>
      </c>
      <c r="M15" s="396">
        <v>863</v>
      </c>
      <c r="N15" s="396">
        <v>902</v>
      </c>
      <c r="O15" s="396">
        <v>923</v>
      </c>
      <c r="P15" s="396">
        <v>978</v>
      </c>
      <c r="Q15" s="396">
        <v>972</v>
      </c>
      <c r="R15" s="396">
        <v>1010</v>
      </c>
      <c r="S15" s="396">
        <v>1027</v>
      </c>
      <c r="T15" s="397">
        <v>1032</v>
      </c>
      <c r="U15" s="396">
        <v>1032</v>
      </c>
      <c r="V15" s="396">
        <v>1111</v>
      </c>
      <c r="W15" s="396">
        <v>1128</v>
      </c>
      <c r="X15" s="396">
        <v>1130</v>
      </c>
      <c r="Y15" s="396">
        <v>1130</v>
      </c>
      <c r="Z15" s="396">
        <v>1143</v>
      </c>
      <c r="AA15" s="396">
        <v>1195</v>
      </c>
      <c r="AB15" s="396">
        <v>1216</v>
      </c>
      <c r="AC15" s="396">
        <v>1232</v>
      </c>
      <c r="AD15" s="406">
        <v>1237</v>
      </c>
      <c r="AE15" s="406">
        <v>1255</v>
      </c>
      <c r="AF15" s="406">
        <v>1308</v>
      </c>
      <c r="AG15" s="314" t="s">
        <v>14</v>
      </c>
      <c r="AH15" s="383"/>
      <c r="AI15" s="383"/>
      <c r="AJ15" s="190">
        <v>1308</v>
      </c>
      <c r="AK15" s="190" t="s">
        <v>14</v>
      </c>
      <c r="AL15" s="383"/>
    </row>
    <row r="16" spans="1:38" ht="12.75" customHeight="1">
      <c r="A16" s="212"/>
      <c r="B16" s="213" t="s">
        <v>64</v>
      </c>
      <c r="C16" s="407"/>
      <c r="D16" s="396"/>
      <c r="E16" s="396">
        <v>41</v>
      </c>
      <c r="F16" s="396">
        <v>50</v>
      </c>
      <c r="G16" s="396">
        <v>60</v>
      </c>
      <c r="H16" s="396">
        <v>62</v>
      </c>
      <c r="I16" s="396">
        <v>64</v>
      </c>
      <c r="J16" s="396">
        <v>65</v>
      </c>
      <c r="K16" s="396">
        <v>65</v>
      </c>
      <c r="L16" s="396">
        <v>68</v>
      </c>
      <c r="M16" s="396">
        <v>74</v>
      </c>
      <c r="N16" s="396">
        <v>87</v>
      </c>
      <c r="O16" s="396">
        <v>93</v>
      </c>
      <c r="P16" s="396">
        <v>93</v>
      </c>
      <c r="Q16" s="396">
        <v>98</v>
      </c>
      <c r="R16" s="396">
        <v>98</v>
      </c>
      <c r="S16" s="396">
        <v>96</v>
      </c>
      <c r="T16" s="397">
        <v>99</v>
      </c>
      <c r="U16" s="396">
        <v>99</v>
      </c>
      <c r="V16" s="396">
        <v>96</v>
      </c>
      <c r="W16" s="396">
        <v>104</v>
      </c>
      <c r="X16" s="396">
        <v>100</v>
      </c>
      <c r="Y16" s="396">
        <v>115</v>
      </c>
      <c r="Z16" s="396">
        <v>115</v>
      </c>
      <c r="AA16" s="396">
        <v>124</v>
      </c>
      <c r="AB16" s="396">
        <v>140</v>
      </c>
      <c r="AC16" s="396">
        <v>141</v>
      </c>
      <c r="AD16" s="406">
        <v>147</v>
      </c>
      <c r="AE16" s="406">
        <v>145</v>
      </c>
      <c r="AF16" s="406">
        <v>154</v>
      </c>
      <c r="AG16" s="314" t="s">
        <v>64</v>
      </c>
      <c r="AH16" s="383"/>
      <c r="AI16" s="383"/>
      <c r="AJ16" s="190">
        <v>154</v>
      </c>
      <c r="AK16" s="190" t="s">
        <v>64</v>
      </c>
      <c r="AL16" s="383"/>
    </row>
    <row r="17" spans="1:38" ht="12.75" customHeight="1">
      <c r="A17" s="212"/>
      <c r="B17" s="213" t="s">
        <v>15</v>
      </c>
      <c r="C17" s="407">
        <v>11</v>
      </c>
      <c r="D17" s="396">
        <v>91</v>
      </c>
      <c r="E17" s="396">
        <v>190</v>
      </c>
      <c r="F17" s="396">
        <v>225</v>
      </c>
      <c r="G17" s="396">
        <v>280</v>
      </c>
      <c r="H17" s="396">
        <v>330</v>
      </c>
      <c r="I17" s="396">
        <v>380</v>
      </c>
      <c r="J17" s="395">
        <v>421</v>
      </c>
      <c r="K17" s="395">
        <v>467</v>
      </c>
      <c r="L17" s="395">
        <v>509</v>
      </c>
      <c r="M17" s="395">
        <v>526</v>
      </c>
      <c r="N17" s="395">
        <v>547</v>
      </c>
      <c r="O17" s="395">
        <v>615</v>
      </c>
      <c r="P17" s="395">
        <v>743</v>
      </c>
      <c r="Q17" s="395">
        <v>870</v>
      </c>
      <c r="R17" s="396">
        <v>916.5</v>
      </c>
      <c r="S17" s="396">
        <v>916.5</v>
      </c>
      <c r="T17" s="397">
        <v>916.5</v>
      </c>
      <c r="U17" s="396">
        <v>916.5</v>
      </c>
      <c r="V17" s="396">
        <v>916.5</v>
      </c>
      <c r="W17" s="396">
        <v>916.5</v>
      </c>
      <c r="X17" s="396">
        <v>1558.2</v>
      </c>
      <c r="Y17" s="396">
        <v>1558.2</v>
      </c>
      <c r="Z17" s="396">
        <v>1558.2</v>
      </c>
      <c r="AA17" s="396">
        <v>1558.2</v>
      </c>
      <c r="AB17" s="396">
        <v>1558.2</v>
      </c>
      <c r="AC17" s="396">
        <v>1558.2</v>
      </c>
      <c r="AD17" s="406">
        <v>1589.4</v>
      </c>
      <c r="AE17" s="406">
        <v>1842.8</v>
      </c>
      <c r="AF17" s="406">
        <v>2133.1999999999998</v>
      </c>
      <c r="AG17" s="314" t="s">
        <v>15</v>
      </c>
      <c r="AH17" s="383"/>
      <c r="AI17" s="383"/>
      <c r="AJ17" s="190">
        <v>2133.1999999999998</v>
      </c>
      <c r="AK17" s="190" t="s">
        <v>15</v>
      </c>
      <c r="AL17" s="383"/>
    </row>
    <row r="18" spans="1:38" ht="12.75" customHeight="1">
      <c r="A18" s="212"/>
      <c r="B18" s="221" t="s">
        <v>66</v>
      </c>
      <c r="C18" s="393">
        <v>387</v>
      </c>
      <c r="D18" s="391">
        <v>2008</v>
      </c>
      <c r="E18" s="391">
        <v>4976</v>
      </c>
      <c r="F18" s="391">
        <v>5235</v>
      </c>
      <c r="G18" s="391">
        <v>6486</v>
      </c>
      <c r="H18" s="391">
        <v>6577</v>
      </c>
      <c r="I18" s="391">
        <v>6497</v>
      </c>
      <c r="J18" s="391">
        <v>6962</v>
      </c>
      <c r="K18" s="391">
        <v>7295</v>
      </c>
      <c r="L18" s="391">
        <v>7750</v>
      </c>
      <c r="M18" s="391">
        <v>8269</v>
      </c>
      <c r="N18" s="391">
        <v>8893</v>
      </c>
      <c r="O18" s="391">
        <v>9049</v>
      </c>
      <c r="P18" s="391">
        <v>9571</v>
      </c>
      <c r="Q18" s="391">
        <v>9739</v>
      </c>
      <c r="R18" s="391">
        <v>10296</v>
      </c>
      <c r="S18" s="391">
        <v>10747</v>
      </c>
      <c r="T18" s="392">
        <v>11432</v>
      </c>
      <c r="U18" s="391">
        <v>12073</v>
      </c>
      <c r="V18" s="391">
        <v>13013</v>
      </c>
      <c r="W18" s="391">
        <v>13518</v>
      </c>
      <c r="X18" s="391">
        <v>14021</v>
      </c>
      <c r="Y18" s="391">
        <v>14262</v>
      </c>
      <c r="Z18" s="391">
        <v>14554</v>
      </c>
      <c r="AA18" s="391">
        <v>14701</v>
      </c>
      <c r="AB18" s="391">
        <f>3026+11955</f>
        <v>14981</v>
      </c>
      <c r="AC18" s="391">
        <f>3020+12029</f>
        <v>15049</v>
      </c>
      <c r="AD18" s="409">
        <f>3040+12296</f>
        <v>15336</v>
      </c>
      <c r="AE18" s="409">
        <v>15444</v>
      </c>
      <c r="AF18" s="409">
        <v>15523</v>
      </c>
      <c r="AG18" s="408" t="s">
        <v>66</v>
      </c>
      <c r="AH18" s="383"/>
      <c r="AI18" s="383"/>
      <c r="AJ18" s="190">
        <v>15523</v>
      </c>
      <c r="AK18" s="190" t="s">
        <v>66</v>
      </c>
      <c r="AL18" s="383"/>
    </row>
    <row r="19" spans="1:38" ht="12.75" customHeight="1">
      <c r="A19" s="212"/>
      <c r="B19" s="213" t="s">
        <v>87</v>
      </c>
      <c r="C19" s="407">
        <v>108</v>
      </c>
      <c r="D19" s="396">
        <v>204</v>
      </c>
      <c r="E19" s="396">
        <v>225</v>
      </c>
      <c r="F19" s="396">
        <v>249</v>
      </c>
      <c r="G19" s="396">
        <v>318</v>
      </c>
      <c r="H19" s="396">
        <v>337</v>
      </c>
      <c r="I19" s="396">
        <v>388</v>
      </c>
      <c r="J19" s="396">
        <v>394</v>
      </c>
      <c r="K19" s="396">
        <v>431</v>
      </c>
      <c r="L19" s="396">
        <v>444</v>
      </c>
      <c r="M19" s="396">
        <v>473</v>
      </c>
      <c r="N19" s="396">
        <v>512</v>
      </c>
      <c r="O19" s="396">
        <v>549</v>
      </c>
      <c r="P19" s="396">
        <v>591</v>
      </c>
      <c r="Q19" s="396">
        <v>603</v>
      </c>
      <c r="R19" s="396">
        <v>653</v>
      </c>
      <c r="S19" s="396">
        <v>653</v>
      </c>
      <c r="T19" s="397">
        <v>693</v>
      </c>
      <c r="U19" s="396">
        <v>700</v>
      </c>
      <c r="V19" s="396">
        <v>700</v>
      </c>
      <c r="W19" s="396">
        <v>739</v>
      </c>
      <c r="X19" s="396">
        <v>765</v>
      </c>
      <c r="Y19" s="396">
        <v>779</v>
      </c>
      <c r="Z19" s="396">
        <v>790</v>
      </c>
      <c r="AA19" s="396">
        <v>780</v>
      </c>
      <c r="AB19" s="396">
        <v>810</v>
      </c>
      <c r="AC19" s="396">
        <v>881</v>
      </c>
      <c r="AD19" s="406">
        <v>881</v>
      </c>
      <c r="AE19" s="406">
        <v>890</v>
      </c>
      <c r="AF19" s="406">
        <v>893</v>
      </c>
      <c r="AG19" s="314" t="s">
        <v>87</v>
      </c>
      <c r="AH19" s="383"/>
      <c r="AI19" s="383"/>
      <c r="AJ19" s="190">
        <v>893</v>
      </c>
      <c r="AK19" s="190" t="s">
        <v>87</v>
      </c>
      <c r="AL19" s="383"/>
    </row>
    <row r="20" spans="1:38" ht="12.75" customHeight="1">
      <c r="A20" s="212"/>
      <c r="B20" s="213" t="s">
        <v>67</v>
      </c>
      <c r="C20" s="407">
        <v>1553</v>
      </c>
      <c r="D20" s="396">
        <v>4862</v>
      </c>
      <c r="E20" s="396">
        <v>6824</v>
      </c>
      <c r="F20" s="396">
        <v>7080</v>
      </c>
      <c r="G20" s="396">
        <v>7408</v>
      </c>
      <c r="H20" s="396">
        <v>7614</v>
      </c>
      <c r="I20" s="396">
        <v>7956</v>
      </c>
      <c r="J20" s="396">
        <v>8275</v>
      </c>
      <c r="K20" s="396">
        <v>8596</v>
      </c>
      <c r="L20" s="396">
        <v>8864</v>
      </c>
      <c r="M20" s="396">
        <v>9303</v>
      </c>
      <c r="N20" s="396">
        <v>9626</v>
      </c>
      <c r="O20" s="396">
        <v>9766</v>
      </c>
      <c r="P20" s="396">
        <v>10068</v>
      </c>
      <c r="Q20" s="396">
        <v>10223</v>
      </c>
      <c r="R20" s="396">
        <v>10379</v>
      </c>
      <c r="S20" s="396">
        <v>10486</v>
      </c>
      <c r="T20" s="397">
        <v>10798</v>
      </c>
      <c r="U20" s="396">
        <v>10848</v>
      </c>
      <c r="V20" s="396">
        <v>10958</v>
      </c>
      <c r="W20" s="396">
        <v>11042</v>
      </c>
      <c r="X20" s="396">
        <v>11163</v>
      </c>
      <c r="Y20" s="396">
        <v>11392</v>
      </c>
      <c r="Z20" s="396">
        <v>11413</v>
      </c>
      <c r="AA20" s="396">
        <v>11413</v>
      </c>
      <c r="AB20" s="396">
        <v>11552</v>
      </c>
      <c r="AC20" s="396">
        <v>11560</v>
      </c>
      <c r="AD20" s="406">
        <v>11599</v>
      </c>
      <c r="AE20" s="406">
        <v>11612</v>
      </c>
      <c r="AF20" s="406">
        <v>11618</v>
      </c>
      <c r="AG20" s="314" t="s">
        <v>67</v>
      </c>
      <c r="AH20" s="383"/>
      <c r="AI20" s="383"/>
      <c r="AJ20" s="190">
        <v>11618</v>
      </c>
      <c r="AK20" s="190" t="s">
        <v>67</v>
      </c>
      <c r="AL20" s="383"/>
    </row>
    <row r="21" spans="1:38" ht="12.75" customHeight="1">
      <c r="A21" s="212"/>
      <c r="B21" s="221" t="s">
        <v>144</v>
      </c>
      <c r="C21" s="393"/>
      <c r="D21" s="391"/>
      <c r="E21" s="391">
        <v>291</v>
      </c>
      <c r="F21" s="391">
        <v>302</v>
      </c>
      <c r="G21" s="391">
        <v>292</v>
      </c>
      <c r="H21" s="391">
        <v>302</v>
      </c>
      <c r="I21" s="391">
        <v>302</v>
      </c>
      <c r="J21" s="391">
        <v>302</v>
      </c>
      <c r="K21" s="391">
        <v>318</v>
      </c>
      <c r="L21" s="391">
        <v>330</v>
      </c>
      <c r="M21" s="391">
        <v>330</v>
      </c>
      <c r="N21" s="391">
        <v>382</v>
      </c>
      <c r="O21" s="391">
        <v>411</v>
      </c>
      <c r="P21" s="391">
        <v>429</v>
      </c>
      <c r="Q21" s="391">
        <v>613</v>
      </c>
      <c r="R21" s="391">
        <v>754</v>
      </c>
      <c r="S21" s="391">
        <v>925</v>
      </c>
      <c r="T21" s="416">
        <v>1016</v>
      </c>
      <c r="U21" s="391">
        <v>1081</v>
      </c>
      <c r="V21" s="391">
        <v>1156</v>
      </c>
      <c r="W21" s="391">
        <v>1199</v>
      </c>
      <c r="X21" s="391">
        <v>1244</v>
      </c>
      <c r="Y21" s="391">
        <v>1244</v>
      </c>
      <c r="Z21" s="391">
        <v>1254</v>
      </c>
      <c r="AA21" s="391">
        <v>1254</v>
      </c>
      <c r="AB21" s="391">
        <v>1289</v>
      </c>
      <c r="AC21" s="391">
        <v>1290</v>
      </c>
      <c r="AD21" s="409">
        <v>1310</v>
      </c>
      <c r="AE21" s="409">
        <v>1310</v>
      </c>
      <c r="AF21" s="409">
        <v>1310</v>
      </c>
      <c r="AG21" s="408" t="s">
        <v>144</v>
      </c>
      <c r="AH21" s="383"/>
      <c r="AI21" s="383"/>
      <c r="AJ21" s="190">
        <v>1310</v>
      </c>
      <c r="AK21" s="190" t="s">
        <v>144</v>
      </c>
      <c r="AL21" s="383"/>
    </row>
    <row r="22" spans="1:38" ht="12.75" customHeight="1">
      <c r="A22" s="212"/>
      <c r="B22" s="221" t="s">
        <v>77</v>
      </c>
      <c r="C22" s="414"/>
      <c r="D22" s="413"/>
      <c r="E22" s="391">
        <v>267</v>
      </c>
      <c r="F22" s="391">
        <v>269</v>
      </c>
      <c r="G22" s="391">
        <v>269</v>
      </c>
      <c r="H22" s="391">
        <v>269</v>
      </c>
      <c r="I22" s="391">
        <v>293</v>
      </c>
      <c r="J22" s="391">
        <v>335</v>
      </c>
      <c r="K22" s="391">
        <v>365</v>
      </c>
      <c r="L22" s="391">
        <v>382</v>
      </c>
      <c r="M22" s="391">
        <v>448</v>
      </c>
      <c r="N22" s="391">
        <v>448</v>
      </c>
      <c r="O22" s="391">
        <v>448</v>
      </c>
      <c r="P22" s="391">
        <v>448</v>
      </c>
      <c r="Q22" s="391">
        <v>542</v>
      </c>
      <c r="R22" s="391">
        <v>533</v>
      </c>
      <c r="S22" s="391">
        <v>761</v>
      </c>
      <c r="T22" s="392">
        <v>859</v>
      </c>
      <c r="U22" s="391">
        <v>1157</v>
      </c>
      <c r="V22" s="391">
        <v>1065</v>
      </c>
      <c r="W22" s="391">
        <v>1274</v>
      </c>
      <c r="X22" s="391">
        <v>1273</v>
      </c>
      <c r="Y22" s="391">
        <v>1477</v>
      </c>
      <c r="Z22" s="391">
        <v>1516</v>
      </c>
      <c r="AA22" s="391">
        <v>1515.1</v>
      </c>
      <c r="AB22" s="391">
        <v>1766.9</v>
      </c>
      <c r="AC22" s="391">
        <v>1781.8</v>
      </c>
      <c r="AD22" s="409">
        <v>1883.9</v>
      </c>
      <c r="AE22" s="409">
        <v>1924</v>
      </c>
      <c r="AF22" s="409">
        <v>1936.6</v>
      </c>
      <c r="AG22" s="408" t="s">
        <v>77</v>
      </c>
      <c r="AH22" s="383"/>
      <c r="AI22" s="383"/>
      <c r="AJ22" s="190">
        <v>1936.6</v>
      </c>
      <c r="AK22" s="190" t="s">
        <v>77</v>
      </c>
      <c r="AL22" s="383"/>
    </row>
    <row r="23" spans="1:38" ht="12.75" customHeight="1">
      <c r="A23" s="212"/>
      <c r="B23" s="221" t="s">
        <v>68</v>
      </c>
      <c r="C23" s="393">
        <v>0</v>
      </c>
      <c r="D23" s="391">
        <v>0</v>
      </c>
      <c r="E23" s="391">
        <v>26</v>
      </c>
      <c r="F23" s="391">
        <v>32</v>
      </c>
      <c r="G23" s="391">
        <v>32</v>
      </c>
      <c r="H23" s="391">
        <v>53</v>
      </c>
      <c r="I23" s="391">
        <v>72</v>
      </c>
      <c r="J23" s="391">
        <v>70</v>
      </c>
      <c r="K23" s="391">
        <v>80</v>
      </c>
      <c r="L23" s="391">
        <v>94</v>
      </c>
      <c r="M23" s="391">
        <v>103</v>
      </c>
      <c r="N23" s="391">
        <v>103</v>
      </c>
      <c r="O23" s="391">
        <v>103</v>
      </c>
      <c r="P23" s="391">
        <v>125</v>
      </c>
      <c r="Q23" s="391">
        <v>125</v>
      </c>
      <c r="R23" s="391">
        <v>176</v>
      </c>
      <c r="S23" s="391">
        <v>192</v>
      </c>
      <c r="T23" s="416">
        <v>247</v>
      </c>
      <c r="U23" s="391">
        <v>270</v>
      </c>
      <c r="V23" s="391">
        <v>269</v>
      </c>
      <c r="W23" s="391">
        <v>423</v>
      </c>
      <c r="X23" s="391">
        <v>663</v>
      </c>
      <c r="Y23" s="391">
        <v>900</v>
      </c>
      <c r="Z23" s="391">
        <v>900</v>
      </c>
      <c r="AA23" s="391">
        <v>900</v>
      </c>
      <c r="AB23" s="391">
        <v>897</v>
      </c>
      <c r="AC23" s="391">
        <v>897</v>
      </c>
      <c r="AD23" s="391">
        <v>916</v>
      </c>
      <c r="AE23" s="391">
        <v>916</v>
      </c>
      <c r="AF23" s="391">
        <v>916</v>
      </c>
      <c r="AG23" s="221" t="s">
        <v>68</v>
      </c>
      <c r="AH23" s="383"/>
      <c r="AI23" s="383"/>
      <c r="AJ23" s="190">
        <v>916</v>
      </c>
      <c r="AK23" s="190" t="s">
        <v>68</v>
      </c>
      <c r="AL23" s="383"/>
    </row>
    <row r="24" spans="1:38" ht="12.75" customHeight="1">
      <c r="A24" s="212"/>
      <c r="B24" s="213" t="s">
        <v>69</v>
      </c>
      <c r="C24" s="407">
        <v>3913</v>
      </c>
      <c r="D24" s="396">
        <v>5900</v>
      </c>
      <c r="E24" s="396">
        <v>6193</v>
      </c>
      <c r="F24" s="396">
        <v>6301</v>
      </c>
      <c r="G24" s="396">
        <v>6289</v>
      </c>
      <c r="H24" s="396">
        <v>6401</v>
      </c>
      <c r="I24" s="396">
        <v>6375</v>
      </c>
      <c r="J24" s="396">
        <v>6435</v>
      </c>
      <c r="K24" s="396">
        <v>6465</v>
      </c>
      <c r="L24" s="396">
        <v>6469</v>
      </c>
      <c r="M24" s="396">
        <v>6478</v>
      </c>
      <c r="N24" s="396">
        <v>6478</v>
      </c>
      <c r="O24" s="396">
        <v>6478</v>
      </c>
      <c r="P24" s="396">
        <v>6487</v>
      </c>
      <c r="Q24" s="396">
        <v>6487</v>
      </c>
      <c r="R24" s="396">
        <v>6487</v>
      </c>
      <c r="S24" s="396">
        <v>6532</v>
      </c>
      <c r="T24" s="397">
        <v>6542</v>
      </c>
      <c r="U24" s="396">
        <v>6554</v>
      </c>
      <c r="V24" s="396">
        <v>6588</v>
      </c>
      <c r="W24" s="396">
        <v>6629</v>
      </c>
      <c r="X24" s="396">
        <v>6661</v>
      </c>
      <c r="Y24" s="396">
        <v>6668</v>
      </c>
      <c r="Z24" s="396">
        <v>6668</v>
      </c>
      <c r="AA24" s="396">
        <v>6726</v>
      </c>
      <c r="AB24" s="396">
        <v>6751</v>
      </c>
      <c r="AC24" s="396">
        <v>6844</v>
      </c>
      <c r="AD24" s="406">
        <v>6943</v>
      </c>
      <c r="AE24" s="406">
        <v>6943.2</v>
      </c>
      <c r="AF24" s="406">
        <v>6943.2</v>
      </c>
      <c r="AG24" s="405" t="s">
        <v>69</v>
      </c>
      <c r="AH24" s="383"/>
      <c r="AI24" s="383"/>
      <c r="AJ24" s="190">
        <v>6943.2</v>
      </c>
      <c r="AK24" s="190" t="s">
        <v>69</v>
      </c>
      <c r="AL24" s="383"/>
    </row>
    <row r="25" spans="1:38" ht="12.75" customHeight="1">
      <c r="A25" s="212"/>
      <c r="B25" s="221" t="s">
        <v>73</v>
      </c>
      <c r="C25" s="393"/>
      <c r="D25" s="391"/>
      <c r="E25" s="391">
        <v>421</v>
      </c>
      <c r="F25" s="391">
        <v>376</v>
      </c>
      <c r="G25" s="391">
        <v>382</v>
      </c>
      <c r="H25" s="391">
        <v>394</v>
      </c>
      <c r="I25" s="391">
        <v>394</v>
      </c>
      <c r="J25" s="391">
        <v>394</v>
      </c>
      <c r="K25" s="391">
        <v>404</v>
      </c>
      <c r="L25" s="391">
        <v>410</v>
      </c>
      <c r="M25" s="391">
        <v>417</v>
      </c>
      <c r="N25" s="391">
        <v>417</v>
      </c>
      <c r="O25" s="391">
        <v>417</v>
      </c>
      <c r="P25" s="391">
        <v>417</v>
      </c>
      <c r="Q25" s="391">
        <v>417</v>
      </c>
      <c r="R25" s="391">
        <v>417</v>
      </c>
      <c r="S25" s="391">
        <v>417</v>
      </c>
      <c r="T25" s="392">
        <v>417</v>
      </c>
      <c r="U25" s="391">
        <v>309</v>
      </c>
      <c r="V25" s="391">
        <v>309</v>
      </c>
      <c r="W25" s="391">
        <v>309</v>
      </c>
      <c r="X25" s="391">
        <v>309</v>
      </c>
      <c r="Y25" s="391">
        <v>309</v>
      </c>
      <c r="Z25" s="391">
        <v>309</v>
      </c>
      <c r="AA25" s="391">
        <v>309</v>
      </c>
      <c r="AB25" s="391">
        <v>309</v>
      </c>
      <c r="AC25" s="391">
        <v>309</v>
      </c>
      <c r="AD25" s="409">
        <v>309</v>
      </c>
      <c r="AE25" s="409">
        <v>314</v>
      </c>
      <c r="AF25" s="409">
        <v>324</v>
      </c>
      <c r="AG25" s="408" t="s">
        <v>73</v>
      </c>
      <c r="AH25" s="383"/>
      <c r="AI25" s="383"/>
      <c r="AJ25" s="190">
        <v>324</v>
      </c>
      <c r="AK25" s="190" t="s">
        <v>73</v>
      </c>
      <c r="AL25" s="383"/>
    </row>
    <row r="26" spans="1:38" ht="12.75" customHeight="1">
      <c r="A26" s="212"/>
      <c r="B26" s="213" t="s">
        <v>76</v>
      </c>
      <c r="C26" s="407">
        <v>7</v>
      </c>
      <c r="D26" s="396">
        <v>44</v>
      </c>
      <c r="E26" s="396">
        <v>78</v>
      </c>
      <c r="F26" s="395">
        <v>78</v>
      </c>
      <c r="G26" s="395">
        <v>95</v>
      </c>
      <c r="H26" s="396">
        <v>100</v>
      </c>
      <c r="I26" s="396">
        <v>121</v>
      </c>
      <c r="J26" s="396">
        <v>123</v>
      </c>
      <c r="K26" s="396">
        <v>115</v>
      </c>
      <c r="L26" s="396">
        <v>118</v>
      </c>
      <c r="M26" s="396">
        <v>115</v>
      </c>
      <c r="N26" s="396">
        <v>115</v>
      </c>
      <c r="O26" s="396">
        <v>114</v>
      </c>
      <c r="P26" s="396">
        <v>126</v>
      </c>
      <c r="Q26" s="396">
        <v>147</v>
      </c>
      <c r="R26" s="396">
        <v>147</v>
      </c>
      <c r="S26" s="396">
        <v>147</v>
      </c>
      <c r="T26" s="397">
        <v>147</v>
      </c>
      <c r="U26" s="396">
        <v>147</v>
      </c>
      <c r="V26" s="396">
        <v>147</v>
      </c>
      <c r="W26" s="396">
        <v>147</v>
      </c>
      <c r="X26" s="396">
        <v>147</v>
      </c>
      <c r="Y26" s="396">
        <v>152</v>
      </c>
      <c r="Z26" s="396">
        <v>152</v>
      </c>
      <c r="AA26" s="396">
        <v>152</v>
      </c>
      <c r="AB26" s="396">
        <v>152</v>
      </c>
      <c r="AC26" s="396">
        <v>152</v>
      </c>
      <c r="AD26" s="406">
        <v>161</v>
      </c>
      <c r="AE26" s="406">
        <v>161</v>
      </c>
      <c r="AF26" s="406">
        <v>165</v>
      </c>
      <c r="AG26" s="314" t="s">
        <v>76</v>
      </c>
      <c r="AH26" s="383"/>
      <c r="AI26" s="383"/>
      <c r="AJ26" s="190">
        <v>165</v>
      </c>
      <c r="AK26" s="190" t="s">
        <v>76</v>
      </c>
      <c r="AL26" s="383"/>
    </row>
    <row r="27" spans="1:38" ht="12.75" customHeight="1">
      <c r="A27" s="212"/>
      <c r="B27" s="213" t="s">
        <v>72</v>
      </c>
      <c r="C27" s="407" t="s">
        <v>142</v>
      </c>
      <c r="D27" s="396" t="s">
        <v>142</v>
      </c>
      <c r="E27" s="396" t="s">
        <v>142</v>
      </c>
      <c r="F27" s="396" t="s">
        <v>142</v>
      </c>
      <c r="G27" s="396" t="s">
        <v>142</v>
      </c>
      <c r="H27" s="396" t="s">
        <v>142</v>
      </c>
      <c r="I27" s="396" t="s">
        <v>142</v>
      </c>
      <c r="J27" s="396" t="s">
        <v>142</v>
      </c>
      <c r="K27" s="396" t="s">
        <v>142</v>
      </c>
      <c r="L27" s="396" t="s">
        <v>142</v>
      </c>
      <c r="M27" s="396" t="s">
        <v>142</v>
      </c>
      <c r="N27" s="396" t="s">
        <v>142</v>
      </c>
      <c r="O27" s="396" t="s">
        <v>182</v>
      </c>
      <c r="P27" s="396" t="s">
        <v>142</v>
      </c>
      <c r="Q27" s="396" t="s">
        <v>142</v>
      </c>
      <c r="R27" s="396" t="s">
        <v>142</v>
      </c>
      <c r="S27" s="396" t="s">
        <v>142</v>
      </c>
      <c r="T27" s="397" t="s">
        <v>142</v>
      </c>
      <c r="U27" s="396" t="s">
        <v>142</v>
      </c>
      <c r="V27" s="396" t="s">
        <v>142</v>
      </c>
      <c r="W27" s="396" t="s">
        <v>142</v>
      </c>
      <c r="X27" s="396" t="s">
        <v>142</v>
      </c>
      <c r="Y27" s="396" t="s">
        <v>142</v>
      </c>
      <c r="Z27" s="396" t="s">
        <v>142</v>
      </c>
      <c r="AA27" s="396" t="s">
        <v>142</v>
      </c>
      <c r="AB27" s="396" t="s">
        <v>142</v>
      </c>
      <c r="AC27" s="396" t="s">
        <v>142</v>
      </c>
      <c r="AD27" s="406" t="s">
        <v>142</v>
      </c>
      <c r="AE27" s="406" t="s">
        <v>142</v>
      </c>
      <c r="AF27" s="406" t="s">
        <v>142</v>
      </c>
      <c r="AG27" s="405" t="s">
        <v>72</v>
      </c>
      <c r="AH27" s="383"/>
      <c r="AI27" s="383"/>
      <c r="AJ27" s="190" t="s">
        <v>142</v>
      </c>
      <c r="AK27" s="190" t="s">
        <v>72</v>
      </c>
      <c r="AL27" s="383"/>
    </row>
    <row r="28" spans="1:38" ht="12.75" customHeight="1">
      <c r="A28" s="212"/>
      <c r="B28" s="213" t="s">
        <v>78</v>
      </c>
      <c r="C28" s="407" t="s">
        <v>142</v>
      </c>
      <c r="D28" s="396" t="s">
        <v>142</v>
      </c>
      <c r="E28" s="396" t="s">
        <v>142</v>
      </c>
      <c r="F28" s="396" t="s">
        <v>142</v>
      </c>
      <c r="G28" s="396" t="s">
        <v>142</v>
      </c>
      <c r="H28" s="396" t="s">
        <v>142</v>
      </c>
      <c r="I28" s="396" t="s">
        <v>142</v>
      </c>
      <c r="J28" s="396" t="s">
        <v>142</v>
      </c>
      <c r="K28" s="396" t="s">
        <v>142</v>
      </c>
      <c r="L28" s="396" t="s">
        <v>142</v>
      </c>
      <c r="M28" s="396" t="s">
        <v>142</v>
      </c>
      <c r="N28" s="396" t="s">
        <v>142</v>
      </c>
      <c r="O28" s="396" t="s">
        <v>182</v>
      </c>
      <c r="P28" s="396" t="s">
        <v>142</v>
      </c>
      <c r="Q28" s="396" t="s">
        <v>142</v>
      </c>
      <c r="R28" s="396" t="s">
        <v>142</v>
      </c>
      <c r="S28" s="396" t="s">
        <v>142</v>
      </c>
      <c r="T28" s="397" t="s">
        <v>142</v>
      </c>
      <c r="U28" s="396" t="s">
        <v>142</v>
      </c>
      <c r="V28" s="396" t="s">
        <v>142</v>
      </c>
      <c r="W28" s="396" t="s">
        <v>142</v>
      </c>
      <c r="X28" s="396" t="s">
        <v>142</v>
      </c>
      <c r="Y28" s="396" t="s">
        <v>142</v>
      </c>
      <c r="Z28" s="396" t="s">
        <v>142</v>
      </c>
      <c r="AA28" s="396" t="s">
        <v>142</v>
      </c>
      <c r="AB28" s="396" t="s">
        <v>142</v>
      </c>
      <c r="AC28" s="396" t="s">
        <v>142</v>
      </c>
      <c r="AD28" s="406" t="s">
        <v>142</v>
      </c>
      <c r="AE28" s="406" t="s">
        <v>142</v>
      </c>
      <c r="AF28" s="406" t="s">
        <v>142</v>
      </c>
      <c r="AG28" s="314" t="s">
        <v>78</v>
      </c>
      <c r="AH28" s="383"/>
      <c r="AI28" s="383"/>
      <c r="AJ28" s="190" t="s">
        <v>142</v>
      </c>
      <c r="AK28" s="190" t="s">
        <v>78</v>
      </c>
      <c r="AL28" s="383"/>
    </row>
    <row r="29" spans="1:38" ht="12.75" customHeight="1">
      <c r="A29" s="212"/>
      <c r="B29" s="221" t="s">
        <v>16</v>
      </c>
      <c r="C29" s="393">
        <v>1209</v>
      </c>
      <c r="D29" s="391">
        <v>1798</v>
      </c>
      <c r="E29" s="391">
        <v>2092</v>
      </c>
      <c r="F29" s="391">
        <v>2092</v>
      </c>
      <c r="G29" s="391">
        <v>2134</v>
      </c>
      <c r="H29" s="391">
        <v>2167</v>
      </c>
      <c r="I29" s="391">
        <v>2208</v>
      </c>
      <c r="J29" s="391">
        <v>2208</v>
      </c>
      <c r="K29" s="391">
        <v>2208</v>
      </c>
      <c r="L29" s="391">
        <v>2225</v>
      </c>
      <c r="M29" s="391">
        <v>2225</v>
      </c>
      <c r="N29" s="391">
        <v>2291</v>
      </c>
      <c r="O29" s="391">
        <v>2265</v>
      </c>
      <c r="P29" s="391">
        <v>2499</v>
      </c>
      <c r="Q29" s="391">
        <v>2516</v>
      </c>
      <c r="R29" s="391">
        <v>2541</v>
      </c>
      <c r="S29" s="391">
        <v>2585</v>
      </c>
      <c r="T29" s="392">
        <v>2600</v>
      </c>
      <c r="U29" s="391">
        <v>2604</v>
      </c>
      <c r="V29" s="391">
        <v>2582</v>
      </c>
      <c r="W29" s="391">
        <v>2637</v>
      </c>
      <c r="X29" s="391">
        <v>2646</v>
      </c>
      <c r="Y29" s="391">
        <v>2651</v>
      </c>
      <c r="Z29" s="391">
        <v>2658</v>
      </c>
      <c r="AA29" s="391">
        <v>2666</v>
      </c>
      <c r="AB29" s="391">
        <v>2678</v>
      </c>
      <c r="AC29" s="391">
        <v>2730</v>
      </c>
      <c r="AD29" s="409">
        <v>2756</v>
      </c>
      <c r="AE29" s="409">
        <v>2758</v>
      </c>
      <c r="AF29" s="409">
        <v>2758</v>
      </c>
      <c r="AG29" s="408" t="s">
        <v>16</v>
      </c>
      <c r="AH29" s="383"/>
      <c r="AI29" s="383"/>
      <c r="AJ29" s="190">
        <v>2758</v>
      </c>
      <c r="AK29" s="190" t="s">
        <v>16</v>
      </c>
      <c r="AL29" s="383"/>
    </row>
    <row r="30" spans="1:38" ht="12.75" customHeight="1">
      <c r="A30" s="212"/>
      <c r="B30" s="221" t="s">
        <v>80</v>
      </c>
      <c r="C30" s="393"/>
      <c r="D30" s="391"/>
      <c r="E30" s="391">
        <v>257</v>
      </c>
      <c r="F30" s="391">
        <v>239</v>
      </c>
      <c r="G30" s="391">
        <v>257</v>
      </c>
      <c r="H30" s="391">
        <v>231</v>
      </c>
      <c r="I30" s="391">
        <v>245</v>
      </c>
      <c r="J30" s="391">
        <v>246</v>
      </c>
      <c r="K30" s="391">
        <v>258</v>
      </c>
      <c r="L30" s="391">
        <v>264</v>
      </c>
      <c r="M30" s="391">
        <v>268</v>
      </c>
      <c r="N30" s="391">
        <v>317</v>
      </c>
      <c r="O30" s="391">
        <v>358</v>
      </c>
      <c r="P30" s="391">
        <v>398</v>
      </c>
      <c r="Q30" s="391">
        <v>405</v>
      </c>
      <c r="R30" s="391">
        <v>484</v>
      </c>
      <c r="S30" s="391">
        <v>552</v>
      </c>
      <c r="T30" s="392">
        <v>552</v>
      </c>
      <c r="U30" s="391">
        <v>582.5</v>
      </c>
      <c r="V30" s="391">
        <v>662.5</v>
      </c>
      <c r="W30" s="391">
        <v>765</v>
      </c>
      <c r="X30" s="391">
        <v>849</v>
      </c>
      <c r="Y30" s="391">
        <v>857</v>
      </c>
      <c r="Z30" s="391">
        <v>1070</v>
      </c>
      <c r="AA30" s="391">
        <v>1365</v>
      </c>
      <c r="AB30" s="391">
        <v>1482</v>
      </c>
      <c r="AC30" s="391">
        <v>1556</v>
      </c>
      <c r="AD30" s="409">
        <v>1559</v>
      </c>
      <c r="AE30" s="409">
        <v>1640</v>
      </c>
      <c r="AF30" s="409">
        <v>1640</v>
      </c>
      <c r="AG30" s="408" t="s">
        <v>80</v>
      </c>
      <c r="AH30" s="383"/>
      <c r="AI30" s="383"/>
      <c r="AJ30" s="190">
        <v>1640</v>
      </c>
      <c r="AK30" s="190" t="s">
        <v>80</v>
      </c>
      <c r="AL30" s="383"/>
    </row>
    <row r="31" spans="1:38" ht="12.75" customHeight="1">
      <c r="A31" s="212"/>
      <c r="B31" s="213" t="s">
        <v>92</v>
      </c>
      <c r="C31" s="407">
        <v>66</v>
      </c>
      <c r="D31" s="396">
        <v>132</v>
      </c>
      <c r="E31" s="396">
        <v>316</v>
      </c>
      <c r="F31" s="396">
        <v>474</v>
      </c>
      <c r="G31" s="396">
        <v>520</v>
      </c>
      <c r="H31" s="396">
        <v>579</v>
      </c>
      <c r="I31" s="396">
        <v>587</v>
      </c>
      <c r="J31" s="395">
        <v>687</v>
      </c>
      <c r="K31" s="395">
        <v>710</v>
      </c>
      <c r="L31" s="395">
        <v>797</v>
      </c>
      <c r="M31" s="395">
        <v>1252</v>
      </c>
      <c r="N31" s="395">
        <v>1441</v>
      </c>
      <c r="O31" s="395">
        <v>1482</v>
      </c>
      <c r="P31" s="395">
        <v>1659</v>
      </c>
      <c r="Q31" s="395">
        <v>1836</v>
      </c>
      <c r="R31" s="395">
        <v>2002</v>
      </c>
      <c r="S31" s="395">
        <v>2091</v>
      </c>
      <c r="T31" s="415">
        <v>2341</v>
      </c>
      <c r="U31" s="395">
        <v>2545</v>
      </c>
      <c r="V31" s="395">
        <v>2613</v>
      </c>
      <c r="W31" s="395">
        <v>2623</v>
      </c>
      <c r="X31" s="396">
        <v>2705</v>
      </c>
      <c r="Y31" s="396">
        <v>2737</v>
      </c>
      <c r="Z31" s="396">
        <v>2737</v>
      </c>
      <c r="AA31" s="396">
        <v>2988</v>
      </c>
      <c r="AB31" s="396">
        <v>3065</v>
      </c>
      <c r="AC31" s="396">
        <v>3065</v>
      </c>
      <c r="AD31" s="406">
        <v>3065</v>
      </c>
      <c r="AE31" s="406">
        <v>3065</v>
      </c>
      <c r="AF31" s="406">
        <v>3065</v>
      </c>
      <c r="AG31" s="314" t="s">
        <v>92</v>
      </c>
      <c r="AH31" s="383"/>
      <c r="AI31" s="383"/>
      <c r="AJ31" s="190">
        <v>3065</v>
      </c>
      <c r="AK31" s="190" t="s">
        <v>92</v>
      </c>
      <c r="AL31" s="383"/>
    </row>
    <row r="32" spans="1:38" ht="12.75" customHeight="1">
      <c r="A32" s="212"/>
      <c r="B32" s="221" t="s">
        <v>101</v>
      </c>
      <c r="C32" s="393"/>
      <c r="D32" s="391"/>
      <c r="E32" s="391">
        <v>113</v>
      </c>
      <c r="F32" s="391">
        <v>113</v>
      </c>
      <c r="G32" s="391">
        <v>113</v>
      </c>
      <c r="H32" s="391">
        <v>113</v>
      </c>
      <c r="I32" s="391">
        <v>113</v>
      </c>
      <c r="J32" s="391">
        <v>113</v>
      </c>
      <c r="K32" s="391">
        <v>113</v>
      </c>
      <c r="L32" s="391">
        <v>113</v>
      </c>
      <c r="M32" s="391">
        <v>113</v>
      </c>
      <c r="N32" s="391">
        <v>113</v>
      </c>
      <c r="O32" s="391">
        <v>113</v>
      </c>
      <c r="P32" s="391">
        <v>113</v>
      </c>
      <c r="Q32" s="391">
        <v>113</v>
      </c>
      <c r="R32" s="391">
        <v>113</v>
      </c>
      <c r="S32" s="391">
        <v>228</v>
      </c>
      <c r="T32" s="392">
        <v>228</v>
      </c>
      <c r="U32" s="391">
        <v>228</v>
      </c>
      <c r="V32" s="391">
        <v>281</v>
      </c>
      <c r="W32" s="391">
        <v>281</v>
      </c>
      <c r="X32" s="391">
        <v>321</v>
      </c>
      <c r="Y32" s="391">
        <v>332</v>
      </c>
      <c r="Z32" s="391">
        <v>350</v>
      </c>
      <c r="AA32" s="391">
        <v>550</v>
      </c>
      <c r="AB32" s="391">
        <v>644</v>
      </c>
      <c r="AC32" s="391">
        <v>683</v>
      </c>
      <c r="AD32" s="409">
        <v>747</v>
      </c>
      <c r="AE32" s="409">
        <v>747</v>
      </c>
      <c r="AF32" s="409">
        <v>763</v>
      </c>
      <c r="AG32" s="408" t="s">
        <v>101</v>
      </c>
      <c r="AH32" s="383"/>
      <c r="AI32" s="383"/>
      <c r="AJ32" s="190">
        <v>763</v>
      </c>
      <c r="AK32" s="190" t="s">
        <v>101</v>
      </c>
      <c r="AL32" s="383"/>
    </row>
    <row r="33" spans="1:52" ht="12.75" customHeight="1">
      <c r="A33" s="212"/>
      <c r="B33" s="221" t="s">
        <v>88</v>
      </c>
      <c r="C33" s="393">
        <v>403</v>
      </c>
      <c r="D33" s="391">
        <v>850</v>
      </c>
      <c r="E33" s="391">
        <v>939</v>
      </c>
      <c r="F33" s="391">
        <v>968</v>
      </c>
      <c r="G33" s="391">
        <v>1005</v>
      </c>
      <c r="H33" s="391">
        <v>1061</v>
      </c>
      <c r="I33" s="391">
        <v>1125</v>
      </c>
      <c r="J33" s="391">
        <v>1262</v>
      </c>
      <c r="K33" s="391">
        <v>1350</v>
      </c>
      <c r="L33" s="391">
        <v>1423</v>
      </c>
      <c r="M33" s="391">
        <v>1439</v>
      </c>
      <c r="N33" s="391">
        <v>1484</v>
      </c>
      <c r="O33" s="391">
        <v>1499</v>
      </c>
      <c r="P33" s="391">
        <v>1507</v>
      </c>
      <c r="Q33" s="391">
        <v>1544</v>
      </c>
      <c r="R33" s="391">
        <v>1591</v>
      </c>
      <c r="S33" s="391">
        <v>1700</v>
      </c>
      <c r="T33" s="391">
        <v>1700</v>
      </c>
      <c r="U33" s="391">
        <v>1740</v>
      </c>
      <c r="V33" s="391">
        <v>1806</v>
      </c>
      <c r="W33" s="391">
        <v>1857</v>
      </c>
      <c r="X33" s="391">
        <v>1923</v>
      </c>
      <c r="Y33" s="391">
        <v>1971</v>
      </c>
      <c r="Z33" s="391">
        <v>1957</v>
      </c>
      <c r="AA33" s="391">
        <v>2004</v>
      </c>
      <c r="AB33" s="391">
        <v>2044</v>
      </c>
      <c r="AC33" s="391">
        <v>2088</v>
      </c>
      <c r="AD33" s="409">
        <v>2119</v>
      </c>
      <c r="AE33" s="409">
        <v>2118</v>
      </c>
      <c r="AF33" s="409">
        <v>2132</v>
      </c>
      <c r="AG33" s="408" t="s">
        <v>88</v>
      </c>
      <c r="AH33" s="383"/>
      <c r="AI33" s="383"/>
      <c r="AJ33" s="190">
        <v>2132</v>
      </c>
      <c r="AK33" s="190" t="s">
        <v>88</v>
      </c>
      <c r="AL33" s="383"/>
    </row>
    <row r="34" spans="1:52" ht="12.75" customHeight="1">
      <c r="A34" s="212"/>
      <c r="B34" s="213" t="s">
        <v>83</v>
      </c>
      <c r="C34" s="407"/>
      <c r="D34" s="396"/>
      <c r="E34" s="396">
        <v>228</v>
      </c>
      <c r="F34" s="395">
        <v>246</v>
      </c>
      <c r="G34" s="395">
        <v>254</v>
      </c>
      <c r="H34" s="396">
        <v>268</v>
      </c>
      <c r="I34" s="396">
        <v>277</v>
      </c>
      <c r="J34" s="396">
        <v>293</v>
      </c>
      <c r="K34" s="396">
        <v>310</v>
      </c>
      <c r="L34" s="396">
        <v>330</v>
      </c>
      <c r="M34" s="396">
        <v>369</v>
      </c>
      <c r="N34" s="396">
        <v>399</v>
      </c>
      <c r="O34" s="396">
        <v>427</v>
      </c>
      <c r="P34" s="396">
        <v>435</v>
      </c>
      <c r="Q34" s="396">
        <v>457</v>
      </c>
      <c r="R34" s="396">
        <v>477</v>
      </c>
      <c r="S34" s="396">
        <v>483</v>
      </c>
      <c r="T34" s="397">
        <v>569</v>
      </c>
      <c r="U34" s="396">
        <v>579</v>
      </c>
      <c r="V34" s="396">
        <v>579</v>
      </c>
      <c r="W34" s="396">
        <v>696</v>
      </c>
      <c r="X34" s="396">
        <v>747</v>
      </c>
      <c r="Y34" s="396">
        <v>771</v>
      </c>
      <c r="Z34" s="396">
        <v>768</v>
      </c>
      <c r="AA34" s="396">
        <v>769</v>
      </c>
      <c r="AB34" s="396">
        <v>770</v>
      </c>
      <c r="AC34" s="396">
        <v>770</v>
      </c>
      <c r="AD34" s="406">
        <v>773</v>
      </c>
      <c r="AE34" s="406">
        <v>772.95</v>
      </c>
      <c r="AF34" s="406">
        <v>783</v>
      </c>
      <c r="AG34" s="314" t="s">
        <v>83</v>
      </c>
      <c r="AH34" s="383"/>
      <c r="AI34" s="383"/>
      <c r="AJ34" s="190">
        <v>783</v>
      </c>
      <c r="AK34" s="190" t="s">
        <v>83</v>
      </c>
      <c r="AL34" s="383"/>
    </row>
    <row r="35" spans="1:52" ht="12.75" customHeight="1">
      <c r="A35" s="212"/>
      <c r="B35" s="221" t="s">
        <v>85</v>
      </c>
      <c r="C35" s="414"/>
      <c r="D35" s="413"/>
      <c r="E35" s="391">
        <v>192</v>
      </c>
      <c r="F35" s="391">
        <v>198</v>
      </c>
      <c r="G35" s="391">
        <v>198</v>
      </c>
      <c r="H35" s="391">
        <v>198</v>
      </c>
      <c r="I35" s="391">
        <v>198</v>
      </c>
      <c r="J35" s="391">
        <v>198</v>
      </c>
      <c r="K35" s="391">
        <v>215</v>
      </c>
      <c r="L35" s="391">
        <v>219</v>
      </c>
      <c r="M35" s="391">
        <v>292</v>
      </c>
      <c r="N35" s="391">
        <v>295</v>
      </c>
      <c r="O35" s="391">
        <v>296</v>
      </c>
      <c r="P35" s="391">
        <v>296</v>
      </c>
      <c r="Q35" s="391">
        <v>302</v>
      </c>
      <c r="R35" s="391">
        <v>313</v>
      </c>
      <c r="S35" s="391">
        <v>316</v>
      </c>
      <c r="T35" s="392">
        <v>328</v>
      </c>
      <c r="U35" s="391">
        <v>328</v>
      </c>
      <c r="V35" s="391">
        <v>365</v>
      </c>
      <c r="W35" s="391">
        <v>384</v>
      </c>
      <c r="X35" s="391">
        <v>391</v>
      </c>
      <c r="Y35" s="391">
        <v>415.7</v>
      </c>
      <c r="Z35" s="391">
        <v>419.2</v>
      </c>
      <c r="AA35" s="391">
        <v>419.2</v>
      </c>
      <c r="AB35" s="391">
        <v>420</v>
      </c>
      <c r="AC35" s="391">
        <v>419.7</v>
      </c>
      <c r="AD35" s="409">
        <v>463.1</v>
      </c>
      <c r="AE35" s="409">
        <v>463.20699999999999</v>
      </c>
      <c r="AF35" s="409">
        <v>482.3</v>
      </c>
      <c r="AG35" s="408" t="s">
        <v>85</v>
      </c>
      <c r="AH35" s="383"/>
      <c r="AI35" s="383"/>
      <c r="AJ35" s="190">
        <v>482.3</v>
      </c>
      <c r="AK35" s="190" t="s">
        <v>85</v>
      </c>
      <c r="AL35" s="383"/>
    </row>
    <row r="36" spans="1:52" ht="12.75" customHeight="1">
      <c r="A36" s="212"/>
      <c r="B36" s="217" t="s">
        <v>13</v>
      </c>
      <c r="C36" s="389">
        <v>1183</v>
      </c>
      <c r="D36" s="387">
        <v>2683</v>
      </c>
      <c r="E36" s="387">
        <v>3211.6</v>
      </c>
      <c r="F36" s="387">
        <v>3243</v>
      </c>
      <c r="G36" s="387">
        <v>3321</v>
      </c>
      <c r="H36" s="387">
        <v>3352</v>
      </c>
      <c r="I36" s="387">
        <v>3379</v>
      </c>
      <c r="J36" s="387">
        <v>3408</v>
      </c>
      <c r="K36" s="387">
        <v>3488</v>
      </c>
      <c r="L36" s="387">
        <v>3531</v>
      </c>
      <c r="M36" s="387">
        <v>3559</v>
      </c>
      <c r="N36" s="387">
        <v>3577</v>
      </c>
      <c r="O36" s="387">
        <v>3586</v>
      </c>
      <c r="P36" s="387">
        <v>3588</v>
      </c>
      <c r="Q36" s="387">
        <v>3588</v>
      </c>
      <c r="R36" s="387">
        <v>3633</v>
      </c>
      <c r="S36" s="387">
        <v>3628.49</v>
      </c>
      <c r="T36" s="387">
        <v>3665.44</v>
      </c>
      <c r="U36" s="387">
        <v>3669.44</v>
      </c>
      <c r="V36" s="387">
        <v>3672.7999999999997</v>
      </c>
      <c r="W36" s="387">
        <v>3673.8999999999996</v>
      </c>
      <c r="X36" s="387">
        <v>3671.7999999999997</v>
      </c>
      <c r="Y36" s="387">
        <v>3685.6</v>
      </c>
      <c r="Z36" s="387">
        <v>3732.52</v>
      </c>
      <c r="AA36" s="387">
        <v>3756.02</v>
      </c>
      <c r="AB36" s="387">
        <f>3645+114.9</f>
        <v>3759.9</v>
      </c>
      <c r="AC36" s="387">
        <f>3654+114.9</f>
        <v>3768.9</v>
      </c>
      <c r="AD36" s="412">
        <f>AC36</f>
        <v>3768.9</v>
      </c>
      <c r="AE36" s="412">
        <v>3764.33</v>
      </c>
      <c r="AF36" s="412">
        <v>3803.1</v>
      </c>
      <c r="AG36" s="385" t="s">
        <v>13</v>
      </c>
      <c r="AH36" s="383"/>
      <c r="AI36" s="383"/>
      <c r="AJ36" s="190">
        <v>3803.1</v>
      </c>
      <c r="AK36" s="190" t="s">
        <v>13</v>
      </c>
      <c r="AL36" s="383"/>
    </row>
    <row r="37" spans="1:52" ht="12.75" customHeight="1">
      <c r="A37" s="212"/>
      <c r="B37" s="221" t="s">
        <v>270</v>
      </c>
      <c r="C37" s="393"/>
      <c r="D37" s="391"/>
      <c r="E37" s="391"/>
      <c r="F37" s="391"/>
      <c r="G37" s="391"/>
      <c r="H37" s="391"/>
      <c r="I37" s="391"/>
      <c r="J37" s="391"/>
      <c r="K37" s="391"/>
      <c r="L37" s="391"/>
      <c r="M37" s="391"/>
      <c r="N37" s="391"/>
      <c r="O37" s="391"/>
      <c r="P37" s="411"/>
      <c r="Q37" s="391"/>
      <c r="R37" s="391"/>
      <c r="S37" s="391"/>
      <c r="T37" s="392"/>
      <c r="U37" s="391"/>
      <c r="V37" s="391"/>
      <c r="W37" s="391"/>
      <c r="X37" s="391"/>
      <c r="Y37" s="391"/>
      <c r="Z37" s="391"/>
      <c r="AA37" s="390"/>
      <c r="AB37" s="390"/>
      <c r="AC37" s="390"/>
      <c r="AD37" s="410"/>
      <c r="AE37" s="410"/>
      <c r="AF37" s="410"/>
      <c r="AG37" s="408" t="s">
        <v>270</v>
      </c>
    </row>
    <row r="38" spans="1:52" ht="12.75" customHeight="1">
      <c r="A38" s="212"/>
      <c r="B38" s="213" t="s">
        <v>223</v>
      </c>
      <c r="C38" s="407"/>
      <c r="D38" s="396"/>
      <c r="E38" s="396" t="s">
        <v>142</v>
      </c>
      <c r="F38" s="396" t="s">
        <v>142</v>
      </c>
      <c r="G38" s="396" t="s">
        <v>142</v>
      </c>
      <c r="H38" s="396" t="s">
        <v>142</v>
      </c>
      <c r="I38" s="396" t="s">
        <v>142</v>
      </c>
      <c r="J38" s="396" t="s">
        <v>142</v>
      </c>
      <c r="K38" s="396" t="s">
        <v>142</v>
      </c>
      <c r="L38" s="396" t="s">
        <v>142</v>
      </c>
      <c r="M38" s="396" t="s">
        <v>142</v>
      </c>
      <c r="N38" s="396" t="s">
        <v>142</v>
      </c>
      <c r="O38" s="396" t="s">
        <v>142</v>
      </c>
      <c r="P38" s="396" t="s">
        <v>142</v>
      </c>
      <c r="Q38" s="396" t="s">
        <v>142</v>
      </c>
      <c r="R38" s="396" t="s">
        <v>142</v>
      </c>
      <c r="S38" s="396" t="s">
        <v>142</v>
      </c>
      <c r="T38" s="397" t="s">
        <v>142</v>
      </c>
      <c r="U38" s="396" t="s">
        <v>142</v>
      </c>
      <c r="V38" s="396" t="s">
        <v>142</v>
      </c>
      <c r="W38" s="396" t="s">
        <v>142</v>
      </c>
      <c r="X38" s="396" t="s">
        <v>142</v>
      </c>
      <c r="Y38" s="396" t="s">
        <v>142</v>
      </c>
      <c r="Z38" s="396" t="s">
        <v>142</v>
      </c>
      <c r="AA38" s="396" t="s">
        <v>142</v>
      </c>
      <c r="AB38" s="396" t="s">
        <v>142</v>
      </c>
      <c r="AC38" s="396" t="s">
        <v>142</v>
      </c>
      <c r="AD38" s="406" t="s">
        <v>142</v>
      </c>
      <c r="AE38" s="406"/>
      <c r="AF38" s="406"/>
      <c r="AG38" s="405" t="s">
        <v>223</v>
      </c>
    </row>
    <row r="39" spans="1:52" ht="12.75" customHeight="1">
      <c r="A39" s="212"/>
      <c r="B39" s="221" t="s">
        <v>145</v>
      </c>
      <c r="C39" s="393"/>
      <c r="D39" s="391"/>
      <c r="E39" s="391">
        <v>83</v>
      </c>
      <c r="F39" s="391"/>
      <c r="G39" s="391"/>
      <c r="H39" s="391"/>
      <c r="I39" s="391"/>
      <c r="J39" s="391"/>
      <c r="K39" s="391"/>
      <c r="L39" s="391"/>
      <c r="M39" s="391"/>
      <c r="N39" s="391"/>
      <c r="O39" s="391"/>
      <c r="P39" s="391">
        <v>145</v>
      </c>
      <c r="Q39" s="391">
        <v>208</v>
      </c>
      <c r="R39" s="391">
        <v>208</v>
      </c>
      <c r="S39" s="391">
        <v>208</v>
      </c>
      <c r="T39" s="392">
        <v>216</v>
      </c>
      <c r="U39" s="391">
        <v>216</v>
      </c>
      <c r="V39" s="391">
        <v>221</v>
      </c>
      <c r="W39" s="391">
        <v>237</v>
      </c>
      <c r="X39" s="391">
        <v>251</v>
      </c>
      <c r="Y39" s="391">
        <v>251</v>
      </c>
      <c r="Z39" s="391">
        <v>259</v>
      </c>
      <c r="AA39" s="391">
        <v>259</v>
      </c>
      <c r="AB39" s="391">
        <v>259</v>
      </c>
      <c r="AC39" s="391">
        <v>259</v>
      </c>
      <c r="AD39" s="409">
        <v>259</v>
      </c>
      <c r="AE39" s="409"/>
      <c r="AF39" s="409"/>
      <c r="AG39" s="408" t="s">
        <v>145</v>
      </c>
    </row>
    <row r="40" spans="1:52" ht="12.75" customHeight="1">
      <c r="A40" s="212"/>
      <c r="B40" s="213" t="s">
        <v>224</v>
      </c>
      <c r="C40" s="407"/>
      <c r="D40" s="396"/>
      <c r="E40" s="396"/>
      <c r="F40" s="396"/>
      <c r="G40" s="396"/>
      <c r="H40" s="396"/>
      <c r="I40" s="396"/>
      <c r="J40" s="396"/>
      <c r="K40" s="396"/>
      <c r="L40" s="396"/>
      <c r="M40" s="396"/>
      <c r="N40" s="396"/>
      <c r="O40" s="396"/>
      <c r="P40" s="396"/>
      <c r="Q40" s="396"/>
      <c r="R40" s="396">
        <v>603</v>
      </c>
      <c r="S40" s="396">
        <v>603</v>
      </c>
      <c r="T40" s="396">
        <v>603</v>
      </c>
      <c r="U40" s="396">
        <v>603</v>
      </c>
      <c r="V40" s="396">
        <v>603</v>
      </c>
      <c r="W40" s="396">
        <v>603</v>
      </c>
      <c r="X40" s="396">
        <v>603</v>
      </c>
      <c r="Y40" s="396">
        <v>603</v>
      </c>
      <c r="Z40" s="396">
        <v>603</v>
      </c>
      <c r="AA40" s="396">
        <v>603</v>
      </c>
      <c r="AB40" s="396">
        <v>603</v>
      </c>
      <c r="AC40" s="396">
        <v>603</v>
      </c>
      <c r="AD40" s="406">
        <v>603</v>
      </c>
      <c r="AE40" s="406"/>
      <c r="AF40" s="406"/>
      <c r="AG40" s="405" t="s">
        <v>224</v>
      </c>
    </row>
    <row r="41" spans="1:52" ht="12.75" customHeight="1">
      <c r="A41" s="212"/>
      <c r="B41" s="256" t="s">
        <v>146</v>
      </c>
      <c r="C41" s="404"/>
      <c r="D41" s="402"/>
      <c r="E41" s="402">
        <v>281</v>
      </c>
      <c r="F41" s="402">
        <v>387</v>
      </c>
      <c r="G41" s="402">
        <v>757</v>
      </c>
      <c r="H41" s="402"/>
      <c r="I41" s="402"/>
      <c r="J41" s="402"/>
      <c r="K41" s="402"/>
      <c r="L41" s="402"/>
      <c r="M41" s="402"/>
      <c r="N41" s="402"/>
      <c r="O41" s="402"/>
      <c r="P41" s="402">
        <v>1851</v>
      </c>
      <c r="Q41" s="402">
        <v>1851</v>
      </c>
      <c r="R41" s="402">
        <v>1882</v>
      </c>
      <c r="S41" s="402">
        <v>1741</v>
      </c>
      <c r="T41" s="403">
        <v>1667</v>
      </c>
      <c r="U41" s="402">
        <v>1908</v>
      </c>
      <c r="V41" s="402">
        <v>1908</v>
      </c>
      <c r="W41" s="402">
        <v>1922</v>
      </c>
      <c r="X41" s="402">
        <v>2036</v>
      </c>
      <c r="Y41" s="402">
        <v>2080</v>
      </c>
      <c r="Z41" s="402">
        <v>2119</v>
      </c>
      <c r="AA41" s="402">
        <v>2127</v>
      </c>
      <c r="AB41" s="402">
        <v>2127</v>
      </c>
      <c r="AC41" s="402">
        <v>2282</v>
      </c>
      <c r="AD41" s="401">
        <v>2159</v>
      </c>
      <c r="AE41" s="401"/>
      <c r="AF41" s="401"/>
      <c r="AG41" s="400" t="s">
        <v>146</v>
      </c>
    </row>
    <row r="42" spans="1:52" ht="12.75" customHeight="1">
      <c r="A42" s="212"/>
      <c r="B42" s="378" t="s">
        <v>147</v>
      </c>
      <c r="C42" s="399" t="s">
        <v>142</v>
      </c>
      <c r="D42" s="398" t="s">
        <v>142</v>
      </c>
      <c r="E42" s="396" t="s">
        <v>142</v>
      </c>
      <c r="F42" s="396" t="s">
        <v>142</v>
      </c>
      <c r="G42" s="396" t="s">
        <v>142</v>
      </c>
      <c r="H42" s="396" t="s">
        <v>142</v>
      </c>
      <c r="I42" s="396" t="s">
        <v>142</v>
      </c>
      <c r="J42" s="396" t="s">
        <v>142</v>
      </c>
      <c r="K42" s="396" t="s">
        <v>142</v>
      </c>
      <c r="L42" s="396" t="s">
        <v>142</v>
      </c>
      <c r="M42" s="396" t="s">
        <v>142</v>
      </c>
      <c r="N42" s="396" t="s">
        <v>142</v>
      </c>
      <c r="O42" s="396" t="s">
        <v>182</v>
      </c>
      <c r="P42" s="396" t="s">
        <v>142</v>
      </c>
      <c r="Q42" s="396" t="s">
        <v>142</v>
      </c>
      <c r="R42" s="396" t="s">
        <v>142</v>
      </c>
      <c r="S42" s="396" t="s">
        <v>142</v>
      </c>
      <c r="T42" s="397">
        <v>11</v>
      </c>
      <c r="U42" s="396">
        <v>11</v>
      </c>
      <c r="V42" s="396">
        <v>11</v>
      </c>
      <c r="W42" s="396">
        <v>11</v>
      </c>
      <c r="X42" s="396">
        <v>11</v>
      </c>
      <c r="Y42" s="396">
        <v>11</v>
      </c>
      <c r="Z42" s="395">
        <v>11</v>
      </c>
      <c r="AA42" s="395">
        <v>11</v>
      </c>
      <c r="AB42" s="395">
        <v>11</v>
      </c>
      <c r="AC42" s="394">
        <v>11</v>
      </c>
      <c r="AD42" s="394">
        <v>11</v>
      </c>
      <c r="AE42" s="394"/>
      <c r="AF42" s="394"/>
      <c r="AG42" s="378" t="s">
        <v>147</v>
      </c>
    </row>
    <row r="43" spans="1:52" ht="12.75" customHeight="1">
      <c r="A43" s="212"/>
      <c r="B43" s="221" t="s">
        <v>148</v>
      </c>
      <c r="C43" s="393">
        <v>41</v>
      </c>
      <c r="D43" s="391">
        <v>57</v>
      </c>
      <c r="E43" s="391">
        <v>73</v>
      </c>
      <c r="F43" s="391"/>
      <c r="G43" s="391"/>
      <c r="H43" s="391"/>
      <c r="I43" s="391">
        <v>94</v>
      </c>
      <c r="J43" s="391">
        <v>107</v>
      </c>
      <c r="K43" s="391">
        <v>103</v>
      </c>
      <c r="L43" s="391">
        <v>109</v>
      </c>
      <c r="M43" s="391">
        <v>128</v>
      </c>
      <c r="N43" s="391">
        <v>128</v>
      </c>
      <c r="O43" s="391">
        <v>144</v>
      </c>
      <c r="P43" s="391">
        <v>143</v>
      </c>
      <c r="Q43" s="391">
        <v>173</v>
      </c>
      <c r="R43" s="390">
        <v>194</v>
      </c>
      <c r="S43" s="391">
        <v>194</v>
      </c>
      <c r="T43" s="392">
        <v>264</v>
      </c>
      <c r="U43" s="391">
        <v>271</v>
      </c>
      <c r="V43" s="391">
        <v>239</v>
      </c>
      <c r="W43" s="391">
        <v>253</v>
      </c>
      <c r="X43" s="391">
        <v>344</v>
      </c>
      <c r="Y43" s="391">
        <v>381</v>
      </c>
      <c r="Z43" s="391">
        <v>393</v>
      </c>
      <c r="AA43" s="391">
        <v>392</v>
      </c>
      <c r="AB43" s="390">
        <v>392</v>
      </c>
      <c r="AC43" s="390">
        <v>392</v>
      </c>
      <c r="AD43" s="390">
        <v>392</v>
      </c>
      <c r="AE43" s="390"/>
      <c r="AF43" s="390"/>
      <c r="AG43" s="221" t="s">
        <v>148</v>
      </c>
    </row>
    <row r="44" spans="1:52" ht="12.75" customHeight="1">
      <c r="A44" s="212"/>
      <c r="B44" s="217" t="s">
        <v>149</v>
      </c>
      <c r="C44" s="389"/>
      <c r="D44" s="387"/>
      <c r="E44" s="387">
        <v>1148</v>
      </c>
      <c r="F44" s="387">
        <v>1152</v>
      </c>
      <c r="G44" s="387">
        <v>1164</v>
      </c>
      <c r="H44" s="387">
        <v>1184</v>
      </c>
      <c r="I44" s="387">
        <v>1184</v>
      </c>
      <c r="J44" s="387">
        <v>1197</v>
      </c>
      <c r="K44" s="387">
        <v>1244</v>
      </c>
      <c r="L44" s="387">
        <v>1244</v>
      </c>
      <c r="M44" s="387">
        <v>1262</v>
      </c>
      <c r="N44" s="387">
        <v>1267</v>
      </c>
      <c r="O44" s="387">
        <v>1270</v>
      </c>
      <c r="P44" s="387">
        <v>1305</v>
      </c>
      <c r="Q44" s="387">
        <v>1304</v>
      </c>
      <c r="R44" s="387">
        <v>1351</v>
      </c>
      <c r="S44" s="387">
        <v>1341</v>
      </c>
      <c r="T44" s="388">
        <v>1358</v>
      </c>
      <c r="U44" s="387">
        <v>1361</v>
      </c>
      <c r="V44" s="387">
        <v>1383</v>
      </c>
      <c r="W44" s="387">
        <v>1383</v>
      </c>
      <c r="X44" s="387">
        <v>1406</v>
      </c>
      <c r="Y44" s="387">
        <v>1406</v>
      </c>
      <c r="Z44" s="387">
        <v>1415</v>
      </c>
      <c r="AA44" s="387">
        <v>1419</v>
      </c>
      <c r="AB44" s="387">
        <v>1419</v>
      </c>
      <c r="AC44" s="387">
        <v>1429</v>
      </c>
      <c r="AD44" s="386">
        <v>1440</v>
      </c>
      <c r="AE44" s="386"/>
      <c r="AF44" s="386"/>
      <c r="AG44" s="385" t="s">
        <v>149</v>
      </c>
    </row>
    <row r="45" spans="1:52" ht="44.25" customHeight="1">
      <c r="B45" s="1154" t="s">
        <v>275</v>
      </c>
      <c r="C45" s="1154"/>
      <c r="D45" s="1154"/>
      <c r="E45" s="1154"/>
      <c r="F45" s="1154"/>
      <c r="G45" s="1154"/>
      <c r="H45" s="1154"/>
      <c r="I45" s="1154"/>
      <c r="J45" s="1154"/>
      <c r="K45" s="1154"/>
      <c r="L45" s="1154"/>
      <c r="M45" s="1154"/>
      <c r="N45" s="1154"/>
      <c r="O45" s="1154"/>
      <c r="P45" s="1154"/>
      <c r="Q45" s="1154"/>
      <c r="R45" s="1154"/>
      <c r="S45" s="1154"/>
      <c r="T45" s="1154"/>
      <c r="U45" s="1154"/>
      <c r="V45" s="1154"/>
      <c r="W45" s="1154"/>
      <c r="X45" s="266"/>
      <c r="Y45" s="266"/>
      <c r="Z45" s="266"/>
      <c r="AA45" s="266"/>
      <c r="AB45" s="266"/>
      <c r="AC45" s="266"/>
      <c r="AD45" s="266"/>
      <c r="AE45" s="266"/>
      <c r="AF45" s="266"/>
    </row>
    <row r="46" spans="1:52" ht="12.75" customHeight="1">
      <c r="B46" s="270" t="s">
        <v>183</v>
      </c>
      <c r="C46" s="333"/>
      <c r="D46" s="333"/>
      <c r="E46" s="333"/>
      <c r="F46" s="333"/>
      <c r="G46" s="333"/>
      <c r="H46" s="333"/>
      <c r="I46" s="333"/>
      <c r="J46" s="333"/>
      <c r="K46" s="333"/>
      <c r="L46" s="333"/>
      <c r="M46" s="333"/>
      <c r="N46" s="333"/>
      <c r="O46" s="333"/>
      <c r="P46" s="333"/>
      <c r="Q46" s="333"/>
    </row>
    <row r="47" spans="1:52" ht="12.75" customHeight="1">
      <c r="B47" s="331" t="s">
        <v>184</v>
      </c>
    </row>
    <row r="48" spans="1:52" ht="12.75" customHeight="1">
      <c r="B48" s="384" t="s">
        <v>185</v>
      </c>
      <c r="AH48" s="383">
        <v>1994</v>
      </c>
      <c r="AI48" s="383">
        <v>1995</v>
      </c>
      <c r="AJ48" s="383">
        <v>1996</v>
      </c>
      <c r="AK48" s="383">
        <v>1997</v>
      </c>
      <c r="AL48" s="383">
        <v>1998</v>
      </c>
      <c r="AM48" s="383">
        <v>1999</v>
      </c>
      <c r="AN48" s="383">
        <v>2000</v>
      </c>
      <c r="AO48" s="383">
        <v>2001</v>
      </c>
      <c r="AP48" s="383">
        <v>2002</v>
      </c>
      <c r="AQ48" s="383">
        <v>2003</v>
      </c>
      <c r="AR48" s="383">
        <v>2004</v>
      </c>
      <c r="AS48" s="383">
        <v>2005</v>
      </c>
      <c r="AT48" s="383">
        <v>2006</v>
      </c>
      <c r="AU48" s="383">
        <v>2007</v>
      </c>
      <c r="AV48" s="383">
        <v>2008</v>
      </c>
      <c r="AW48" s="383">
        <v>2009</v>
      </c>
      <c r="AX48" s="383">
        <v>2010</v>
      </c>
      <c r="AY48" s="383">
        <v>2011</v>
      </c>
      <c r="AZ48" s="383">
        <v>2012</v>
      </c>
    </row>
    <row r="49" spans="2:52" ht="12.75" customHeight="1">
      <c r="B49" s="331" t="s">
        <v>186</v>
      </c>
      <c r="C49" s="383"/>
      <c r="D49" s="383"/>
      <c r="E49" s="383"/>
      <c r="F49" s="383"/>
      <c r="G49" s="383"/>
      <c r="H49" s="383"/>
      <c r="I49" s="383"/>
      <c r="J49" s="383"/>
      <c r="K49" s="383"/>
      <c r="L49" s="383"/>
      <c r="M49" s="383"/>
      <c r="N49" s="383"/>
      <c r="O49" s="383"/>
      <c r="P49" s="383"/>
      <c r="Q49" s="383"/>
      <c r="R49" s="383"/>
      <c r="S49" s="383"/>
      <c r="T49" s="383"/>
      <c r="U49" s="383"/>
      <c r="V49" s="383"/>
      <c r="AH49" s="190">
        <v>3269</v>
      </c>
      <c r="AI49" s="190">
        <v>3298</v>
      </c>
      <c r="AJ49" s="190">
        <v>3378</v>
      </c>
      <c r="AK49" s="190">
        <v>3421</v>
      </c>
      <c r="AL49" s="190">
        <v>3449</v>
      </c>
      <c r="AM49" s="190">
        <v>3467</v>
      </c>
      <c r="AN49" s="190">
        <v>3476</v>
      </c>
      <c r="AO49" s="190">
        <v>3478</v>
      </c>
      <c r="AP49" s="190">
        <v>3478</v>
      </c>
      <c r="AQ49" s="190">
        <v>3523</v>
      </c>
      <c r="AR49" s="190">
        <v>3518.49</v>
      </c>
      <c r="AS49" s="190">
        <v>3555.44</v>
      </c>
      <c r="AT49" s="190">
        <v>3559.44</v>
      </c>
      <c r="AU49" s="190">
        <v>3558.6</v>
      </c>
      <c r="AV49" s="190">
        <v>3559.7</v>
      </c>
      <c r="AW49" s="190">
        <v>3557.6</v>
      </c>
      <c r="AX49" s="190">
        <v>3570.2</v>
      </c>
      <c r="AY49" s="190">
        <v>3617.02</v>
      </c>
      <c r="AZ49" s="190">
        <v>3641.12</v>
      </c>
    </row>
    <row r="50" spans="2:52" ht="12.75" customHeight="1">
      <c r="B50" s="331" t="s">
        <v>276</v>
      </c>
      <c r="C50" s="383"/>
      <c r="D50" s="383"/>
      <c r="E50" s="383"/>
      <c r="F50" s="383"/>
      <c r="G50" s="383"/>
      <c r="H50" s="383"/>
      <c r="I50" s="383"/>
      <c r="J50" s="383"/>
      <c r="K50" s="383"/>
      <c r="L50" s="383"/>
      <c r="M50" s="383"/>
      <c r="N50" s="383"/>
      <c r="O50" s="383"/>
      <c r="P50" s="383"/>
      <c r="Q50" s="383"/>
      <c r="R50" s="383"/>
      <c r="S50" s="383"/>
      <c r="T50" s="383"/>
      <c r="U50" s="383"/>
      <c r="V50" s="383"/>
      <c r="AH50" s="190">
        <v>110</v>
      </c>
      <c r="AI50" s="190">
        <v>110</v>
      </c>
      <c r="AJ50" s="190">
        <v>110</v>
      </c>
      <c r="AK50" s="190">
        <v>110</v>
      </c>
      <c r="AL50" s="190">
        <v>110</v>
      </c>
      <c r="AM50" s="190">
        <v>110</v>
      </c>
      <c r="AN50" s="190">
        <v>110</v>
      </c>
      <c r="AO50" s="190">
        <v>110</v>
      </c>
      <c r="AP50" s="190">
        <v>110</v>
      </c>
      <c r="AQ50" s="190">
        <v>110</v>
      </c>
      <c r="AR50" s="190">
        <v>110</v>
      </c>
      <c r="AS50" s="190">
        <v>110</v>
      </c>
      <c r="AT50" s="190">
        <v>110</v>
      </c>
      <c r="AU50" s="190">
        <v>114.2</v>
      </c>
      <c r="AV50" s="190">
        <v>114.2</v>
      </c>
      <c r="AW50" s="190">
        <v>114.2</v>
      </c>
      <c r="AX50" s="190">
        <v>115.4</v>
      </c>
      <c r="AY50" s="190">
        <v>115.5</v>
      </c>
      <c r="AZ50" s="190">
        <v>114.9</v>
      </c>
    </row>
    <row r="51" spans="2:52">
      <c r="AH51" s="190">
        <f t="shared" ref="AH51:AZ51" si="0">SUM(AH49:AH50)</f>
        <v>3379</v>
      </c>
      <c r="AI51" s="190">
        <f t="shared" si="0"/>
        <v>3408</v>
      </c>
      <c r="AJ51" s="190">
        <f t="shared" si="0"/>
        <v>3488</v>
      </c>
      <c r="AK51" s="190">
        <f t="shared" si="0"/>
        <v>3531</v>
      </c>
      <c r="AL51" s="190">
        <f t="shared" si="0"/>
        <v>3559</v>
      </c>
      <c r="AM51" s="190">
        <f t="shared" si="0"/>
        <v>3577</v>
      </c>
      <c r="AN51" s="190">
        <f t="shared" si="0"/>
        <v>3586</v>
      </c>
      <c r="AO51" s="190">
        <f t="shared" si="0"/>
        <v>3588</v>
      </c>
      <c r="AP51" s="190">
        <f t="shared" si="0"/>
        <v>3588</v>
      </c>
      <c r="AQ51" s="190">
        <f t="shared" si="0"/>
        <v>3633</v>
      </c>
      <c r="AR51" s="190">
        <f t="shared" si="0"/>
        <v>3628.49</v>
      </c>
      <c r="AS51" s="190">
        <f t="shared" si="0"/>
        <v>3665.44</v>
      </c>
      <c r="AT51" s="190">
        <f t="shared" si="0"/>
        <v>3669.44</v>
      </c>
      <c r="AU51" s="190">
        <f t="shared" si="0"/>
        <v>3672.7999999999997</v>
      </c>
      <c r="AV51" s="190">
        <f t="shared" si="0"/>
        <v>3673.8999999999996</v>
      </c>
      <c r="AW51" s="190">
        <f t="shared" si="0"/>
        <v>3671.7999999999997</v>
      </c>
      <c r="AX51" s="190">
        <f t="shared" si="0"/>
        <v>3685.6</v>
      </c>
      <c r="AY51" s="190">
        <f t="shared" si="0"/>
        <v>3732.52</v>
      </c>
      <c r="AZ51" s="190">
        <f t="shared" si="0"/>
        <v>3756.02</v>
      </c>
    </row>
  </sheetData>
  <mergeCells count="4">
    <mergeCell ref="B1:C1"/>
    <mergeCell ref="B45:W45"/>
    <mergeCell ref="B2:AG2"/>
    <mergeCell ref="B3:AG3"/>
  </mergeCells>
  <printOptions horizontalCentered="1"/>
  <pageMargins left="0.47244094488188981" right="0.47244094488188981" top="0.51181102362204722"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73"/>
  <sheetViews>
    <sheetView zoomScaleNormal="100" workbookViewId="0">
      <selection activeCell="H11" sqref="H11"/>
    </sheetView>
  </sheetViews>
  <sheetFormatPr defaultRowHeight="12.75"/>
  <cols>
    <col min="1" max="1" width="2.7109375" style="333" customWidth="1"/>
    <col min="2" max="2" width="4.28515625" style="333" customWidth="1"/>
    <col min="3" max="6" width="10.7109375" style="333" customWidth="1"/>
    <col min="7" max="7" width="4" style="440" customWidth="1"/>
    <col min="8" max="16384" width="9.140625" style="333"/>
  </cols>
  <sheetData>
    <row r="1" spans="1:21" ht="15" customHeight="1">
      <c r="B1" s="1161"/>
      <c r="C1" s="1161"/>
      <c r="D1" s="439"/>
      <c r="E1" s="439"/>
      <c r="F1" s="1162" t="s">
        <v>187</v>
      </c>
      <c r="G1" s="1163"/>
    </row>
    <row r="2" spans="1:21" ht="30" customHeight="1">
      <c r="B2" s="1164" t="s">
        <v>188</v>
      </c>
      <c r="C2" s="1164"/>
      <c r="D2" s="1164"/>
      <c r="E2" s="1164"/>
      <c r="F2" s="1164"/>
      <c r="G2" s="1164"/>
    </row>
    <row r="3" spans="1:21" ht="15" customHeight="1">
      <c r="C3" s="1165" t="s">
        <v>357</v>
      </c>
      <c r="D3" s="1165"/>
      <c r="E3" s="1165"/>
      <c r="F3" s="1165"/>
      <c r="G3" s="436"/>
    </row>
    <row r="4" spans="1:21" ht="12.75" customHeight="1">
      <c r="B4" s="440"/>
      <c r="C4" s="1166" t="s">
        <v>20</v>
      </c>
      <c r="D4" s="1166" t="s">
        <v>189</v>
      </c>
      <c r="E4" s="1166" t="s">
        <v>190</v>
      </c>
      <c r="F4" s="1166" t="s">
        <v>191</v>
      </c>
      <c r="G4" s="441"/>
    </row>
    <row r="5" spans="1:21" ht="12.75" customHeight="1">
      <c r="B5" s="440"/>
      <c r="C5" s="1167"/>
      <c r="D5" s="1167"/>
      <c r="E5" s="1167"/>
      <c r="F5" s="1167"/>
      <c r="G5" s="441"/>
    </row>
    <row r="6" spans="1:21">
      <c r="B6" s="440"/>
      <c r="C6" s="1167"/>
      <c r="D6" s="1167"/>
      <c r="E6" s="1167"/>
      <c r="F6" s="1167"/>
      <c r="G6" s="441"/>
      <c r="H6" s="333" t="s">
        <v>363</v>
      </c>
    </row>
    <row r="7" spans="1:21" ht="7.5" customHeight="1">
      <c r="B7" s="440"/>
      <c r="C7" s="1168"/>
      <c r="D7" s="1168"/>
      <c r="E7" s="1168"/>
      <c r="F7" s="1168"/>
      <c r="G7" s="441"/>
    </row>
    <row r="8" spans="1:21" ht="15" customHeight="1">
      <c r="B8" s="96" t="s">
        <v>237</v>
      </c>
      <c r="C8" s="176">
        <f>SUM(C11:C38)</f>
        <v>76826.650999999983</v>
      </c>
      <c r="D8" s="176">
        <f>SUM(D11:D38)</f>
        <v>298960.69422841887</v>
      </c>
      <c r="E8" s="176">
        <f>SUM(E11:E38)</f>
        <v>1518816.04</v>
      </c>
      <c r="F8" s="737">
        <f>SUM(F11:F38)</f>
        <v>2999569.1409999998</v>
      </c>
      <c r="G8" s="441"/>
      <c r="H8" s="177">
        <f>SUM(C8:E8)/1000</f>
        <v>1894.6033852284188</v>
      </c>
    </row>
    <row r="9" spans="1:21" ht="15" customHeight="1">
      <c r="B9" s="97" t="s">
        <v>89</v>
      </c>
      <c r="C9" s="176">
        <f>C11+C12+C17+C21+C22+C16+C19+C25+C26+C28+C31+C33+C20+C35+C38</f>
        <v>67271.793999999994</v>
      </c>
      <c r="D9" s="176">
        <f>D11+D12+D17+D21+D22+D16+D19+D25+D26+D28+D31+D33+D20+D35+D38</f>
        <v>208374.9142284189</v>
      </c>
      <c r="E9" s="176">
        <f>E11+E12+E17+E21+E22+E16+E19+E25+E26+E28+E31+E33+E20+E35+E38</f>
        <v>1205415</v>
      </c>
      <c r="F9" s="738">
        <f>F11+F12+F17+F21+F22+F16+F19+F25+F26+F28+F31+F33+F20+F35+F38</f>
        <v>2225143.4</v>
      </c>
      <c r="G9" s="441"/>
      <c r="H9" s="177">
        <f t="shared" ref="H9:H38" si="0">SUM(C9:E9)/1000</f>
        <v>1481.0617082284189</v>
      </c>
    </row>
    <row r="10" spans="1:21" ht="15" customHeight="1">
      <c r="B10" s="97"/>
      <c r="C10" s="98"/>
      <c r="D10" s="97"/>
      <c r="E10" s="97"/>
      <c r="F10" s="97"/>
      <c r="G10" s="441"/>
      <c r="H10" s="177"/>
    </row>
    <row r="11" spans="1:21" ht="12.75" customHeight="1">
      <c r="A11" s="212"/>
      <c r="B11" s="378" t="s">
        <v>81</v>
      </c>
      <c r="C11" s="407">
        <v>1743.4639999999999</v>
      </c>
      <c r="D11" s="455">
        <v>10826.099</v>
      </c>
      <c r="E11" s="455">
        <v>23673</v>
      </c>
      <c r="F11" s="456">
        <v>94146</v>
      </c>
      <c r="G11" s="378" t="s">
        <v>81</v>
      </c>
      <c r="H11" s="177">
        <f>SUM(C11:E11)/1000</f>
        <v>36.242563000000004</v>
      </c>
      <c r="J11" s="736"/>
      <c r="N11" s="333" t="s">
        <v>81</v>
      </c>
      <c r="O11" s="333">
        <v>1743.4639999999999</v>
      </c>
      <c r="P11" s="333">
        <v>10826.099</v>
      </c>
      <c r="Q11" s="333">
        <v>23673</v>
      </c>
      <c r="R11" s="333">
        <v>94146</v>
      </c>
      <c r="S11" s="333" t="s">
        <v>81</v>
      </c>
      <c r="T11" s="177"/>
      <c r="U11" s="625"/>
    </row>
    <row r="12" spans="1:21" ht="12.75" customHeight="1">
      <c r="A12" s="212"/>
      <c r="B12" s="221" t="s">
        <v>60</v>
      </c>
      <c r="C12" s="454">
        <v>1763</v>
      </c>
      <c r="D12" s="391">
        <v>13229</v>
      </c>
      <c r="E12" s="391">
        <v>1349</v>
      </c>
      <c r="F12" s="409">
        <v>138869</v>
      </c>
      <c r="G12" s="221" t="s">
        <v>60</v>
      </c>
      <c r="H12" s="177">
        <f t="shared" si="0"/>
        <v>16.341000000000001</v>
      </c>
      <c r="N12" s="333" t="s">
        <v>60</v>
      </c>
      <c r="O12" s="333">
        <v>1763</v>
      </c>
      <c r="P12" s="333">
        <v>13229</v>
      </c>
      <c r="Q12" s="333">
        <v>1349</v>
      </c>
      <c r="R12" s="333">
        <v>138869</v>
      </c>
      <c r="S12" s="333" t="s">
        <v>60</v>
      </c>
      <c r="T12" s="177"/>
      <c r="U12" s="625"/>
    </row>
    <row r="13" spans="1:21" ht="12.75" customHeight="1">
      <c r="A13" s="212"/>
      <c r="B13" s="213" t="s">
        <v>100</v>
      </c>
      <c r="C13" s="407">
        <v>734</v>
      </c>
      <c r="D13" s="396">
        <v>2928</v>
      </c>
      <c r="E13" s="444">
        <v>4028</v>
      </c>
      <c r="F13" s="445">
        <v>12171</v>
      </c>
      <c r="G13" s="213" t="s">
        <v>100</v>
      </c>
      <c r="H13" s="177">
        <f t="shared" si="0"/>
        <v>7.69</v>
      </c>
      <c r="N13" s="333" t="s">
        <v>100</v>
      </c>
      <c r="O13" s="333">
        <v>734</v>
      </c>
      <c r="P13" s="333">
        <v>2928</v>
      </c>
      <c r="Q13" s="333">
        <v>4028</v>
      </c>
      <c r="R13" s="333">
        <v>12171</v>
      </c>
      <c r="S13" s="333" t="s">
        <v>100</v>
      </c>
      <c r="T13" s="177"/>
      <c r="U13" s="625"/>
    </row>
    <row r="14" spans="1:21" ht="12.75" customHeight="1">
      <c r="A14" s="212"/>
      <c r="B14" s="221" t="s">
        <v>71</v>
      </c>
      <c r="C14" s="407">
        <v>272</v>
      </c>
      <c r="D14" s="391">
        <v>2219</v>
      </c>
      <c r="E14" s="391">
        <v>2313</v>
      </c>
      <c r="F14" s="409">
        <v>5066</v>
      </c>
      <c r="G14" s="221" t="s">
        <v>71</v>
      </c>
      <c r="H14" s="177">
        <f t="shared" si="0"/>
        <v>4.8040000000000003</v>
      </c>
      <c r="N14" s="333" t="s">
        <v>71</v>
      </c>
      <c r="O14" s="333">
        <v>272</v>
      </c>
      <c r="P14" s="333">
        <v>2219</v>
      </c>
      <c r="Q14" s="333">
        <v>2313</v>
      </c>
      <c r="R14" s="333">
        <v>5066</v>
      </c>
      <c r="S14" s="333" t="s">
        <v>71</v>
      </c>
      <c r="T14" s="177"/>
      <c r="U14" s="625"/>
    </row>
    <row r="15" spans="1:21" ht="12.75" customHeight="1">
      <c r="A15" s="212"/>
      <c r="B15" s="221" t="s">
        <v>61</v>
      </c>
      <c r="C15" s="407">
        <v>1222.7</v>
      </c>
      <c r="D15" s="391">
        <v>5825</v>
      </c>
      <c r="E15" s="391">
        <v>48692</v>
      </c>
      <c r="F15" s="409">
        <v>74919</v>
      </c>
      <c r="G15" s="221" t="s">
        <v>61</v>
      </c>
      <c r="H15" s="177">
        <f t="shared" si="0"/>
        <v>55.739699999999999</v>
      </c>
      <c r="N15" s="333" t="s">
        <v>61</v>
      </c>
      <c r="O15" s="333">
        <v>1222.7</v>
      </c>
      <c r="P15" s="333">
        <v>5825</v>
      </c>
      <c r="Q15" s="333">
        <v>48692</v>
      </c>
      <c r="R15" s="333">
        <v>74919</v>
      </c>
      <c r="S15" s="333" t="s">
        <v>61</v>
      </c>
      <c r="T15" s="177"/>
      <c r="U15" s="625"/>
    </row>
    <row r="16" spans="1:21" ht="12.75" customHeight="1">
      <c r="A16" s="212"/>
      <c r="B16" s="221" t="s">
        <v>63</v>
      </c>
      <c r="C16" s="393">
        <v>12996</v>
      </c>
      <c r="D16" s="391">
        <v>38018</v>
      </c>
      <c r="E16" s="391">
        <v>178876</v>
      </c>
      <c r="F16" s="410"/>
      <c r="G16" s="221" t="s">
        <v>63</v>
      </c>
      <c r="H16" s="177">
        <f t="shared" si="0"/>
        <v>229.89</v>
      </c>
      <c r="N16" s="333" t="s">
        <v>63</v>
      </c>
      <c r="O16" s="333">
        <v>12996</v>
      </c>
      <c r="P16" s="333">
        <v>38018</v>
      </c>
      <c r="Q16" s="333">
        <v>178876</v>
      </c>
      <c r="S16" s="333" t="s">
        <v>63</v>
      </c>
      <c r="T16" s="177"/>
      <c r="U16" s="625"/>
    </row>
    <row r="17" spans="1:21" ht="12.75" customHeight="1">
      <c r="A17" s="212"/>
      <c r="B17" s="213" t="s">
        <v>14</v>
      </c>
      <c r="C17" s="407">
        <v>1255</v>
      </c>
      <c r="D17" s="396">
        <v>2602</v>
      </c>
      <c r="E17" s="451">
        <v>70817</v>
      </c>
      <c r="F17" s="452"/>
      <c r="G17" s="213" t="s">
        <v>14</v>
      </c>
      <c r="H17" s="177">
        <f t="shared" si="0"/>
        <v>74.674000000000007</v>
      </c>
      <c r="N17" s="333" t="s">
        <v>14</v>
      </c>
      <c r="O17" s="333">
        <v>1255</v>
      </c>
      <c r="P17" s="333">
        <v>2602</v>
      </c>
      <c r="Q17" s="333">
        <v>70817</v>
      </c>
      <c r="S17" s="333" t="s">
        <v>14</v>
      </c>
      <c r="T17" s="177"/>
      <c r="U17" s="625"/>
    </row>
    <row r="18" spans="1:21" ht="12.75" customHeight="1">
      <c r="A18" s="212"/>
      <c r="B18" s="213" t="s">
        <v>64</v>
      </c>
      <c r="C18" s="407">
        <v>145</v>
      </c>
      <c r="D18" s="396">
        <v>3869</v>
      </c>
      <c r="E18" s="396">
        <v>12589.779</v>
      </c>
      <c r="F18" s="406">
        <v>42370.220999999998</v>
      </c>
      <c r="G18" s="213" t="s">
        <v>64</v>
      </c>
      <c r="H18" s="177">
        <f t="shared" si="0"/>
        <v>16.603779000000003</v>
      </c>
      <c r="N18" s="333" t="s">
        <v>64</v>
      </c>
      <c r="O18" s="333">
        <v>145</v>
      </c>
      <c r="P18" s="333">
        <v>3869</v>
      </c>
      <c r="Q18" s="333">
        <v>12589.779</v>
      </c>
      <c r="R18" s="333">
        <v>42370.220999999998</v>
      </c>
      <c r="S18" s="333" t="s">
        <v>64</v>
      </c>
      <c r="T18" s="177"/>
      <c r="U18" s="625"/>
    </row>
    <row r="19" spans="1:21" ht="12.75" customHeight="1">
      <c r="A19" s="212"/>
      <c r="B19" s="213" t="s">
        <v>15</v>
      </c>
      <c r="C19" s="407">
        <v>1842.8</v>
      </c>
      <c r="D19" s="396">
        <v>9299</v>
      </c>
      <c r="E19" s="396">
        <v>30864</v>
      </c>
      <c r="F19" s="406">
        <v>75600</v>
      </c>
      <c r="G19" s="213" t="s">
        <v>15</v>
      </c>
      <c r="H19" s="177">
        <f t="shared" si="0"/>
        <v>42.005800000000001</v>
      </c>
      <c r="N19" s="333" t="s">
        <v>15</v>
      </c>
      <c r="O19" s="333">
        <v>1842.8</v>
      </c>
      <c r="P19" s="333">
        <v>9299</v>
      </c>
      <c r="Q19" s="333">
        <v>30864</v>
      </c>
      <c r="R19" s="333">
        <v>75600</v>
      </c>
      <c r="S19" s="333" t="s">
        <v>15</v>
      </c>
      <c r="T19" s="177"/>
      <c r="U19" s="625"/>
    </row>
    <row r="20" spans="1:21" ht="12.75" customHeight="1">
      <c r="A20" s="212"/>
      <c r="B20" s="221" t="s">
        <v>66</v>
      </c>
      <c r="C20" s="407">
        <v>15444</v>
      </c>
      <c r="D20" s="391">
        <v>14905</v>
      </c>
      <c r="E20" s="391">
        <v>135259</v>
      </c>
      <c r="F20" s="410">
        <v>501053</v>
      </c>
      <c r="G20" s="221" t="s">
        <v>66</v>
      </c>
      <c r="H20" s="177">
        <f t="shared" si="0"/>
        <v>165.608</v>
      </c>
      <c r="N20" s="333" t="s">
        <v>66</v>
      </c>
      <c r="O20" s="333">
        <v>15444</v>
      </c>
      <c r="P20" s="333">
        <v>14905</v>
      </c>
      <c r="Q20" s="333">
        <v>135259</v>
      </c>
      <c r="R20" s="333">
        <v>501053</v>
      </c>
      <c r="S20" s="333" t="s">
        <v>66</v>
      </c>
      <c r="T20" s="177"/>
      <c r="U20" s="625"/>
    </row>
    <row r="21" spans="1:21" ht="12.75" customHeight="1">
      <c r="A21" s="212"/>
      <c r="B21" s="213" t="s">
        <v>87</v>
      </c>
      <c r="C21" s="407">
        <v>890</v>
      </c>
      <c r="D21" s="396">
        <v>12575</v>
      </c>
      <c r="E21" s="396">
        <v>13451</v>
      </c>
      <c r="F21" s="406">
        <v>51065</v>
      </c>
      <c r="G21" s="213" t="s">
        <v>87</v>
      </c>
      <c r="H21" s="177">
        <f t="shared" si="0"/>
        <v>26.916</v>
      </c>
      <c r="N21" s="333" t="s">
        <v>87</v>
      </c>
      <c r="O21" s="333">
        <v>890</v>
      </c>
      <c r="P21" s="333">
        <v>12575</v>
      </c>
      <c r="Q21" s="333">
        <v>13451</v>
      </c>
      <c r="R21" s="333">
        <v>51065</v>
      </c>
      <c r="S21" s="333" t="s">
        <v>87</v>
      </c>
      <c r="T21" s="177"/>
      <c r="U21" s="625"/>
    </row>
    <row r="22" spans="1:21" ht="12.75" customHeight="1">
      <c r="A22" s="212"/>
      <c r="B22" s="213" t="s">
        <v>67</v>
      </c>
      <c r="C22" s="407">
        <v>11612</v>
      </c>
      <c r="D22" s="396">
        <v>9044</v>
      </c>
      <c r="E22" s="396">
        <v>377890</v>
      </c>
      <c r="F22" s="406">
        <v>704999</v>
      </c>
      <c r="G22" s="213" t="s">
        <v>67</v>
      </c>
      <c r="H22" s="177">
        <f t="shared" si="0"/>
        <v>398.54599999999999</v>
      </c>
      <c r="N22" s="333" t="s">
        <v>67</v>
      </c>
      <c r="O22" s="333">
        <v>11612</v>
      </c>
      <c r="P22" s="333">
        <v>9044</v>
      </c>
      <c r="Q22" s="333">
        <v>377890</v>
      </c>
      <c r="R22" s="333">
        <v>704999</v>
      </c>
      <c r="S22" s="333" t="s">
        <v>67</v>
      </c>
      <c r="T22" s="177"/>
      <c r="U22" s="625"/>
    </row>
    <row r="23" spans="1:21" ht="12.75" customHeight="1">
      <c r="A23" s="212"/>
      <c r="B23" s="221" t="s">
        <v>144</v>
      </c>
      <c r="C23" s="414">
        <v>1310</v>
      </c>
      <c r="D23" s="391">
        <v>6969</v>
      </c>
      <c r="E23" s="391">
        <v>9521</v>
      </c>
      <c r="F23" s="409">
        <v>9022</v>
      </c>
      <c r="G23" s="221" t="s">
        <v>144</v>
      </c>
      <c r="H23" s="177">
        <f t="shared" si="0"/>
        <v>17.8</v>
      </c>
      <c r="N23" s="333" t="s">
        <v>144</v>
      </c>
      <c r="O23" s="333">
        <v>1310</v>
      </c>
      <c r="P23" s="333">
        <v>6969</v>
      </c>
      <c r="Q23" s="333">
        <v>9521</v>
      </c>
      <c r="R23" s="333">
        <v>9022</v>
      </c>
      <c r="S23" s="333" t="s">
        <v>144</v>
      </c>
      <c r="T23" s="177"/>
      <c r="U23" s="625"/>
    </row>
    <row r="24" spans="1:21" ht="12.75" customHeight="1">
      <c r="A24" s="212"/>
      <c r="B24" s="221" t="s">
        <v>77</v>
      </c>
      <c r="C24" s="393">
        <v>1924</v>
      </c>
      <c r="D24" s="453">
        <v>30069</v>
      </c>
      <c r="E24" s="453"/>
      <c r="F24" s="409">
        <v>178809</v>
      </c>
      <c r="G24" s="221" t="s">
        <v>77</v>
      </c>
      <c r="H24" s="177">
        <f t="shared" si="0"/>
        <v>31.992999999999999</v>
      </c>
      <c r="N24" s="333" t="s">
        <v>77</v>
      </c>
      <c r="O24" s="333">
        <v>1924</v>
      </c>
      <c r="P24" s="333">
        <v>30069</v>
      </c>
      <c r="R24" s="333">
        <v>178809</v>
      </c>
      <c r="S24" s="333" t="s">
        <v>77</v>
      </c>
      <c r="T24" s="177"/>
      <c r="U24" s="625"/>
    </row>
    <row r="25" spans="1:21" ht="12.75" customHeight="1">
      <c r="A25" s="212"/>
      <c r="B25" s="221" t="s">
        <v>68</v>
      </c>
      <c r="C25" s="393">
        <v>916</v>
      </c>
      <c r="D25" s="391">
        <v>4390</v>
      </c>
      <c r="E25" s="391">
        <v>13120</v>
      </c>
      <c r="F25" s="409">
        <v>80472</v>
      </c>
      <c r="G25" s="221" t="s">
        <v>68</v>
      </c>
      <c r="H25" s="177">
        <f t="shared" si="0"/>
        <v>18.425999999999998</v>
      </c>
      <c r="N25" s="333" t="s">
        <v>68</v>
      </c>
      <c r="O25" s="333">
        <v>916</v>
      </c>
      <c r="P25" s="333">
        <v>4390</v>
      </c>
      <c r="Q25" s="333">
        <v>13120</v>
      </c>
      <c r="R25" s="333">
        <v>80472</v>
      </c>
      <c r="S25" s="333" t="s">
        <v>68</v>
      </c>
      <c r="T25" s="177"/>
      <c r="U25" s="625"/>
    </row>
    <row r="26" spans="1:21" ht="12.75" customHeight="1">
      <c r="A26" s="212"/>
      <c r="B26" s="213" t="s">
        <v>69</v>
      </c>
      <c r="C26" s="407">
        <v>6943.2</v>
      </c>
      <c r="D26" s="396">
        <v>20786</v>
      </c>
      <c r="E26" s="396">
        <v>155247</v>
      </c>
      <c r="F26" s="406">
        <v>73591</v>
      </c>
      <c r="G26" s="213" t="s">
        <v>69</v>
      </c>
      <c r="H26" s="177">
        <f t="shared" si="0"/>
        <v>182.97620000000001</v>
      </c>
      <c r="N26" s="333" t="s">
        <v>69</v>
      </c>
      <c r="O26" s="333">
        <v>6943.2</v>
      </c>
      <c r="P26" s="333">
        <v>20786</v>
      </c>
      <c r="Q26" s="333">
        <v>155247</v>
      </c>
      <c r="R26" s="333">
        <v>73591</v>
      </c>
      <c r="S26" s="333" t="s">
        <v>69</v>
      </c>
      <c r="T26" s="177"/>
      <c r="U26" s="625"/>
    </row>
    <row r="27" spans="1:21" ht="12.75" customHeight="1">
      <c r="A27" s="212"/>
      <c r="B27" s="221" t="s">
        <v>73</v>
      </c>
      <c r="C27" s="393">
        <v>324</v>
      </c>
      <c r="D27" s="446">
        <v>6352</v>
      </c>
      <c r="E27" s="446">
        <v>14566</v>
      </c>
      <c r="F27" s="447">
        <v>50482</v>
      </c>
      <c r="G27" s="221" t="s">
        <v>73</v>
      </c>
      <c r="H27" s="177">
        <f t="shared" si="0"/>
        <v>21.242000000000001</v>
      </c>
      <c r="N27" s="333" t="s">
        <v>73</v>
      </c>
      <c r="O27" s="333">
        <v>324</v>
      </c>
      <c r="P27" s="333">
        <v>6352</v>
      </c>
      <c r="Q27" s="333">
        <v>14566</v>
      </c>
      <c r="R27" s="333">
        <v>50482</v>
      </c>
      <c r="S27" s="333" t="s">
        <v>73</v>
      </c>
      <c r="T27" s="177"/>
      <c r="U27" s="625"/>
    </row>
    <row r="28" spans="1:21" ht="12.75" customHeight="1">
      <c r="A28" s="212"/>
      <c r="B28" s="213" t="s">
        <v>76</v>
      </c>
      <c r="C28" s="407">
        <v>161</v>
      </c>
      <c r="D28" s="396">
        <v>837</v>
      </c>
      <c r="E28" s="451">
        <v>1891</v>
      </c>
      <c r="F28" s="452"/>
      <c r="G28" s="213" t="s">
        <v>76</v>
      </c>
      <c r="H28" s="177">
        <f t="shared" si="0"/>
        <v>2.8889999999999998</v>
      </c>
      <c r="N28" s="333" t="s">
        <v>76</v>
      </c>
      <c r="O28" s="333">
        <v>161</v>
      </c>
      <c r="P28" s="333">
        <v>837</v>
      </c>
      <c r="Q28" s="333">
        <v>1891</v>
      </c>
      <c r="S28" s="333" t="s">
        <v>76</v>
      </c>
      <c r="T28" s="177"/>
      <c r="U28" s="625"/>
    </row>
    <row r="29" spans="1:21" ht="12.75" customHeight="1">
      <c r="A29" s="212"/>
      <c r="B29" s="213" t="s">
        <v>72</v>
      </c>
      <c r="C29" s="407" t="s">
        <v>142</v>
      </c>
      <c r="D29" s="396">
        <v>1673</v>
      </c>
      <c r="E29" s="396">
        <v>5457</v>
      </c>
      <c r="F29" s="406">
        <v>61377</v>
      </c>
      <c r="G29" s="213" t="s">
        <v>72</v>
      </c>
      <c r="H29" s="177">
        <f t="shared" si="0"/>
        <v>7.13</v>
      </c>
      <c r="N29" s="333" t="s">
        <v>72</v>
      </c>
      <c r="O29" s="333" t="s">
        <v>142</v>
      </c>
      <c r="P29" s="333">
        <v>1673</v>
      </c>
      <c r="Q29" s="333">
        <v>5457</v>
      </c>
      <c r="R29" s="333">
        <v>61377</v>
      </c>
      <c r="S29" s="333" t="s">
        <v>72</v>
      </c>
      <c r="T29" s="177"/>
      <c r="U29" s="625"/>
    </row>
    <row r="30" spans="1:21" ht="12.75" customHeight="1">
      <c r="A30" s="212"/>
      <c r="B30" s="213" t="s">
        <v>78</v>
      </c>
      <c r="C30" s="407" t="s">
        <v>142</v>
      </c>
      <c r="D30" s="451">
        <v>2855.48</v>
      </c>
      <c r="E30" s="451"/>
      <c r="F30" s="452"/>
      <c r="G30" s="213" t="s">
        <v>78</v>
      </c>
      <c r="H30" s="177">
        <f t="shared" si="0"/>
        <v>2.85548</v>
      </c>
      <c r="N30" s="333" t="s">
        <v>78</v>
      </c>
      <c r="O30" s="333" t="s">
        <v>142</v>
      </c>
      <c r="P30" s="333">
        <v>2855.48</v>
      </c>
      <c r="S30" s="333" t="s">
        <v>78</v>
      </c>
      <c r="T30" s="177"/>
      <c r="U30" s="625"/>
    </row>
    <row r="31" spans="1:21" ht="12.75" customHeight="1">
      <c r="A31" s="212"/>
      <c r="B31" s="221" t="s">
        <v>16</v>
      </c>
      <c r="C31" s="393">
        <v>2758</v>
      </c>
      <c r="D31" s="391">
        <v>2627</v>
      </c>
      <c r="E31" s="391">
        <v>7782</v>
      </c>
      <c r="F31" s="409">
        <v>126523</v>
      </c>
      <c r="G31" s="221" t="s">
        <v>16</v>
      </c>
      <c r="H31" s="177">
        <f t="shared" si="0"/>
        <v>13.167</v>
      </c>
      <c r="N31" s="333" t="s">
        <v>16</v>
      </c>
      <c r="O31" s="333">
        <v>2758</v>
      </c>
      <c r="P31" s="333">
        <v>2627</v>
      </c>
      <c r="Q31" s="333">
        <v>7782</v>
      </c>
      <c r="R31" s="333">
        <v>126523</v>
      </c>
      <c r="S31" s="333" t="s">
        <v>16</v>
      </c>
      <c r="T31" s="177"/>
      <c r="U31" s="625"/>
    </row>
    <row r="32" spans="1:21" ht="12.75" customHeight="1">
      <c r="A32" s="212"/>
      <c r="B32" s="221" t="s">
        <v>80</v>
      </c>
      <c r="C32" s="407">
        <v>1640</v>
      </c>
      <c r="D32" s="391">
        <v>1425</v>
      </c>
      <c r="E32" s="391">
        <v>153757</v>
      </c>
      <c r="F32" s="409">
        <v>249136</v>
      </c>
      <c r="G32" s="221" t="s">
        <v>80</v>
      </c>
      <c r="H32" s="177">
        <f t="shared" si="0"/>
        <v>156.822</v>
      </c>
      <c r="N32" s="333" t="s">
        <v>80</v>
      </c>
      <c r="O32" s="333">
        <v>1640</v>
      </c>
      <c r="P32" s="333">
        <v>1425</v>
      </c>
      <c r="Q32" s="333">
        <v>153757</v>
      </c>
      <c r="R32" s="333">
        <v>249136</v>
      </c>
      <c r="S32" s="333" t="s">
        <v>80</v>
      </c>
      <c r="T32" s="177"/>
      <c r="U32" s="625"/>
    </row>
    <row r="33" spans="1:21" ht="12.75" customHeight="1">
      <c r="A33" s="212"/>
      <c r="B33" s="213" t="s">
        <v>92</v>
      </c>
      <c r="C33" s="407">
        <v>3065</v>
      </c>
      <c r="D33" s="396">
        <v>6456.9152284189004</v>
      </c>
      <c r="E33" s="396">
        <v>4791</v>
      </c>
      <c r="F33" s="449"/>
      <c r="G33" s="213" t="s">
        <v>92</v>
      </c>
      <c r="H33" s="177">
        <f t="shared" si="0"/>
        <v>14.3129152284189</v>
      </c>
      <c r="N33" s="333" t="s">
        <v>92</v>
      </c>
      <c r="O33" s="333">
        <v>3065</v>
      </c>
      <c r="P33" s="333">
        <v>6456.9152284189004</v>
      </c>
      <c r="Q33" s="333">
        <v>4791</v>
      </c>
      <c r="S33" s="333" t="s">
        <v>92</v>
      </c>
      <c r="T33" s="177"/>
      <c r="U33" s="625"/>
    </row>
    <row r="34" spans="1:21" ht="12.75" customHeight="1">
      <c r="A34" s="212"/>
      <c r="B34" s="221" t="s">
        <v>101</v>
      </c>
      <c r="C34" s="393">
        <v>747</v>
      </c>
      <c r="D34" s="391">
        <v>16891</v>
      </c>
      <c r="E34" s="446">
        <v>35149</v>
      </c>
      <c r="F34" s="447">
        <v>33296</v>
      </c>
      <c r="G34" s="221" t="s">
        <v>101</v>
      </c>
      <c r="H34" s="177">
        <f t="shared" si="0"/>
        <v>52.786999999999999</v>
      </c>
      <c r="N34" s="333" t="s">
        <v>101</v>
      </c>
      <c r="O34" s="333">
        <v>747</v>
      </c>
      <c r="P34" s="333">
        <v>16891</v>
      </c>
      <c r="Q34" s="333">
        <v>35149</v>
      </c>
      <c r="R34" s="333">
        <v>33296</v>
      </c>
      <c r="S34" s="333" t="s">
        <v>101</v>
      </c>
      <c r="T34" s="177"/>
      <c r="U34" s="625"/>
    </row>
    <row r="35" spans="1:21" ht="12.75" customHeight="1">
      <c r="A35" s="212"/>
      <c r="B35" s="221" t="s">
        <v>88</v>
      </c>
      <c r="C35" s="393">
        <v>2118</v>
      </c>
      <c r="D35" s="391">
        <v>13565</v>
      </c>
      <c r="E35" s="391">
        <v>157208</v>
      </c>
      <c r="F35" s="409">
        <v>42488</v>
      </c>
      <c r="G35" s="221" t="s">
        <v>88</v>
      </c>
      <c r="H35" s="177">
        <f t="shared" si="0"/>
        <v>172.89099999999999</v>
      </c>
      <c r="N35" s="333" t="s">
        <v>88</v>
      </c>
      <c r="O35" s="333">
        <v>2118</v>
      </c>
      <c r="P35" s="333">
        <v>13565</v>
      </c>
      <c r="Q35" s="333">
        <v>157208</v>
      </c>
      <c r="R35" s="333">
        <v>42488</v>
      </c>
      <c r="S35" s="333" t="s">
        <v>88</v>
      </c>
      <c r="T35" s="177"/>
      <c r="U35" s="625"/>
    </row>
    <row r="36" spans="1:21" ht="12.75" customHeight="1">
      <c r="A36" s="212"/>
      <c r="B36" s="213" t="s">
        <v>83</v>
      </c>
      <c r="C36" s="407">
        <v>772.95</v>
      </c>
      <c r="D36" s="396">
        <v>5917</v>
      </c>
      <c r="E36" s="396">
        <v>13361</v>
      </c>
      <c r="F36" s="406">
        <v>18883</v>
      </c>
      <c r="G36" s="213" t="s">
        <v>83</v>
      </c>
      <c r="H36" s="177">
        <f t="shared" si="0"/>
        <v>20.05095</v>
      </c>
      <c r="N36" s="333" t="s">
        <v>83</v>
      </c>
      <c r="O36" s="333">
        <v>772.95</v>
      </c>
      <c r="P36" s="333">
        <v>5917</v>
      </c>
      <c r="Q36" s="333">
        <v>13361</v>
      </c>
      <c r="R36" s="333">
        <v>18883</v>
      </c>
      <c r="S36" s="333" t="s">
        <v>83</v>
      </c>
      <c r="T36" s="177"/>
      <c r="U36" s="625"/>
    </row>
    <row r="37" spans="1:21" ht="12.75" customHeight="1">
      <c r="A37" s="212"/>
      <c r="B37" s="221" t="s">
        <v>85</v>
      </c>
      <c r="C37" s="407">
        <v>463.20699999999999</v>
      </c>
      <c r="D37" s="391">
        <v>3593.3</v>
      </c>
      <c r="E37" s="391">
        <v>13967.261</v>
      </c>
      <c r="F37" s="409">
        <v>38894.519999999997</v>
      </c>
      <c r="G37" s="221" t="s">
        <v>85</v>
      </c>
      <c r="H37" s="177">
        <f t="shared" si="0"/>
        <v>18.023768</v>
      </c>
      <c r="N37" s="333" t="s">
        <v>85</v>
      </c>
      <c r="O37" s="333">
        <v>463.20699999999999</v>
      </c>
      <c r="P37" s="333">
        <v>3593.3</v>
      </c>
      <c r="Q37" s="333">
        <v>13967.261</v>
      </c>
      <c r="R37" s="333">
        <v>38894.519999999997</v>
      </c>
      <c r="S37" s="333" t="s">
        <v>85</v>
      </c>
      <c r="T37" s="177"/>
      <c r="U37" s="625"/>
    </row>
    <row r="38" spans="1:21" ht="12.75" customHeight="1">
      <c r="A38" s="212"/>
      <c r="B38" s="213" t="s">
        <v>13</v>
      </c>
      <c r="C38" s="407">
        <v>3764.33</v>
      </c>
      <c r="D38" s="396">
        <v>49214.899999999994</v>
      </c>
      <c r="E38" s="396">
        <v>33197</v>
      </c>
      <c r="F38" s="406">
        <v>336337.4</v>
      </c>
      <c r="G38" s="213" t="s">
        <v>13</v>
      </c>
      <c r="H38" s="177">
        <f t="shared" si="0"/>
        <v>86.17622999999999</v>
      </c>
      <c r="N38" s="333" t="s">
        <v>13</v>
      </c>
      <c r="O38" s="333">
        <v>3764.33</v>
      </c>
      <c r="P38" s="333">
        <v>49214.899999999994</v>
      </c>
      <c r="Q38" s="333">
        <v>33197</v>
      </c>
      <c r="R38" s="333">
        <v>336337.4</v>
      </c>
      <c r="S38" s="333" t="s">
        <v>13</v>
      </c>
      <c r="T38" s="177"/>
      <c r="U38" s="625"/>
    </row>
    <row r="39" spans="1:21" ht="12.75" customHeight="1">
      <c r="A39" s="212"/>
      <c r="B39" s="251" t="s">
        <v>270</v>
      </c>
      <c r="C39" s="442"/>
      <c r="D39" s="411"/>
      <c r="E39" s="411"/>
      <c r="F39" s="443"/>
      <c r="G39" s="251" t="s">
        <v>270</v>
      </c>
    </row>
    <row r="40" spans="1:21" ht="12.75" customHeight="1">
      <c r="A40" s="212"/>
      <c r="B40" s="213" t="s">
        <v>223</v>
      </c>
      <c r="C40" s="399" t="s">
        <v>142</v>
      </c>
      <c r="D40" s="1159">
        <f>8614-805</f>
        <v>7809</v>
      </c>
      <c r="E40" s="1159"/>
      <c r="F40" s="1160"/>
      <c r="G40" s="213" t="s">
        <v>223</v>
      </c>
    </row>
    <row r="41" spans="1:21" ht="12.75" customHeight="1">
      <c r="A41" s="212"/>
      <c r="B41" s="221" t="s">
        <v>145</v>
      </c>
      <c r="C41" s="393">
        <v>259</v>
      </c>
      <c r="D41" s="391">
        <f>908-C41</f>
        <v>649</v>
      </c>
      <c r="E41" s="391">
        <v>3778</v>
      </c>
      <c r="F41" s="409">
        <v>9570</v>
      </c>
      <c r="G41" s="221" t="s">
        <v>145</v>
      </c>
      <c r="H41" s="448"/>
    </row>
    <row r="42" spans="1:21" ht="12.75" customHeight="1">
      <c r="A42" s="212"/>
      <c r="B42" s="213" t="s">
        <v>224</v>
      </c>
      <c r="C42" s="407">
        <v>603</v>
      </c>
      <c r="D42" s="396">
        <v>4804</v>
      </c>
      <c r="E42" s="396">
        <v>10951</v>
      </c>
      <c r="F42" s="406">
        <v>29240</v>
      </c>
      <c r="G42" s="213" t="s">
        <v>224</v>
      </c>
      <c r="H42" s="448"/>
    </row>
    <row r="43" spans="1:21">
      <c r="A43" s="212"/>
      <c r="B43" s="256" t="s">
        <v>146</v>
      </c>
      <c r="C43" s="404">
        <v>2159</v>
      </c>
      <c r="D43" s="402">
        <v>31280</v>
      </c>
      <c r="E43" s="402">
        <v>32474</v>
      </c>
      <c r="F43" s="401">
        <v>170762</v>
      </c>
      <c r="G43" s="256" t="s">
        <v>146</v>
      </c>
    </row>
    <row r="44" spans="1:21" ht="12.75" customHeight="1">
      <c r="A44" s="212"/>
      <c r="B44" s="378" t="s">
        <v>147</v>
      </c>
      <c r="C44" s="395">
        <v>11</v>
      </c>
      <c r="D44" s="396">
        <v>4919</v>
      </c>
      <c r="E44" s="396">
        <v>2950</v>
      </c>
      <c r="F44" s="396">
        <v>5010</v>
      </c>
      <c r="G44" s="378" t="s">
        <v>147</v>
      </c>
    </row>
    <row r="45" spans="1:21" ht="12.75" customHeight="1">
      <c r="A45" s="212"/>
      <c r="B45" s="221" t="s">
        <v>148</v>
      </c>
      <c r="C45" s="390">
        <v>392</v>
      </c>
      <c r="D45" s="391">
        <v>10666</v>
      </c>
      <c r="E45" s="391">
        <v>44497</v>
      </c>
      <c r="F45" s="391">
        <v>39287</v>
      </c>
      <c r="G45" s="221" t="s">
        <v>148</v>
      </c>
    </row>
    <row r="46" spans="1:21" ht="16.5" customHeight="1">
      <c r="A46" s="212"/>
      <c r="B46" s="217" t="s">
        <v>149</v>
      </c>
      <c r="C46" s="396">
        <v>1440</v>
      </c>
      <c r="D46" s="396">
        <f>1823-1440</f>
        <v>383</v>
      </c>
      <c r="E46" s="396">
        <v>17898</v>
      </c>
      <c r="F46" s="396">
        <v>51799</v>
      </c>
      <c r="G46" s="217" t="s">
        <v>149</v>
      </c>
    </row>
    <row r="47" spans="1:21" ht="30" customHeight="1">
      <c r="B47" s="1154" t="s">
        <v>277</v>
      </c>
      <c r="C47" s="1154"/>
      <c r="D47" s="1154"/>
      <c r="E47" s="1154"/>
      <c r="F47" s="1154"/>
      <c r="G47" s="1154"/>
    </row>
    <row r="48" spans="1:21" ht="12.75" customHeight="1">
      <c r="B48" s="1156" t="s">
        <v>166</v>
      </c>
      <c r="C48" s="1156"/>
      <c r="D48" s="1156"/>
      <c r="E48" s="1156"/>
      <c r="F48" s="1156"/>
      <c r="G48" s="1156"/>
    </row>
    <row r="49" spans="2:7" ht="23.25" customHeight="1">
      <c r="B49" s="1157" t="s">
        <v>192</v>
      </c>
      <c r="C49" s="1158"/>
      <c r="D49" s="1158"/>
      <c r="E49" s="1158"/>
      <c r="F49" s="1158"/>
      <c r="G49" s="1158"/>
    </row>
    <row r="50" spans="2:7" ht="12.75" customHeight="1">
      <c r="B50" s="1157" t="s">
        <v>193</v>
      </c>
      <c r="C50" s="1158"/>
      <c r="D50" s="1158"/>
      <c r="E50" s="1158"/>
      <c r="F50" s="1158"/>
      <c r="G50" s="1158"/>
    </row>
    <row r="51" spans="2:7" ht="12.75" customHeight="1">
      <c r="B51" s="270" t="s">
        <v>310</v>
      </c>
    </row>
    <row r="52" spans="2:7">
      <c r="B52" s="270"/>
    </row>
    <row r="54" spans="2:7">
      <c r="E54" s="448"/>
    </row>
    <row r="55" spans="2:7">
      <c r="E55" s="448"/>
    </row>
    <row r="56" spans="2:7">
      <c r="E56" s="448"/>
    </row>
    <row r="57" spans="2:7">
      <c r="E57" s="448"/>
    </row>
    <row r="58" spans="2:7">
      <c r="E58" s="448"/>
    </row>
    <row r="59" spans="2:7">
      <c r="E59" s="448"/>
    </row>
    <row r="69" spans="11:12" ht="15">
      <c r="K69" s="450"/>
      <c r="L69" s="450"/>
    </row>
    <row r="73" spans="11:12" ht="15">
      <c r="K73" s="450"/>
      <c r="L73" s="450"/>
    </row>
  </sheetData>
  <mergeCells count="13">
    <mergeCell ref="D4:D7"/>
    <mergeCell ref="E4:E7"/>
    <mergeCell ref="F4:F7"/>
    <mergeCell ref="B48:G48"/>
    <mergeCell ref="B49:G49"/>
    <mergeCell ref="B50:G50"/>
    <mergeCell ref="D40:F40"/>
    <mergeCell ref="B47:G47"/>
    <mergeCell ref="B1:C1"/>
    <mergeCell ref="F1:G1"/>
    <mergeCell ref="B2:G2"/>
    <mergeCell ref="C3:F3"/>
    <mergeCell ref="C4:C7"/>
  </mergeCells>
  <printOptions horizontalCentered="1"/>
  <pageMargins left="0.6692913385826772" right="0.6692913385826772" top="0.51181102362204722" bottom="0.27559055118110237" header="0" footer="0"/>
  <pageSetup paperSize="9" scale="5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52"/>
  <sheetViews>
    <sheetView zoomScaleNormal="100" workbookViewId="0">
      <selection activeCell="AL6" sqref="AL6:AL7"/>
    </sheetView>
  </sheetViews>
  <sheetFormatPr defaultRowHeight="11.25"/>
  <cols>
    <col min="1" max="1" width="2.7109375" style="190" customWidth="1"/>
    <col min="2" max="2" width="4" style="190" customWidth="1"/>
    <col min="3" max="4" width="6.7109375" style="190" hidden="1" customWidth="1"/>
    <col min="5" max="6" width="6.85546875" style="190" hidden="1" customWidth="1"/>
    <col min="7" max="7" width="6.7109375" style="190" hidden="1" customWidth="1"/>
    <col min="8" max="8" width="8.140625" style="190" hidden="1" customWidth="1"/>
    <col min="9" max="10" width="6.7109375" style="190" hidden="1" customWidth="1"/>
    <col min="11" max="16" width="6.85546875" style="190" hidden="1" customWidth="1"/>
    <col min="17" max="19" width="6.85546875" style="190" customWidth="1"/>
    <col min="20" max="26" width="6.7109375" style="190" customWidth="1"/>
    <col min="27" max="27" width="8.5703125" style="190" hidden="1" customWidth="1"/>
    <col min="28" max="28" width="7" style="190" hidden="1" customWidth="1"/>
    <col min="29" max="35" width="9.85546875" style="190" hidden="1" customWidth="1"/>
    <col min="36" max="36" width="4.7109375" style="190" hidden="1" customWidth="1"/>
    <col min="37" max="38" width="7" style="190" customWidth="1"/>
    <col min="39" max="39" width="5" style="190" customWidth="1"/>
    <col min="40" max="16384" width="9.140625" style="190"/>
  </cols>
  <sheetData>
    <row r="1" spans="1:44" ht="14.25" customHeight="1">
      <c r="B1" s="1153"/>
      <c r="C1" s="1153"/>
      <c r="D1" s="437"/>
      <c r="E1" s="337"/>
      <c r="F1" s="337"/>
      <c r="G1" s="337"/>
      <c r="H1" s="337"/>
      <c r="I1" s="337"/>
      <c r="J1" s="337"/>
      <c r="K1" s="337"/>
      <c r="L1" s="337"/>
      <c r="Z1" s="191" t="s">
        <v>128</v>
      </c>
      <c r="AD1" s="191"/>
      <c r="AE1" s="191"/>
      <c r="AF1" s="191"/>
      <c r="AG1" s="191"/>
      <c r="AH1" s="191"/>
      <c r="AI1" s="191"/>
      <c r="AM1" s="191"/>
    </row>
    <row r="2" spans="1:44" ht="30" customHeight="1">
      <c r="B2" s="1135" t="s">
        <v>194</v>
      </c>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c r="AH2" s="1135"/>
      <c r="AI2" s="1135"/>
      <c r="AJ2" s="1135"/>
      <c r="AK2" s="193"/>
      <c r="AL2" s="193"/>
      <c r="AM2" s="193"/>
    </row>
    <row r="3" spans="1:44" ht="12.75" customHeight="1">
      <c r="B3" s="202"/>
      <c r="C3" s="202"/>
      <c r="E3" s="435"/>
      <c r="F3" s="435"/>
      <c r="H3" s="457"/>
      <c r="I3" s="457"/>
      <c r="J3" s="457"/>
      <c r="K3" s="457"/>
      <c r="L3" s="457"/>
      <c r="M3" s="457"/>
      <c r="N3" s="457"/>
      <c r="O3" s="457"/>
      <c r="P3" s="457"/>
      <c r="Q3" s="457"/>
      <c r="R3" s="457"/>
      <c r="S3" s="457"/>
      <c r="T3" s="457"/>
      <c r="U3" s="457"/>
      <c r="V3" s="457"/>
      <c r="W3" s="457"/>
      <c r="X3" s="457"/>
      <c r="Y3" s="457"/>
      <c r="Z3" s="457"/>
      <c r="AB3" s="433"/>
      <c r="AC3" s="235"/>
      <c r="AD3" s="235"/>
      <c r="AE3" s="235"/>
      <c r="AF3" s="235"/>
      <c r="AG3" s="235"/>
      <c r="AH3" s="235"/>
      <c r="AI3" s="235"/>
      <c r="AJ3" s="235"/>
      <c r="AK3" s="235"/>
      <c r="AL3" s="235"/>
      <c r="AM3" s="235"/>
    </row>
    <row r="4" spans="1:44" ht="23.25" customHeight="1">
      <c r="B4" s="198"/>
      <c r="C4" s="458">
        <v>1970</v>
      </c>
      <c r="D4" s="200">
        <v>1980</v>
      </c>
      <c r="E4" s="200">
        <v>1990</v>
      </c>
      <c r="F4" s="200">
        <v>1995</v>
      </c>
      <c r="G4" s="200">
        <v>1996</v>
      </c>
      <c r="H4" s="200">
        <v>1997</v>
      </c>
      <c r="I4" s="200">
        <v>1998</v>
      </c>
      <c r="J4" s="200">
        <v>1999</v>
      </c>
      <c r="K4" s="200">
        <v>2000</v>
      </c>
      <c r="L4" s="200">
        <v>2001</v>
      </c>
      <c r="M4" s="200">
        <v>2002</v>
      </c>
      <c r="N4" s="200">
        <v>2003</v>
      </c>
      <c r="O4" s="200">
        <v>2004</v>
      </c>
      <c r="P4" s="200">
        <v>2005</v>
      </c>
      <c r="Q4" s="200">
        <v>2006</v>
      </c>
      <c r="R4" s="200">
        <v>2007</v>
      </c>
      <c r="S4" s="200">
        <v>2008</v>
      </c>
      <c r="T4" s="200">
        <v>2009</v>
      </c>
      <c r="U4" s="200">
        <v>2010</v>
      </c>
      <c r="V4" s="200">
        <v>2011</v>
      </c>
      <c r="W4" s="200">
        <v>2012</v>
      </c>
      <c r="X4" s="200">
        <v>2013</v>
      </c>
      <c r="Y4" s="200">
        <v>2014</v>
      </c>
      <c r="Z4" s="200">
        <v>2015</v>
      </c>
      <c r="AA4" s="200">
        <v>2016</v>
      </c>
      <c r="AB4" s="200">
        <v>2017</v>
      </c>
      <c r="AC4" s="200">
        <v>2018</v>
      </c>
      <c r="AD4" s="200">
        <v>2019</v>
      </c>
      <c r="AE4" s="200">
        <v>2020</v>
      </c>
      <c r="AF4" s="200">
        <v>2021</v>
      </c>
      <c r="AG4" s="200">
        <v>2022</v>
      </c>
      <c r="AH4" s="200">
        <v>2023</v>
      </c>
      <c r="AI4" s="200">
        <v>2024</v>
      </c>
      <c r="AJ4" s="200">
        <v>2025</v>
      </c>
      <c r="AK4" s="200">
        <v>2016</v>
      </c>
      <c r="AL4" s="200">
        <v>2017</v>
      </c>
      <c r="AM4" s="235"/>
    </row>
    <row r="5" spans="1:44" ht="12" customHeight="1">
      <c r="B5" s="203"/>
      <c r="C5" s="459"/>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72"/>
    </row>
    <row r="6" spans="1:44" ht="12.75" customHeight="1">
      <c r="B6" s="208" t="s">
        <v>237</v>
      </c>
      <c r="C6" s="460">
        <v>248269</v>
      </c>
      <c r="D6" s="461">
        <v>240629</v>
      </c>
      <c r="E6" s="461">
        <v>237671</v>
      </c>
      <c r="F6" s="461">
        <v>229435</v>
      </c>
      <c r="G6" s="461">
        <v>220627</v>
      </c>
      <c r="H6" s="461">
        <v>218237</v>
      </c>
      <c r="I6" s="461">
        <v>216958</v>
      </c>
      <c r="J6" s="461">
        <v>213312</v>
      </c>
      <c r="K6" s="461">
        <v>220583</v>
      </c>
      <c r="L6" s="461">
        <v>217502</v>
      </c>
      <c r="M6" s="461">
        <v>217892</v>
      </c>
      <c r="N6" s="461">
        <v>219024</v>
      </c>
      <c r="O6" s="461">
        <v>216225</v>
      </c>
      <c r="P6" s="427">
        <v>215110</v>
      </c>
      <c r="Q6" s="427">
        <v>215378</v>
      </c>
      <c r="R6" s="427">
        <v>215651</v>
      </c>
      <c r="S6" s="427">
        <v>216018</v>
      </c>
      <c r="T6" s="427">
        <v>215892</v>
      </c>
      <c r="U6" s="427">
        <v>215840</v>
      </c>
      <c r="V6" s="427">
        <v>216191</v>
      </c>
      <c r="W6" s="427">
        <v>215489</v>
      </c>
      <c r="X6" s="462">
        <v>219205</v>
      </c>
      <c r="Y6" s="427">
        <v>219129</v>
      </c>
      <c r="Z6" s="427">
        <v>218181</v>
      </c>
      <c r="AA6" s="460">
        <v>111024</v>
      </c>
      <c r="AB6" s="461">
        <v>111778</v>
      </c>
      <c r="AC6" s="461">
        <v>112274</v>
      </c>
      <c r="AD6" s="461">
        <v>113113</v>
      </c>
      <c r="AE6" s="463">
        <v>114697</v>
      </c>
      <c r="AF6" s="463">
        <v>115049</v>
      </c>
      <c r="AG6" s="464">
        <v>115137.56</v>
      </c>
      <c r="AH6" s="461">
        <v>115393.04000000001</v>
      </c>
      <c r="AI6" s="463">
        <v>116086.26000000001</v>
      </c>
      <c r="AJ6" s="343">
        <v>53.206402024007595</v>
      </c>
      <c r="AK6" s="427">
        <v>217081</v>
      </c>
      <c r="AL6" s="427">
        <v>217235.7</v>
      </c>
      <c r="AM6" s="208" t="s">
        <v>237</v>
      </c>
    </row>
    <row r="7" spans="1:44" ht="12.75" customHeight="1">
      <c r="B7" s="213" t="s">
        <v>89</v>
      </c>
      <c r="C7" s="465">
        <v>175274</v>
      </c>
      <c r="D7" s="466">
        <v>168150</v>
      </c>
      <c r="E7" s="466">
        <v>162132</v>
      </c>
      <c r="F7" s="466">
        <v>160037</v>
      </c>
      <c r="G7" s="466">
        <v>159068</v>
      </c>
      <c r="H7" s="466">
        <v>156830</v>
      </c>
      <c r="I7" s="466">
        <v>156249</v>
      </c>
      <c r="J7" s="466">
        <v>153028</v>
      </c>
      <c r="K7" s="466">
        <v>152446</v>
      </c>
      <c r="L7" s="466">
        <v>152189</v>
      </c>
      <c r="M7" s="466">
        <v>152180</v>
      </c>
      <c r="N7" s="466">
        <v>152791</v>
      </c>
      <c r="O7" s="466">
        <v>150463</v>
      </c>
      <c r="P7" s="423">
        <v>150316</v>
      </c>
      <c r="Q7" s="423">
        <v>150849</v>
      </c>
      <c r="R7" s="423">
        <v>151356</v>
      </c>
      <c r="S7" s="423">
        <v>151572</v>
      </c>
      <c r="T7" s="423">
        <v>151070</v>
      </c>
      <c r="U7" s="423">
        <v>151127</v>
      </c>
      <c r="V7" s="423">
        <v>151514</v>
      </c>
      <c r="W7" s="423">
        <v>150950</v>
      </c>
      <c r="X7" s="467">
        <v>155391</v>
      </c>
      <c r="Y7" s="423">
        <v>155477</v>
      </c>
      <c r="Z7" s="423">
        <v>154837</v>
      </c>
      <c r="AA7" s="465">
        <v>82984</v>
      </c>
      <c r="AB7" s="466">
        <v>83620</v>
      </c>
      <c r="AC7" s="466">
        <v>83973</v>
      </c>
      <c r="AD7" s="466">
        <v>84710</v>
      </c>
      <c r="AE7" s="468">
        <v>86209</v>
      </c>
      <c r="AF7" s="468">
        <v>86490</v>
      </c>
      <c r="AG7" s="469">
        <v>86621.56</v>
      </c>
      <c r="AH7" s="466">
        <v>86942.040000000008</v>
      </c>
      <c r="AI7" s="468">
        <v>87563.260000000009</v>
      </c>
      <c r="AJ7" s="348">
        <v>56.551896510523981</v>
      </c>
      <c r="AK7" s="423">
        <f>AK9+AK10+AK15+AK19+AK20+AK14+AK17+AK23+AK24+AK26+AK29+AK31+AK18+AK33+AK36</f>
        <v>154516</v>
      </c>
      <c r="AL7" s="423">
        <f>AL9+AL10+AL15+AL19+AL20+AL14+AL17+AL23+AL24+AL26+AL29+AL31+AL18+AL33+AL36</f>
        <v>154523</v>
      </c>
      <c r="AM7" s="213" t="s">
        <v>89</v>
      </c>
    </row>
    <row r="8" spans="1:44" ht="12.75" customHeight="1">
      <c r="B8" s="217" t="s">
        <v>238</v>
      </c>
      <c r="C8" s="470">
        <v>72995</v>
      </c>
      <c r="D8" s="471">
        <v>72479</v>
      </c>
      <c r="E8" s="471">
        <v>71879</v>
      </c>
      <c r="F8" s="471">
        <v>69398</v>
      </c>
      <c r="G8" s="471">
        <v>61559</v>
      </c>
      <c r="H8" s="471">
        <v>61407</v>
      </c>
      <c r="I8" s="471">
        <v>60709</v>
      </c>
      <c r="J8" s="471">
        <v>60284</v>
      </c>
      <c r="K8" s="471">
        <v>68137</v>
      </c>
      <c r="L8" s="471">
        <v>65313</v>
      </c>
      <c r="M8" s="471">
        <v>65712</v>
      </c>
      <c r="N8" s="471">
        <v>66233</v>
      </c>
      <c r="O8" s="471">
        <v>65762</v>
      </c>
      <c r="P8" s="419">
        <v>64794</v>
      </c>
      <c r="Q8" s="419">
        <v>64529</v>
      </c>
      <c r="R8" s="419">
        <v>64295</v>
      </c>
      <c r="S8" s="419">
        <v>64446</v>
      </c>
      <c r="T8" s="419">
        <v>64822</v>
      </c>
      <c r="U8" s="419">
        <v>64713</v>
      </c>
      <c r="V8" s="419">
        <v>64677</v>
      </c>
      <c r="W8" s="419">
        <v>64539</v>
      </c>
      <c r="X8" s="419">
        <v>63814</v>
      </c>
      <c r="Y8" s="419">
        <v>63652</v>
      </c>
      <c r="Z8" s="419">
        <v>63344</v>
      </c>
      <c r="AA8" s="470">
        <v>28040</v>
      </c>
      <c r="AB8" s="471">
        <v>28158</v>
      </c>
      <c r="AC8" s="471">
        <v>28301</v>
      </c>
      <c r="AD8" s="471">
        <v>28403</v>
      </c>
      <c r="AE8" s="471">
        <v>28488</v>
      </c>
      <c r="AF8" s="471">
        <v>28559</v>
      </c>
      <c r="AG8" s="471">
        <v>28516</v>
      </c>
      <c r="AH8" s="471">
        <v>28451</v>
      </c>
      <c r="AI8" s="471">
        <v>28523</v>
      </c>
      <c r="AJ8" s="472">
        <v>45.028732003031067</v>
      </c>
      <c r="AK8" s="472"/>
      <c r="AL8" s="472"/>
      <c r="AM8" s="217" t="s">
        <v>238</v>
      </c>
    </row>
    <row r="9" spans="1:44" ht="12.75" customHeight="1">
      <c r="A9" s="212"/>
      <c r="B9" s="208" t="s">
        <v>81</v>
      </c>
      <c r="C9" s="504">
        <v>5901</v>
      </c>
      <c r="D9" s="505">
        <v>5857</v>
      </c>
      <c r="E9" s="505">
        <v>5624</v>
      </c>
      <c r="F9" s="505">
        <v>5672</v>
      </c>
      <c r="G9" s="505">
        <v>5672</v>
      </c>
      <c r="H9" s="505">
        <v>5672</v>
      </c>
      <c r="I9" s="505">
        <v>5643</v>
      </c>
      <c r="J9" s="505">
        <v>5643</v>
      </c>
      <c r="K9" s="505">
        <v>5665</v>
      </c>
      <c r="L9" s="505">
        <v>5697</v>
      </c>
      <c r="M9" s="505">
        <v>5779</v>
      </c>
      <c r="N9" s="505">
        <v>5787</v>
      </c>
      <c r="O9" s="505">
        <v>5675</v>
      </c>
      <c r="P9" s="396">
        <v>5691</v>
      </c>
      <c r="Q9" s="444">
        <f>5702+25+91</f>
        <v>5818</v>
      </c>
      <c r="R9" s="396">
        <f>5702+91+25</f>
        <v>5818</v>
      </c>
      <c r="S9" s="396">
        <v>5664</v>
      </c>
      <c r="T9" s="396">
        <v>5356</v>
      </c>
      <c r="U9" s="396">
        <v>5039</v>
      </c>
      <c r="V9" s="396">
        <v>5021</v>
      </c>
      <c r="W9" s="396">
        <v>4894</v>
      </c>
      <c r="X9" s="396">
        <v>4894</v>
      </c>
      <c r="Y9" s="396">
        <f>4967+91</f>
        <v>5058</v>
      </c>
      <c r="Z9" s="396">
        <f>4846+91</f>
        <v>4937</v>
      </c>
      <c r="AA9" s="479">
        <f>3520+25</f>
        <v>3545</v>
      </c>
      <c r="AB9" s="444">
        <v>3510</v>
      </c>
      <c r="AC9" s="444">
        <v>3518</v>
      </c>
      <c r="AD9" s="444">
        <v>3427</v>
      </c>
      <c r="AE9" s="444">
        <v>3416</v>
      </c>
      <c r="AF9" s="444">
        <v>3468</v>
      </c>
      <c r="AG9" s="444">
        <v>3468</v>
      </c>
      <c r="AH9" s="444">
        <f>3527</f>
        <v>3527</v>
      </c>
      <c r="AI9" s="444">
        <v>3517</v>
      </c>
      <c r="AJ9" s="484">
        <f>AI9/Z9*100</f>
        <v>71.237593680372697</v>
      </c>
      <c r="AK9" s="396">
        <v>4917</v>
      </c>
      <c r="AL9" s="396">
        <v>4953</v>
      </c>
      <c r="AM9" s="208" t="s">
        <v>81</v>
      </c>
      <c r="AO9" s="383"/>
      <c r="AP9" s="391"/>
      <c r="AQ9" s="991"/>
      <c r="AR9" s="435"/>
    </row>
    <row r="10" spans="1:44" ht="12.75" customHeight="1">
      <c r="A10" s="212"/>
      <c r="B10" s="221" t="s">
        <v>60</v>
      </c>
      <c r="C10" s="480">
        <v>4605</v>
      </c>
      <c r="D10" s="446">
        <v>3971</v>
      </c>
      <c r="E10" s="446">
        <v>3479</v>
      </c>
      <c r="F10" s="446">
        <v>3368</v>
      </c>
      <c r="G10" s="446">
        <v>3380</v>
      </c>
      <c r="H10" s="446">
        <v>3422</v>
      </c>
      <c r="I10" s="446">
        <v>3470</v>
      </c>
      <c r="J10" s="446">
        <v>3472</v>
      </c>
      <c r="K10" s="446">
        <v>3471</v>
      </c>
      <c r="L10" s="446">
        <v>3454</v>
      </c>
      <c r="M10" s="446">
        <v>3518</v>
      </c>
      <c r="N10" s="446">
        <v>3521</v>
      </c>
      <c r="O10" s="446">
        <v>3536</v>
      </c>
      <c r="P10" s="391">
        <v>3544</v>
      </c>
      <c r="Q10" s="446">
        <v>3500</v>
      </c>
      <c r="R10" s="391">
        <v>3374</v>
      </c>
      <c r="S10" s="391">
        <v>3513</v>
      </c>
      <c r="T10" s="391">
        <v>3578</v>
      </c>
      <c r="U10" s="391">
        <v>3582</v>
      </c>
      <c r="V10" s="391">
        <v>3582</v>
      </c>
      <c r="W10" s="391">
        <v>3582</v>
      </c>
      <c r="X10" s="391">
        <v>3595</v>
      </c>
      <c r="Y10" s="391">
        <v>3631</v>
      </c>
      <c r="Z10" s="391">
        <v>3607</v>
      </c>
      <c r="AA10" s="475">
        <v>3002</v>
      </c>
      <c r="AB10" s="476">
        <v>2955</v>
      </c>
      <c r="AC10" s="476">
        <v>3005</v>
      </c>
      <c r="AD10" s="476">
        <v>3064</v>
      </c>
      <c r="AE10" s="477">
        <v>3064</v>
      </c>
      <c r="AF10" s="477">
        <v>3064</v>
      </c>
      <c r="AG10" s="477">
        <v>3064</v>
      </c>
      <c r="AH10" s="476">
        <f>Y10*85/100</f>
        <v>3086.35</v>
      </c>
      <c r="AI10" s="477">
        <v>3086</v>
      </c>
      <c r="AJ10" s="478">
        <f>AI10/Z10*100</f>
        <v>85.555863598558361</v>
      </c>
      <c r="AK10" s="391">
        <v>3607</v>
      </c>
      <c r="AL10" s="396">
        <v>3605</v>
      </c>
      <c r="AM10" s="221" t="s">
        <v>60</v>
      </c>
      <c r="AO10" s="383"/>
      <c r="AP10" s="391"/>
      <c r="AQ10" s="991"/>
      <c r="AR10" s="435"/>
    </row>
    <row r="11" spans="1:44" ht="12.75" customHeight="1">
      <c r="A11" s="212"/>
      <c r="B11" s="213" t="s">
        <v>100</v>
      </c>
      <c r="C11" s="479">
        <v>4196</v>
      </c>
      <c r="D11" s="444">
        <v>4341</v>
      </c>
      <c r="E11" s="444">
        <v>4299</v>
      </c>
      <c r="F11" s="444">
        <v>4294</v>
      </c>
      <c r="G11" s="444">
        <v>4293</v>
      </c>
      <c r="H11" s="444">
        <v>4292</v>
      </c>
      <c r="I11" s="444">
        <v>4090</v>
      </c>
      <c r="J11" s="444">
        <v>4090</v>
      </c>
      <c r="K11" s="444">
        <v>4320</v>
      </c>
      <c r="L11" s="444">
        <v>4320</v>
      </c>
      <c r="M11" s="444">
        <v>4318</v>
      </c>
      <c r="N11" s="396">
        <v>4316</v>
      </c>
      <c r="O11" s="396">
        <v>4259</v>
      </c>
      <c r="P11" s="396">
        <v>4154</v>
      </c>
      <c r="Q11" s="396">
        <v>4146</v>
      </c>
      <c r="R11" s="396">
        <v>4143</v>
      </c>
      <c r="S11" s="396">
        <v>4144</v>
      </c>
      <c r="T11" s="396">
        <v>4150</v>
      </c>
      <c r="U11" s="396">
        <v>4097</v>
      </c>
      <c r="V11" s="396">
        <v>4072</v>
      </c>
      <c r="W11" s="396">
        <v>4070</v>
      </c>
      <c r="X11" s="396">
        <v>4032</v>
      </c>
      <c r="Y11" s="396">
        <v>4023</v>
      </c>
      <c r="Z11" s="396">
        <v>4019</v>
      </c>
      <c r="AA11" s="479">
        <v>2806</v>
      </c>
      <c r="AB11" s="444">
        <v>2827</v>
      </c>
      <c r="AC11" s="444">
        <v>2833</v>
      </c>
      <c r="AD11" s="444">
        <v>2785</v>
      </c>
      <c r="AE11" s="444">
        <v>2862</v>
      </c>
      <c r="AF11" s="444">
        <v>2862</v>
      </c>
      <c r="AG11" s="444">
        <v>2869</v>
      </c>
      <c r="AH11" s="444">
        <v>2861</v>
      </c>
      <c r="AI11" s="444">
        <v>2859</v>
      </c>
      <c r="AJ11" s="225">
        <f>AI11/Z11*100</f>
        <v>71.137098780791234</v>
      </c>
      <c r="AK11" s="396">
        <v>4029</v>
      </c>
      <c r="AL11" s="391">
        <v>4030</v>
      </c>
      <c r="AM11" s="213" t="s">
        <v>100</v>
      </c>
      <c r="AO11" s="383"/>
      <c r="AP11" s="391"/>
      <c r="AQ11" s="991"/>
      <c r="AR11" s="435"/>
    </row>
    <row r="12" spans="1:44" ht="12.75" customHeight="1">
      <c r="A12" s="212"/>
      <c r="B12" s="221" t="s">
        <v>71</v>
      </c>
      <c r="C12" s="393" t="s">
        <v>142</v>
      </c>
      <c r="D12" s="391" t="s">
        <v>142</v>
      </c>
      <c r="E12" s="391" t="s">
        <v>142</v>
      </c>
      <c r="F12" s="391" t="s">
        <v>142</v>
      </c>
      <c r="G12" s="391" t="s">
        <v>142</v>
      </c>
      <c r="H12" s="391" t="s">
        <v>142</v>
      </c>
      <c r="I12" s="391" t="s">
        <v>142</v>
      </c>
      <c r="J12" s="391" t="s">
        <v>142</v>
      </c>
      <c r="K12" s="391" t="s">
        <v>142</v>
      </c>
      <c r="L12" s="391" t="s">
        <v>142</v>
      </c>
      <c r="M12" s="391" t="s">
        <v>142</v>
      </c>
      <c r="N12" s="391" t="s">
        <v>142</v>
      </c>
      <c r="O12" s="391" t="s">
        <v>142</v>
      </c>
      <c r="P12" s="391" t="s">
        <v>142</v>
      </c>
      <c r="Q12" s="391" t="s">
        <v>142</v>
      </c>
      <c r="R12" s="391" t="s">
        <v>142</v>
      </c>
      <c r="S12" s="391" t="s">
        <v>142</v>
      </c>
      <c r="T12" s="391" t="s">
        <v>142</v>
      </c>
      <c r="U12" s="391" t="s">
        <v>142</v>
      </c>
      <c r="V12" s="391" t="s">
        <v>142</v>
      </c>
      <c r="W12" s="391" t="s">
        <v>142</v>
      </c>
      <c r="X12" s="391" t="s">
        <v>142</v>
      </c>
      <c r="Y12" s="391" t="s">
        <v>142</v>
      </c>
      <c r="Z12" s="391" t="s">
        <v>142</v>
      </c>
      <c r="AA12" s="485" t="s">
        <v>142</v>
      </c>
      <c r="AB12" s="486" t="s">
        <v>142</v>
      </c>
      <c r="AC12" s="486" t="s">
        <v>142</v>
      </c>
      <c r="AD12" s="486" t="s">
        <v>142</v>
      </c>
      <c r="AE12" s="486" t="s">
        <v>142</v>
      </c>
      <c r="AF12" s="486" t="s">
        <v>142</v>
      </c>
      <c r="AG12" s="486" t="s">
        <v>142</v>
      </c>
      <c r="AH12" s="486" t="s">
        <v>142</v>
      </c>
      <c r="AI12" s="486" t="s">
        <v>142</v>
      </c>
      <c r="AJ12" s="230" t="s">
        <v>142</v>
      </c>
      <c r="AK12" s="391">
        <v>0</v>
      </c>
      <c r="AL12" s="391">
        <v>0</v>
      </c>
      <c r="AM12" s="221" t="s">
        <v>71</v>
      </c>
      <c r="AO12" s="383"/>
      <c r="AP12" s="391"/>
      <c r="AQ12" s="991"/>
      <c r="AR12" s="435"/>
    </row>
    <row r="13" spans="1:44" ht="12.75" customHeight="1">
      <c r="A13" s="212"/>
      <c r="B13" s="221" t="s">
        <v>61</v>
      </c>
      <c r="C13" s="480"/>
      <c r="D13" s="446"/>
      <c r="E13" s="446"/>
      <c r="F13" s="446">
        <v>9430</v>
      </c>
      <c r="G13" s="446">
        <v>9430</v>
      </c>
      <c r="H13" s="446">
        <v>9430</v>
      </c>
      <c r="I13" s="446">
        <v>9430</v>
      </c>
      <c r="J13" s="446">
        <v>9444</v>
      </c>
      <c r="K13" s="446">
        <v>9444</v>
      </c>
      <c r="L13" s="446">
        <v>9523</v>
      </c>
      <c r="M13" s="446">
        <v>9600</v>
      </c>
      <c r="N13" s="446">
        <v>9602</v>
      </c>
      <c r="O13" s="446">
        <v>9612</v>
      </c>
      <c r="P13" s="391">
        <v>9614</v>
      </c>
      <c r="Q13" s="446">
        <v>9597</v>
      </c>
      <c r="R13" s="391">
        <v>9588</v>
      </c>
      <c r="S13" s="391">
        <v>9486</v>
      </c>
      <c r="T13" s="391">
        <v>9477</v>
      </c>
      <c r="U13" s="391">
        <v>9468</v>
      </c>
      <c r="V13" s="391">
        <v>9470</v>
      </c>
      <c r="W13" s="391">
        <v>9469</v>
      </c>
      <c r="X13" s="481">
        <v>9459</v>
      </c>
      <c r="Y13" s="391">
        <v>9456</v>
      </c>
      <c r="Z13" s="391">
        <v>9466</v>
      </c>
      <c r="AA13" s="475">
        <v>3060</v>
      </c>
      <c r="AB13" s="476">
        <v>3078</v>
      </c>
      <c r="AC13" s="476">
        <v>3152</v>
      </c>
      <c r="AD13" s="476">
        <v>3210</v>
      </c>
      <c r="AE13" s="476">
        <v>3208</v>
      </c>
      <c r="AF13" s="476">
        <v>3217</v>
      </c>
      <c r="AG13" s="482">
        <v>3216</v>
      </c>
      <c r="AH13" s="476">
        <v>3215</v>
      </c>
      <c r="AI13" s="476">
        <v>3217</v>
      </c>
      <c r="AJ13" s="478">
        <f t="shared" ref="AJ13:AJ27" si="0">AI13/Z13*100</f>
        <v>33.984787661102892</v>
      </c>
      <c r="AK13" s="391">
        <v>9463</v>
      </c>
      <c r="AL13" s="396">
        <v>9408</v>
      </c>
      <c r="AM13" s="221" t="s">
        <v>61</v>
      </c>
      <c r="AO13" s="383"/>
      <c r="AP13" s="391"/>
      <c r="AQ13" s="991"/>
      <c r="AR13" s="435"/>
    </row>
    <row r="14" spans="1:44" ht="12.75" customHeight="1">
      <c r="A14" s="212"/>
      <c r="B14" s="221" t="s">
        <v>63</v>
      </c>
      <c r="C14" s="480">
        <v>43777</v>
      </c>
      <c r="D14" s="446">
        <v>42765</v>
      </c>
      <c r="E14" s="446">
        <v>40981</v>
      </c>
      <c r="F14" s="446">
        <v>41718</v>
      </c>
      <c r="G14" s="446">
        <v>40826</v>
      </c>
      <c r="H14" s="446">
        <v>38450</v>
      </c>
      <c r="I14" s="446">
        <v>38126</v>
      </c>
      <c r="J14" s="446">
        <v>37525</v>
      </c>
      <c r="K14" s="446">
        <v>36588</v>
      </c>
      <c r="L14" s="446">
        <v>35986</v>
      </c>
      <c r="M14" s="446">
        <v>35814</v>
      </c>
      <c r="N14" s="446">
        <v>36054</v>
      </c>
      <c r="O14" s="446">
        <v>34732</v>
      </c>
      <c r="P14" s="391">
        <v>34221</v>
      </c>
      <c r="Q14" s="446">
        <v>34122</v>
      </c>
      <c r="R14" s="391">
        <v>33890</v>
      </c>
      <c r="S14" s="391">
        <v>33855</v>
      </c>
      <c r="T14" s="481">
        <v>33714</v>
      </c>
      <c r="U14" s="391">
        <v>33707</v>
      </c>
      <c r="V14" s="391">
        <v>33576</v>
      </c>
      <c r="W14" s="391">
        <v>33509</v>
      </c>
      <c r="X14" s="391">
        <v>38703</v>
      </c>
      <c r="Y14" s="391">
        <v>38836</v>
      </c>
      <c r="Z14" s="391">
        <v>38828</v>
      </c>
      <c r="AA14" s="475">
        <v>19544</v>
      </c>
      <c r="AB14" s="476">
        <v>19645</v>
      </c>
      <c r="AC14" s="476">
        <v>19701</v>
      </c>
      <c r="AD14" s="476">
        <v>19819</v>
      </c>
      <c r="AE14" s="476">
        <v>19826</v>
      </c>
      <c r="AF14" s="476">
        <v>19830</v>
      </c>
      <c r="AG14" s="476">
        <f>X14*52/100</f>
        <v>20125.560000000001</v>
      </c>
      <c r="AH14" s="476">
        <f>Y14*52/100</f>
        <v>20194.72</v>
      </c>
      <c r="AI14" s="476">
        <f>Z14*52.4/100</f>
        <v>20345.871999999999</v>
      </c>
      <c r="AJ14" s="478">
        <f t="shared" si="0"/>
        <v>52.400000000000006</v>
      </c>
      <c r="AK14" s="391">
        <v>38990</v>
      </c>
      <c r="AL14" s="391">
        <v>39219</v>
      </c>
      <c r="AM14" s="221" t="s">
        <v>63</v>
      </c>
      <c r="AO14" s="383"/>
      <c r="AP14" s="391"/>
      <c r="AQ14" s="991"/>
      <c r="AR14" s="435"/>
    </row>
    <row r="15" spans="1:44" ht="12.75" customHeight="1">
      <c r="A15" s="212"/>
      <c r="B15" s="213" t="s">
        <v>14</v>
      </c>
      <c r="C15" s="479">
        <v>2352</v>
      </c>
      <c r="D15" s="444">
        <v>2015</v>
      </c>
      <c r="E15" s="444">
        <v>2838</v>
      </c>
      <c r="F15" s="444">
        <v>2863</v>
      </c>
      <c r="G15" s="444">
        <v>2863</v>
      </c>
      <c r="H15" s="444">
        <v>2762</v>
      </c>
      <c r="I15" s="444">
        <v>2779</v>
      </c>
      <c r="J15" s="444">
        <v>2775</v>
      </c>
      <c r="K15" s="444">
        <v>2787</v>
      </c>
      <c r="L15" s="444">
        <v>2787</v>
      </c>
      <c r="M15" s="444">
        <v>2787</v>
      </c>
      <c r="N15" s="444">
        <v>2787</v>
      </c>
      <c r="O15" s="444">
        <v>2646</v>
      </c>
      <c r="P15" s="396">
        <v>2646</v>
      </c>
      <c r="Q15" s="396">
        <v>2646</v>
      </c>
      <c r="R15" s="483">
        <v>2606</v>
      </c>
      <c r="S15" s="396">
        <v>2606</v>
      </c>
      <c r="T15" s="396">
        <v>2606</v>
      </c>
      <c r="U15" s="396">
        <v>2606</v>
      </c>
      <c r="V15" s="396">
        <v>2615</v>
      </c>
      <c r="W15" s="396">
        <v>2615</v>
      </c>
      <c r="X15" s="396">
        <v>2615</v>
      </c>
      <c r="Y15" s="396">
        <f>2633-21</f>
        <v>2612</v>
      </c>
      <c r="Z15" s="396">
        <f>2573-21</f>
        <v>2552</v>
      </c>
      <c r="AA15" s="479">
        <v>619</v>
      </c>
      <c r="AB15" s="444">
        <v>621</v>
      </c>
      <c r="AC15" s="444">
        <v>621</v>
      </c>
      <c r="AD15" s="444">
        <f>642-21</f>
        <v>621</v>
      </c>
      <c r="AE15" s="444">
        <v>621</v>
      </c>
      <c r="AF15" s="444">
        <f>642-21</f>
        <v>621</v>
      </c>
      <c r="AG15" s="444">
        <v>621</v>
      </c>
      <c r="AH15" s="444">
        <v>621</v>
      </c>
      <c r="AI15" s="444">
        <v>621</v>
      </c>
      <c r="AJ15" s="225">
        <f t="shared" si="0"/>
        <v>24.33385579937304</v>
      </c>
      <c r="AK15" s="396">
        <v>2539</v>
      </c>
      <c r="AL15" s="391">
        <v>2487</v>
      </c>
      <c r="AM15" s="213" t="s">
        <v>14</v>
      </c>
      <c r="AO15" s="383"/>
      <c r="AP15" s="391"/>
      <c r="AQ15" s="991"/>
      <c r="AR15" s="435"/>
    </row>
    <row r="16" spans="1:44" ht="12.75" customHeight="1">
      <c r="A16" s="212"/>
      <c r="B16" s="213" t="s">
        <v>64</v>
      </c>
      <c r="C16" s="479">
        <v>1227</v>
      </c>
      <c r="D16" s="444">
        <v>993</v>
      </c>
      <c r="E16" s="444">
        <v>1026</v>
      </c>
      <c r="F16" s="444">
        <v>1021</v>
      </c>
      <c r="G16" s="444">
        <v>1021</v>
      </c>
      <c r="H16" s="444">
        <v>966</v>
      </c>
      <c r="I16" s="444">
        <v>966</v>
      </c>
      <c r="J16" s="444">
        <v>968</v>
      </c>
      <c r="K16" s="444">
        <v>968</v>
      </c>
      <c r="L16" s="444">
        <v>967</v>
      </c>
      <c r="M16" s="444">
        <v>963</v>
      </c>
      <c r="N16" s="444">
        <v>967</v>
      </c>
      <c r="O16" s="444">
        <v>971</v>
      </c>
      <c r="P16" s="396">
        <v>968</v>
      </c>
      <c r="Q16" s="444">
        <v>968</v>
      </c>
      <c r="R16" s="396">
        <v>816</v>
      </c>
      <c r="S16" s="396">
        <v>919</v>
      </c>
      <c r="T16" s="396">
        <v>1539</v>
      </c>
      <c r="U16" s="396">
        <v>1540</v>
      </c>
      <c r="V16" s="396">
        <v>1540</v>
      </c>
      <c r="W16" s="396">
        <v>1540</v>
      </c>
      <c r="X16" s="396">
        <v>1510</v>
      </c>
      <c r="Y16" s="396">
        <v>1510</v>
      </c>
      <c r="Z16" s="396">
        <v>1510</v>
      </c>
      <c r="AA16" s="479">
        <v>131</v>
      </c>
      <c r="AB16" s="444">
        <v>131</v>
      </c>
      <c r="AC16" s="444">
        <v>132</v>
      </c>
      <c r="AD16" s="444">
        <v>132</v>
      </c>
      <c r="AE16" s="444">
        <v>132</v>
      </c>
      <c r="AF16" s="444">
        <v>132</v>
      </c>
      <c r="AG16" s="444">
        <v>132</v>
      </c>
      <c r="AH16" s="444">
        <v>132</v>
      </c>
      <c r="AI16" s="444">
        <v>132</v>
      </c>
      <c r="AJ16" s="484">
        <f t="shared" si="0"/>
        <v>8.741721854304636</v>
      </c>
      <c r="AK16" s="396">
        <v>918</v>
      </c>
      <c r="AL16" s="391">
        <v>1033</v>
      </c>
      <c r="AM16" s="213" t="s">
        <v>64</v>
      </c>
      <c r="AO16" s="383"/>
      <c r="AP16" s="391"/>
      <c r="AQ16" s="991"/>
      <c r="AR16" s="435"/>
    </row>
    <row r="17" spans="1:44" ht="12.75" customHeight="1">
      <c r="A17" s="212"/>
      <c r="B17" s="213" t="s">
        <v>15</v>
      </c>
      <c r="C17" s="479">
        <v>2602</v>
      </c>
      <c r="D17" s="444">
        <v>2461</v>
      </c>
      <c r="E17" s="506">
        <v>2484</v>
      </c>
      <c r="F17" s="444">
        <v>2474</v>
      </c>
      <c r="G17" s="444">
        <v>2474</v>
      </c>
      <c r="H17" s="444">
        <v>2503</v>
      </c>
      <c r="I17" s="444">
        <v>2299</v>
      </c>
      <c r="J17" s="444">
        <v>2299</v>
      </c>
      <c r="K17" s="444">
        <v>2385</v>
      </c>
      <c r="L17" s="444">
        <v>2377</v>
      </c>
      <c r="M17" s="444">
        <v>2383</v>
      </c>
      <c r="N17" s="444">
        <v>2414</v>
      </c>
      <c r="O17" s="444">
        <v>2449</v>
      </c>
      <c r="P17" s="396">
        <v>2576</v>
      </c>
      <c r="Q17" s="444">
        <v>2509</v>
      </c>
      <c r="R17" s="396">
        <v>2551</v>
      </c>
      <c r="S17" s="396">
        <v>2552</v>
      </c>
      <c r="T17" s="396">
        <v>2552</v>
      </c>
      <c r="U17" s="396">
        <v>2552</v>
      </c>
      <c r="V17" s="396">
        <v>2554</v>
      </c>
      <c r="W17" s="396">
        <v>2554</v>
      </c>
      <c r="X17" s="396">
        <v>2265</v>
      </c>
      <c r="Y17" s="396">
        <v>2238</v>
      </c>
      <c r="Z17" s="396">
        <v>2239</v>
      </c>
      <c r="AA17" s="479">
        <v>199</v>
      </c>
      <c r="AB17" s="444">
        <v>264</v>
      </c>
      <c r="AC17" s="444">
        <v>264</v>
      </c>
      <c r="AD17" s="444">
        <v>368</v>
      </c>
      <c r="AE17" s="444">
        <v>438</v>
      </c>
      <c r="AF17" s="444">
        <v>438</v>
      </c>
      <c r="AG17" s="444">
        <v>437</v>
      </c>
      <c r="AH17" s="444">
        <v>494</v>
      </c>
      <c r="AI17" s="444">
        <v>525</v>
      </c>
      <c r="AJ17" s="484">
        <f t="shared" si="0"/>
        <v>23.447967842786959</v>
      </c>
      <c r="AK17" s="396">
        <v>2240</v>
      </c>
      <c r="AL17" s="396">
        <v>2240</v>
      </c>
      <c r="AM17" s="213" t="s">
        <v>15</v>
      </c>
      <c r="AO17" s="383"/>
      <c r="AP17" s="391"/>
      <c r="AQ17" s="991"/>
      <c r="AR17" s="435"/>
    </row>
    <row r="18" spans="1:44" ht="12.75" customHeight="1">
      <c r="A18" s="212"/>
      <c r="B18" s="221" t="s">
        <v>66</v>
      </c>
      <c r="C18" s="480">
        <v>15850</v>
      </c>
      <c r="D18" s="446">
        <v>15724</v>
      </c>
      <c r="E18" s="446">
        <v>14539</v>
      </c>
      <c r="F18" s="446">
        <f>6717+7591</f>
        <v>14308</v>
      </c>
      <c r="G18" s="446">
        <f>6717+7564</f>
        <v>14281</v>
      </c>
      <c r="H18" s="446">
        <f>6654+7654</f>
        <v>14308</v>
      </c>
      <c r="I18" s="446">
        <f>6575+7714</f>
        <v>14289</v>
      </c>
      <c r="J18" s="446">
        <f>6571+7790</f>
        <v>14361</v>
      </c>
      <c r="K18" s="446">
        <f>6559+7788</f>
        <v>14347</v>
      </c>
      <c r="L18" s="446">
        <f>6559+7788</f>
        <v>14347</v>
      </c>
      <c r="M18" s="446">
        <f>6499+7927</f>
        <v>14426</v>
      </c>
      <c r="N18" s="446">
        <f>6432+8477</f>
        <v>14909</v>
      </c>
      <c r="O18" s="446">
        <f>6447+8338</f>
        <v>14785</v>
      </c>
      <c r="P18" s="391">
        <f>6537+8478</f>
        <v>15015</v>
      </c>
      <c r="Q18" s="446">
        <f>6486+8726</f>
        <v>15212</v>
      </c>
      <c r="R18" s="391">
        <f>6455+9099</f>
        <v>15554</v>
      </c>
      <c r="S18" s="391">
        <f>6434+9116</f>
        <v>15550</v>
      </c>
      <c r="T18" s="481">
        <f>6394+8936</f>
        <v>15330</v>
      </c>
      <c r="U18" s="391">
        <f>6398+9439</f>
        <v>15837</v>
      </c>
      <c r="V18" s="391">
        <f>15932</f>
        <v>15932</v>
      </c>
      <c r="W18" s="391">
        <f>6268+9654</f>
        <v>15922</v>
      </c>
      <c r="X18" s="391">
        <f>9768+6169</f>
        <v>15937</v>
      </c>
      <c r="Y18" s="391">
        <f>9717+6184</f>
        <v>15901</v>
      </c>
      <c r="Z18" s="391">
        <f>10211+5845</f>
        <v>16056</v>
      </c>
      <c r="AA18" s="475">
        <f>9099</f>
        <v>9099</v>
      </c>
      <c r="AB18" s="476">
        <v>9116</v>
      </c>
      <c r="AC18" s="482">
        <v>8936</v>
      </c>
      <c r="AD18" s="476">
        <v>9439</v>
      </c>
      <c r="AE18" s="476">
        <v>9615</v>
      </c>
      <c r="AF18" s="476">
        <v>9654</v>
      </c>
      <c r="AG18" s="476">
        <v>9768</v>
      </c>
      <c r="AH18" s="476">
        <v>9717</v>
      </c>
      <c r="AI18" s="476">
        <v>10211</v>
      </c>
      <c r="AJ18" s="478">
        <f t="shared" si="0"/>
        <v>63.596163428001994</v>
      </c>
      <c r="AK18" s="391">
        <v>15922</v>
      </c>
      <c r="AL18" s="396">
        <v>15904</v>
      </c>
      <c r="AM18" s="221" t="s">
        <v>66</v>
      </c>
      <c r="AO18" s="383"/>
      <c r="AP18" s="391"/>
      <c r="AQ18" s="991"/>
      <c r="AR18" s="435"/>
    </row>
    <row r="19" spans="1:44" ht="12.75" customHeight="1">
      <c r="A19" s="212"/>
      <c r="B19" s="213" t="s">
        <v>87</v>
      </c>
      <c r="C19" s="479">
        <v>5804</v>
      </c>
      <c r="D19" s="444">
        <v>6075</v>
      </c>
      <c r="E19" s="444">
        <v>5867</v>
      </c>
      <c r="F19" s="444">
        <v>5880</v>
      </c>
      <c r="G19" s="444">
        <v>5859</v>
      </c>
      <c r="H19" s="444">
        <v>5865</v>
      </c>
      <c r="I19" s="444">
        <v>5867</v>
      </c>
      <c r="J19" s="444">
        <v>5836</v>
      </c>
      <c r="K19" s="444">
        <v>5854</v>
      </c>
      <c r="L19" s="444">
        <v>5850</v>
      </c>
      <c r="M19" s="444">
        <v>5850</v>
      </c>
      <c r="N19" s="444">
        <v>5851</v>
      </c>
      <c r="O19" s="444">
        <v>5741</v>
      </c>
      <c r="P19" s="396">
        <v>5732</v>
      </c>
      <c r="Q19" s="444">
        <v>5905</v>
      </c>
      <c r="R19" s="396">
        <v>5899</v>
      </c>
      <c r="S19" s="396">
        <v>5919</v>
      </c>
      <c r="T19" s="396">
        <v>5919</v>
      </c>
      <c r="U19" s="396">
        <v>5919</v>
      </c>
      <c r="V19" s="396">
        <v>5944</v>
      </c>
      <c r="W19" s="396">
        <v>5944</v>
      </c>
      <c r="X19" s="396">
        <v>5944</v>
      </c>
      <c r="Y19" s="396">
        <v>5944</v>
      </c>
      <c r="Z19" s="396">
        <v>5923</v>
      </c>
      <c r="AA19" s="479">
        <v>3047</v>
      </c>
      <c r="AB19" s="444">
        <v>3067</v>
      </c>
      <c r="AC19" s="444">
        <v>3067</v>
      </c>
      <c r="AD19" s="444">
        <v>3073</v>
      </c>
      <c r="AE19" s="444">
        <v>3172</v>
      </c>
      <c r="AF19" s="444">
        <v>3172</v>
      </c>
      <c r="AG19" s="444">
        <v>3172</v>
      </c>
      <c r="AH19" s="444">
        <v>3256</v>
      </c>
      <c r="AI19" s="444">
        <v>3262</v>
      </c>
      <c r="AJ19" s="484">
        <f t="shared" si="0"/>
        <v>55.073442512240419</v>
      </c>
      <c r="AK19" s="396">
        <v>5926</v>
      </c>
      <c r="AL19" s="396">
        <v>5926</v>
      </c>
      <c r="AM19" s="213" t="s">
        <v>87</v>
      </c>
      <c r="AO19" s="383"/>
      <c r="AP19" s="391"/>
      <c r="AQ19" s="991"/>
      <c r="AR19" s="435"/>
    </row>
    <row r="20" spans="1:44" ht="12.75" customHeight="1">
      <c r="A20" s="212"/>
      <c r="B20" s="213" t="s">
        <v>67</v>
      </c>
      <c r="C20" s="479">
        <v>37582</v>
      </c>
      <c r="D20" s="444">
        <v>34362</v>
      </c>
      <c r="E20" s="444">
        <v>34070</v>
      </c>
      <c r="F20" s="444">
        <v>31939</v>
      </c>
      <c r="G20" s="444">
        <v>31852</v>
      </c>
      <c r="H20" s="444">
        <v>31821</v>
      </c>
      <c r="I20" s="444">
        <v>31735</v>
      </c>
      <c r="J20" s="444">
        <v>29113</v>
      </c>
      <c r="K20" s="444">
        <v>29272</v>
      </c>
      <c r="L20" s="444">
        <v>29445</v>
      </c>
      <c r="M20" s="444">
        <v>29352</v>
      </c>
      <c r="N20" s="444">
        <v>29269</v>
      </c>
      <c r="O20" s="444">
        <v>29246</v>
      </c>
      <c r="P20" s="396">
        <v>29286</v>
      </c>
      <c r="Q20" s="444">
        <v>29463</v>
      </c>
      <c r="R20" s="396">
        <v>29918</v>
      </c>
      <c r="S20" s="396">
        <v>29901</v>
      </c>
      <c r="T20" s="396">
        <v>29698</v>
      </c>
      <c r="U20" s="396">
        <v>29504</v>
      </c>
      <c r="V20" s="396">
        <v>29656</v>
      </c>
      <c r="W20" s="396">
        <v>29588</v>
      </c>
      <c r="X20" s="396">
        <v>29243</v>
      </c>
      <c r="Y20" s="396">
        <v>29386</v>
      </c>
      <c r="Z20" s="396">
        <v>28765</v>
      </c>
      <c r="AA20" s="479">
        <v>15133</v>
      </c>
      <c r="AB20" s="444">
        <v>15401</v>
      </c>
      <c r="AC20" s="444">
        <v>15469</v>
      </c>
      <c r="AD20" s="444">
        <v>15519</v>
      </c>
      <c r="AE20" s="444">
        <v>16016</v>
      </c>
      <c r="AF20" s="444">
        <v>16116</v>
      </c>
      <c r="AG20" s="444">
        <v>15737</v>
      </c>
      <c r="AH20" s="444">
        <v>16087</v>
      </c>
      <c r="AI20" s="444">
        <v>15976</v>
      </c>
      <c r="AJ20" s="484">
        <f t="shared" si="0"/>
        <v>55.539718407787241</v>
      </c>
      <c r="AK20" s="396">
        <v>28364</v>
      </c>
      <c r="AL20" s="391">
        <v>28120</v>
      </c>
      <c r="AM20" s="213" t="s">
        <v>67</v>
      </c>
      <c r="AO20" s="383"/>
      <c r="AP20" s="391"/>
      <c r="AQ20" s="991"/>
      <c r="AR20" s="435"/>
    </row>
    <row r="21" spans="1:44" ht="12.75" customHeight="1">
      <c r="A21" s="212"/>
      <c r="B21" s="221" t="s">
        <v>144</v>
      </c>
      <c r="C21" s="480">
        <v>2411</v>
      </c>
      <c r="D21" s="446">
        <v>2437</v>
      </c>
      <c r="E21" s="446">
        <v>2429</v>
      </c>
      <c r="F21" s="446">
        <v>2296</v>
      </c>
      <c r="G21" s="446">
        <v>2726</v>
      </c>
      <c r="H21" s="446">
        <v>2726</v>
      </c>
      <c r="I21" s="446">
        <v>2726</v>
      </c>
      <c r="J21" s="446">
        <v>2726</v>
      </c>
      <c r="K21" s="446">
        <v>2726</v>
      </c>
      <c r="L21" s="446">
        <v>2726</v>
      </c>
      <c r="M21" s="446">
        <v>2726</v>
      </c>
      <c r="N21" s="446">
        <v>2726</v>
      </c>
      <c r="O21" s="446">
        <v>2726</v>
      </c>
      <c r="P21" s="391">
        <v>2726</v>
      </c>
      <c r="Q21" s="446">
        <v>2722</v>
      </c>
      <c r="R21" s="391">
        <v>2722</v>
      </c>
      <c r="S21" s="391">
        <v>2722</v>
      </c>
      <c r="T21" s="391">
        <v>2722</v>
      </c>
      <c r="U21" s="391">
        <v>2722</v>
      </c>
      <c r="V21" s="391">
        <v>2722</v>
      </c>
      <c r="W21" s="391">
        <v>2722</v>
      </c>
      <c r="X21" s="391">
        <v>2722</v>
      </c>
      <c r="Y21" s="391">
        <v>2604</v>
      </c>
      <c r="Z21" s="391">
        <v>2604</v>
      </c>
      <c r="AA21" s="480">
        <v>980</v>
      </c>
      <c r="AB21" s="446">
        <v>985</v>
      </c>
      <c r="AC21" s="446">
        <v>984</v>
      </c>
      <c r="AD21" s="446">
        <v>984</v>
      </c>
      <c r="AE21" s="446">
        <v>984</v>
      </c>
      <c r="AF21" s="446">
        <v>984</v>
      </c>
      <c r="AG21" s="446">
        <v>985</v>
      </c>
      <c r="AH21" s="446">
        <v>970</v>
      </c>
      <c r="AI21" s="446">
        <v>970</v>
      </c>
      <c r="AJ21" s="478">
        <f t="shared" si="0"/>
        <v>37.250384024577571</v>
      </c>
      <c r="AK21" s="391">
        <v>2605</v>
      </c>
      <c r="AL21" s="396">
        <v>2605</v>
      </c>
      <c r="AM21" s="221" t="s">
        <v>144</v>
      </c>
      <c r="AO21" s="383"/>
      <c r="AP21" s="391"/>
      <c r="AQ21" s="991"/>
      <c r="AR21" s="435"/>
    </row>
    <row r="22" spans="1:44" ht="12.75" customHeight="1">
      <c r="A22" s="212"/>
      <c r="B22" s="221" t="s">
        <v>77</v>
      </c>
      <c r="C22" s="414">
        <v>8487</v>
      </c>
      <c r="D22" s="413">
        <v>7836</v>
      </c>
      <c r="E22" s="413">
        <v>7838</v>
      </c>
      <c r="F22" s="413">
        <v>7714</v>
      </c>
      <c r="G22" s="413"/>
      <c r="H22" s="413"/>
      <c r="I22" s="413"/>
      <c r="J22" s="413"/>
      <c r="K22" s="413">
        <v>8005</v>
      </c>
      <c r="L22" s="413">
        <v>7736</v>
      </c>
      <c r="M22" s="413">
        <v>7949</v>
      </c>
      <c r="N22" s="413">
        <v>7950</v>
      </c>
      <c r="O22" s="413">
        <v>7950</v>
      </c>
      <c r="P22" s="413">
        <v>7950</v>
      </c>
      <c r="Q22" s="413">
        <f>7676+284</f>
        <v>7960</v>
      </c>
      <c r="R22" s="413">
        <f>7658+284</f>
        <v>7942</v>
      </c>
      <c r="S22" s="413">
        <v>7892</v>
      </c>
      <c r="T22" s="413">
        <f>284+7608</f>
        <v>7892</v>
      </c>
      <c r="U22" s="413">
        <f>7609+284</f>
        <v>7893</v>
      </c>
      <c r="V22" s="413">
        <f>7397+509</f>
        <v>7906</v>
      </c>
      <c r="W22" s="413">
        <f>7385+492</f>
        <v>7877</v>
      </c>
      <c r="X22" s="413">
        <f>7389+509</f>
        <v>7898</v>
      </c>
      <c r="Y22" s="413">
        <f>7384+508</f>
        <v>7892</v>
      </c>
      <c r="Z22" s="413">
        <f>7385+509</f>
        <v>7894</v>
      </c>
      <c r="AA22" s="487">
        <f>2573+220</f>
        <v>2793</v>
      </c>
      <c r="AB22" s="488">
        <v>2848</v>
      </c>
      <c r="AC22" s="488">
        <f>220+2628</f>
        <v>2848</v>
      </c>
      <c r="AD22" s="488">
        <f>2727+220</f>
        <v>2947</v>
      </c>
      <c r="AE22" s="488">
        <f>2679+317</f>
        <v>2996</v>
      </c>
      <c r="AF22" s="488">
        <f>2697+317</f>
        <v>3014</v>
      </c>
      <c r="AG22" s="488">
        <f>313+2697</f>
        <v>3010</v>
      </c>
      <c r="AH22" s="488">
        <f>2696+316</f>
        <v>3012</v>
      </c>
      <c r="AI22" s="488">
        <f>2701+378</f>
        <v>3079</v>
      </c>
      <c r="AJ22" s="489">
        <f t="shared" si="0"/>
        <v>39.004307068659742</v>
      </c>
      <c r="AK22" s="413">
        <v>7749</v>
      </c>
      <c r="AL22" s="391">
        <v>7751.7</v>
      </c>
      <c r="AM22" s="221" t="s">
        <v>77</v>
      </c>
      <c r="AO22" s="383"/>
      <c r="AP22" s="391"/>
      <c r="AQ22" s="991"/>
      <c r="AR22" s="435"/>
    </row>
    <row r="23" spans="1:44" ht="12.75" customHeight="1">
      <c r="A23" s="212"/>
      <c r="B23" s="221" t="s">
        <v>68</v>
      </c>
      <c r="C23" s="480">
        <v>2189</v>
      </c>
      <c r="D23" s="446">
        <v>1987</v>
      </c>
      <c r="E23" s="446">
        <v>1944</v>
      </c>
      <c r="F23" s="446">
        <v>1954</v>
      </c>
      <c r="G23" s="446">
        <v>1954</v>
      </c>
      <c r="H23" s="446">
        <v>1945</v>
      </c>
      <c r="I23" s="446">
        <v>1909</v>
      </c>
      <c r="J23" s="446">
        <v>1909</v>
      </c>
      <c r="K23" s="446">
        <v>1919</v>
      </c>
      <c r="L23" s="446">
        <v>1919</v>
      </c>
      <c r="M23" s="446">
        <v>1919</v>
      </c>
      <c r="N23" s="446">
        <v>1919</v>
      </c>
      <c r="O23" s="446">
        <v>1919</v>
      </c>
      <c r="P23" s="391">
        <v>1919</v>
      </c>
      <c r="Q23" s="446">
        <v>1919</v>
      </c>
      <c r="R23" s="391">
        <v>1894</v>
      </c>
      <c r="S23" s="391">
        <v>1894</v>
      </c>
      <c r="T23" s="391">
        <v>1894</v>
      </c>
      <c r="U23" s="391">
        <v>1894</v>
      </c>
      <c r="V23" s="391">
        <v>1894</v>
      </c>
      <c r="W23" s="391">
        <v>1894</v>
      </c>
      <c r="X23" s="391">
        <v>1894</v>
      </c>
      <c r="Y23" s="391">
        <v>1894</v>
      </c>
      <c r="Z23" s="391">
        <v>1894</v>
      </c>
      <c r="AA23" s="475">
        <v>52</v>
      </c>
      <c r="AB23" s="476">
        <v>52</v>
      </c>
      <c r="AC23" s="476">
        <v>52</v>
      </c>
      <c r="AD23" s="476">
        <v>52</v>
      </c>
      <c r="AE23" s="476">
        <v>52</v>
      </c>
      <c r="AF23" s="476">
        <v>52</v>
      </c>
      <c r="AG23" s="476">
        <v>52</v>
      </c>
      <c r="AH23" s="476">
        <v>52</v>
      </c>
      <c r="AI23" s="477">
        <v>52</v>
      </c>
      <c r="AJ23" s="478">
        <f t="shared" si="0"/>
        <v>2.7455121436114043</v>
      </c>
      <c r="AK23" s="391">
        <v>1894</v>
      </c>
      <c r="AL23" s="396">
        <v>1894</v>
      </c>
      <c r="AM23" s="221" t="s">
        <v>68</v>
      </c>
      <c r="AO23" s="383"/>
      <c r="AP23" s="391"/>
      <c r="AQ23" s="991"/>
      <c r="AR23" s="435"/>
    </row>
    <row r="24" spans="1:44" ht="12.75" customHeight="1">
      <c r="A24" s="212"/>
      <c r="B24" s="213" t="s">
        <v>69</v>
      </c>
      <c r="C24" s="399">
        <v>16073</v>
      </c>
      <c r="D24" s="398">
        <v>16138</v>
      </c>
      <c r="E24" s="398">
        <v>16066</v>
      </c>
      <c r="F24" s="398">
        <v>16003</v>
      </c>
      <c r="G24" s="398">
        <v>16014</v>
      </c>
      <c r="H24" s="398">
        <v>16030</v>
      </c>
      <c r="I24" s="398">
        <v>16080</v>
      </c>
      <c r="J24" s="398">
        <v>16092</v>
      </c>
      <c r="K24" s="398">
        <v>16187</v>
      </c>
      <c r="L24" s="398">
        <v>16357</v>
      </c>
      <c r="M24" s="398">
        <v>16307</v>
      </c>
      <c r="N24" s="398">
        <v>16287</v>
      </c>
      <c r="O24" s="398">
        <v>16236</v>
      </c>
      <c r="P24" s="398">
        <f>320+16225</f>
        <v>16545</v>
      </c>
      <c r="Q24" s="398">
        <f>16295+332</f>
        <v>16627</v>
      </c>
      <c r="R24" s="398">
        <f>16335+332</f>
        <v>16667</v>
      </c>
      <c r="S24" s="398">
        <v>16861</v>
      </c>
      <c r="T24" s="398">
        <f>318+16686</f>
        <v>17004</v>
      </c>
      <c r="U24" s="398">
        <f>318+16704</f>
        <v>17022</v>
      </c>
      <c r="V24" s="398">
        <f>16727+318</f>
        <v>17045</v>
      </c>
      <c r="W24" s="398">
        <v>17060</v>
      </c>
      <c r="X24" s="398">
        <f>16752+318</f>
        <v>17070</v>
      </c>
      <c r="Y24" s="398">
        <f>16721+316</f>
        <v>17037</v>
      </c>
      <c r="Z24" s="398">
        <f>16723+318</f>
        <v>17041</v>
      </c>
      <c r="AA24" s="399">
        <f>11531+200</f>
        <v>11731</v>
      </c>
      <c r="AB24" s="398">
        <v>11927</v>
      </c>
      <c r="AC24" s="398">
        <f>195+11887</f>
        <v>12082</v>
      </c>
      <c r="AD24" s="398">
        <f>11906+122</f>
        <v>12028</v>
      </c>
      <c r="AE24" s="398">
        <f>11925+195</f>
        <v>12120</v>
      </c>
      <c r="AF24" s="398">
        <f>11931+195</f>
        <v>12126</v>
      </c>
      <c r="AG24" s="398">
        <f>11969+195</f>
        <v>12164</v>
      </c>
      <c r="AH24" s="398">
        <f>11939+194</f>
        <v>12133</v>
      </c>
      <c r="AI24" s="398">
        <f>11941+195</f>
        <v>12136</v>
      </c>
      <c r="AJ24" s="298">
        <f t="shared" si="0"/>
        <v>71.21647790622616</v>
      </c>
      <c r="AK24" s="398">
        <v>17096</v>
      </c>
      <c r="AL24" s="396">
        <v>17105</v>
      </c>
      <c r="AM24" s="213" t="s">
        <v>69</v>
      </c>
      <c r="AO24" s="383"/>
      <c r="AP24" s="391"/>
      <c r="AQ24" s="991"/>
      <c r="AR24" s="435"/>
    </row>
    <row r="25" spans="1:44" ht="12.75" customHeight="1">
      <c r="A25" s="212"/>
      <c r="B25" s="221" t="s">
        <v>73</v>
      </c>
      <c r="C25" s="480">
        <v>2015</v>
      </c>
      <c r="D25" s="446">
        <v>2008</v>
      </c>
      <c r="E25" s="446">
        <v>2007</v>
      </c>
      <c r="F25" s="446">
        <v>2002</v>
      </c>
      <c r="G25" s="446">
        <v>1997</v>
      </c>
      <c r="H25" s="446">
        <v>1998</v>
      </c>
      <c r="I25" s="446">
        <v>1998</v>
      </c>
      <c r="J25" s="446">
        <v>1905</v>
      </c>
      <c r="K25" s="446">
        <v>1905</v>
      </c>
      <c r="L25" s="446">
        <v>1696</v>
      </c>
      <c r="M25" s="446">
        <v>1775</v>
      </c>
      <c r="N25" s="446">
        <v>1774</v>
      </c>
      <c r="O25" s="446">
        <v>1782</v>
      </c>
      <c r="P25" s="391">
        <f>1771</f>
        <v>1771</v>
      </c>
      <c r="Q25" s="446">
        <v>1771</v>
      </c>
      <c r="R25" s="391">
        <v>1766</v>
      </c>
      <c r="S25" s="391">
        <v>1765</v>
      </c>
      <c r="T25" s="391">
        <v>1767</v>
      </c>
      <c r="U25" s="391">
        <f>1767</f>
        <v>1767</v>
      </c>
      <c r="V25" s="391">
        <v>1767</v>
      </c>
      <c r="W25" s="391">
        <v>1767</v>
      </c>
      <c r="X25" s="391">
        <v>1767</v>
      </c>
      <c r="Y25" s="391">
        <v>1767</v>
      </c>
      <c r="Z25" s="391">
        <v>1877</v>
      </c>
      <c r="AA25" s="475">
        <v>122</v>
      </c>
      <c r="AB25" s="476">
        <v>122</v>
      </c>
      <c r="AC25" s="476">
        <v>122</v>
      </c>
      <c r="AD25" s="476">
        <v>122</v>
      </c>
      <c r="AE25" s="476">
        <v>122</v>
      </c>
      <c r="AF25" s="476">
        <v>122</v>
      </c>
      <c r="AG25" s="476">
        <v>122</v>
      </c>
      <c r="AH25" s="476">
        <v>122</v>
      </c>
      <c r="AI25" s="476">
        <v>122</v>
      </c>
      <c r="AJ25" s="478">
        <f t="shared" si="0"/>
        <v>6.4997336174746945</v>
      </c>
      <c r="AK25" s="391">
        <v>1911</v>
      </c>
      <c r="AL25" s="391">
        <v>1911</v>
      </c>
      <c r="AM25" s="221" t="s">
        <v>73</v>
      </c>
      <c r="AO25" s="383"/>
      <c r="AP25" s="391"/>
      <c r="AQ25" s="991"/>
      <c r="AR25" s="435"/>
    </row>
    <row r="26" spans="1:44" ht="12.75" customHeight="1">
      <c r="A26" s="212"/>
      <c r="B26" s="213" t="s">
        <v>76</v>
      </c>
      <c r="C26" s="479">
        <v>271</v>
      </c>
      <c r="D26" s="444">
        <v>270</v>
      </c>
      <c r="E26" s="444">
        <v>271</v>
      </c>
      <c r="F26" s="444">
        <v>275</v>
      </c>
      <c r="G26" s="396">
        <v>274</v>
      </c>
      <c r="H26" s="396">
        <v>274</v>
      </c>
      <c r="I26" s="396">
        <v>274</v>
      </c>
      <c r="J26" s="396">
        <v>274</v>
      </c>
      <c r="K26" s="444">
        <v>274</v>
      </c>
      <c r="L26" s="396">
        <v>274</v>
      </c>
      <c r="M26" s="396">
        <v>274</v>
      </c>
      <c r="N26" s="396">
        <v>275</v>
      </c>
      <c r="O26" s="396">
        <v>275</v>
      </c>
      <c r="P26" s="396">
        <v>275</v>
      </c>
      <c r="Q26" s="444">
        <v>275</v>
      </c>
      <c r="R26" s="396">
        <v>275</v>
      </c>
      <c r="S26" s="396">
        <v>275</v>
      </c>
      <c r="T26" s="396">
        <v>275</v>
      </c>
      <c r="U26" s="396">
        <v>275</v>
      </c>
      <c r="V26" s="396">
        <v>275</v>
      </c>
      <c r="W26" s="396">
        <v>275</v>
      </c>
      <c r="X26" s="396">
        <v>275</v>
      </c>
      <c r="Y26" s="396">
        <v>275</v>
      </c>
      <c r="Z26" s="396">
        <v>275</v>
      </c>
      <c r="AA26" s="479">
        <v>262</v>
      </c>
      <c r="AB26" s="444">
        <v>262</v>
      </c>
      <c r="AC26" s="444">
        <v>262</v>
      </c>
      <c r="AD26" s="444">
        <v>262</v>
      </c>
      <c r="AE26" s="444">
        <v>262</v>
      </c>
      <c r="AF26" s="444">
        <v>262</v>
      </c>
      <c r="AG26" s="444">
        <v>262</v>
      </c>
      <c r="AH26" s="444">
        <v>262</v>
      </c>
      <c r="AI26" s="444">
        <v>262</v>
      </c>
      <c r="AJ26" s="484">
        <f t="shared" si="0"/>
        <v>95.27272727272728</v>
      </c>
      <c r="AK26" s="396">
        <v>275</v>
      </c>
      <c r="AL26" s="398">
        <v>275</v>
      </c>
      <c r="AM26" s="213" t="s">
        <v>76</v>
      </c>
      <c r="AO26" s="383"/>
      <c r="AP26" s="413"/>
      <c r="AQ26" s="991"/>
      <c r="AR26" s="435"/>
    </row>
    <row r="27" spans="1:44" ht="12.75" customHeight="1">
      <c r="A27" s="212"/>
      <c r="B27" s="213" t="s">
        <v>72</v>
      </c>
      <c r="C27" s="479">
        <v>2606</v>
      </c>
      <c r="D27" s="444">
        <v>2384</v>
      </c>
      <c r="E27" s="444">
        <v>2397</v>
      </c>
      <c r="F27" s="444">
        <v>2413</v>
      </c>
      <c r="G27" s="444">
        <v>2413</v>
      </c>
      <c r="H27" s="444">
        <v>2413</v>
      </c>
      <c r="I27" s="444">
        <v>2413</v>
      </c>
      <c r="J27" s="444">
        <v>2413</v>
      </c>
      <c r="K27" s="444">
        <v>2331</v>
      </c>
      <c r="L27" s="444">
        <v>2305</v>
      </c>
      <c r="M27" s="444">
        <v>2270</v>
      </c>
      <c r="N27" s="444">
        <v>2270</v>
      </c>
      <c r="O27" s="444">
        <v>2270</v>
      </c>
      <c r="P27" s="396">
        <v>2270</v>
      </c>
      <c r="Q27" s="444">
        <v>2269</v>
      </c>
      <c r="R27" s="396">
        <v>2265</v>
      </c>
      <c r="S27" s="396">
        <v>2263</v>
      </c>
      <c r="T27" s="396">
        <v>1884</v>
      </c>
      <c r="U27" s="396">
        <v>1897</v>
      </c>
      <c r="V27" s="396">
        <v>1865</v>
      </c>
      <c r="W27" s="396">
        <v>1860</v>
      </c>
      <c r="X27" s="396">
        <v>1859</v>
      </c>
      <c r="Y27" s="396">
        <v>1853</v>
      </c>
      <c r="Z27" s="396">
        <v>1859</v>
      </c>
      <c r="AA27" s="479">
        <v>257</v>
      </c>
      <c r="AB27" s="444">
        <v>257</v>
      </c>
      <c r="AC27" s="444">
        <v>257</v>
      </c>
      <c r="AD27" s="444">
        <v>257</v>
      </c>
      <c r="AE27" s="444">
        <v>257</v>
      </c>
      <c r="AF27" s="444">
        <v>250</v>
      </c>
      <c r="AG27" s="444">
        <v>250</v>
      </c>
      <c r="AH27" s="444">
        <v>245</v>
      </c>
      <c r="AI27" s="444">
        <v>250</v>
      </c>
      <c r="AJ27" s="484">
        <f t="shared" si="0"/>
        <v>13.448090371167295</v>
      </c>
      <c r="AK27" s="396">
        <v>1860</v>
      </c>
      <c r="AL27" s="413">
        <v>1860</v>
      </c>
      <c r="AM27" s="213" t="s">
        <v>72</v>
      </c>
      <c r="AO27" s="383"/>
      <c r="AP27" s="413"/>
      <c r="AQ27" s="991"/>
      <c r="AR27" s="435"/>
    </row>
    <row r="28" spans="1:44" ht="12.75" customHeight="1">
      <c r="A28" s="212"/>
      <c r="B28" s="213" t="s">
        <v>78</v>
      </c>
      <c r="C28" s="407" t="s">
        <v>142</v>
      </c>
      <c r="D28" s="396" t="s">
        <v>142</v>
      </c>
      <c r="E28" s="396" t="s">
        <v>142</v>
      </c>
      <c r="F28" s="396" t="s">
        <v>142</v>
      </c>
      <c r="G28" s="396" t="s">
        <v>142</v>
      </c>
      <c r="H28" s="396" t="s">
        <v>142</v>
      </c>
      <c r="I28" s="396" t="s">
        <v>142</v>
      </c>
      <c r="J28" s="396" t="s">
        <v>142</v>
      </c>
      <c r="K28" s="396" t="s">
        <v>142</v>
      </c>
      <c r="L28" s="396" t="s">
        <v>142</v>
      </c>
      <c r="M28" s="396" t="s">
        <v>142</v>
      </c>
      <c r="N28" s="396" t="s">
        <v>142</v>
      </c>
      <c r="O28" s="396" t="s">
        <v>142</v>
      </c>
      <c r="P28" s="396" t="s">
        <v>142</v>
      </c>
      <c r="Q28" s="396" t="s">
        <v>142</v>
      </c>
      <c r="R28" s="396" t="s">
        <v>142</v>
      </c>
      <c r="S28" s="396" t="s">
        <v>142</v>
      </c>
      <c r="T28" s="396" t="s">
        <v>142</v>
      </c>
      <c r="U28" s="396" t="s">
        <v>142</v>
      </c>
      <c r="V28" s="396" t="s">
        <v>142</v>
      </c>
      <c r="W28" s="396" t="s">
        <v>142</v>
      </c>
      <c r="X28" s="396" t="s">
        <v>142</v>
      </c>
      <c r="Y28" s="396" t="s">
        <v>142</v>
      </c>
      <c r="Z28" s="396" t="s">
        <v>142</v>
      </c>
      <c r="AA28" s="407" t="s">
        <v>142</v>
      </c>
      <c r="AB28" s="396" t="s">
        <v>142</v>
      </c>
      <c r="AC28" s="396" t="s">
        <v>142</v>
      </c>
      <c r="AD28" s="396" t="s">
        <v>142</v>
      </c>
      <c r="AE28" s="396" t="s">
        <v>142</v>
      </c>
      <c r="AF28" s="396" t="s">
        <v>142</v>
      </c>
      <c r="AG28" s="396" t="s">
        <v>142</v>
      </c>
      <c r="AH28" s="396" t="s">
        <v>142</v>
      </c>
      <c r="AI28" s="396" t="s">
        <v>142</v>
      </c>
      <c r="AJ28" s="225" t="s">
        <v>142</v>
      </c>
      <c r="AK28" s="396">
        <v>0</v>
      </c>
      <c r="AL28" s="396">
        <v>0</v>
      </c>
      <c r="AM28" s="213" t="s">
        <v>78</v>
      </c>
      <c r="AO28" s="383"/>
      <c r="AP28" s="391"/>
      <c r="AQ28" s="991"/>
      <c r="AR28" s="435"/>
    </row>
    <row r="29" spans="1:44" ht="12.75" customHeight="1">
      <c r="A29" s="212"/>
      <c r="B29" s="221" t="s">
        <v>16</v>
      </c>
      <c r="C29" s="480">
        <v>3147</v>
      </c>
      <c r="D29" s="446">
        <v>2880</v>
      </c>
      <c r="E29" s="446">
        <v>2798</v>
      </c>
      <c r="F29" s="446">
        <v>2739</v>
      </c>
      <c r="G29" s="446">
        <v>2739</v>
      </c>
      <c r="H29" s="446">
        <v>2805</v>
      </c>
      <c r="I29" s="446">
        <v>2808</v>
      </c>
      <c r="J29" s="446">
        <v>2808</v>
      </c>
      <c r="K29" s="446">
        <v>2802</v>
      </c>
      <c r="L29" s="446">
        <v>2809</v>
      </c>
      <c r="M29" s="446">
        <v>2806</v>
      </c>
      <c r="N29" s="446">
        <v>2811</v>
      </c>
      <c r="O29" s="446">
        <v>2810</v>
      </c>
      <c r="P29" s="391">
        <v>2797</v>
      </c>
      <c r="Q29" s="446">
        <v>2801</v>
      </c>
      <c r="R29" s="391">
        <v>2888</v>
      </c>
      <c r="S29" s="391">
        <v>2896</v>
      </c>
      <c r="T29" s="490">
        <v>3013</v>
      </c>
      <c r="U29" s="490">
        <v>3013</v>
      </c>
      <c r="V29" s="490">
        <v>3013</v>
      </c>
      <c r="W29" s="490">
        <v>3013</v>
      </c>
      <c r="X29" s="490">
        <v>3032</v>
      </c>
      <c r="Y29" s="490">
        <v>3031</v>
      </c>
      <c r="Z29" s="490">
        <v>3058</v>
      </c>
      <c r="AA29" s="475">
        <v>2155</v>
      </c>
      <c r="AB29" s="476">
        <v>2155</v>
      </c>
      <c r="AC29" s="476">
        <v>2266</v>
      </c>
      <c r="AD29" s="476">
        <v>2266</v>
      </c>
      <c r="AE29" s="476">
        <v>2266</v>
      </c>
      <c r="AF29" s="476">
        <v>2266</v>
      </c>
      <c r="AG29" s="476">
        <v>2307</v>
      </c>
      <c r="AH29" s="476">
        <v>2302</v>
      </c>
      <c r="AI29" s="476">
        <v>2314</v>
      </c>
      <c r="AJ29" s="478">
        <f t="shared" ref="AJ29:AJ41" si="1">AI29/Z29*100</f>
        <v>75.670372792674954</v>
      </c>
      <c r="AK29" s="490">
        <v>3058</v>
      </c>
      <c r="AL29" s="396">
        <v>3055</v>
      </c>
      <c r="AM29" s="221" t="s">
        <v>16</v>
      </c>
      <c r="AO29" s="383"/>
      <c r="AP29" s="391"/>
      <c r="AQ29" s="991"/>
      <c r="AR29" s="435"/>
    </row>
    <row r="30" spans="1:44" ht="12.75" customHeight="1">
      <c r="A30" s="212"/>
      <c r="B30" s="221" t="s">
        <v>80</v>
      </c>
      <c r="C30" s="480">
        <v>26678</v>
      </c>
      <c r="D30" s="446">
        <v>27181</v>
      </c>
      <c r="E30" s="446">
        <v>26228</v>
      </c>
      <c r="F30" s="446">
        <v>23986</v>
      </c>
      <c r="G30" s="446">
        <v>23420</v>
      </c>
      <c r="H30" s="446">
        <v>23328</v>
      </c>
      <c r="I30" s="446">
        <v>23210</v>
      </c>
      <c r="J30" s="446">
        <v>22891</v>
      </c>
      <c r="K30" s="446">
        <v>22560</v>
      </c>
      <c r="L30" s="446">
        <v>20134</v>
      </c>
      <c r="M30" s="446">
        <v>20223</v>
      </c>
      <c r="N30" s="446">
        <v>20665</v>
      </c>
      <c r="O30" s="446">
        <v>20250</v>
      </c>
      <c r="P30" s="391">
        <v>19507</v>
      </c>
      <c r="Q30" s="446">
        <v>19429</v>
      </c>
      <c r="R30" s="391">
        <v>19419</v>
      </c>
      <c r="S30" s="391">
        <v>19627</v>
      </c>
      <c r="T30" s="391">
        <v>19764</v>
      </c>
      <c r="U30" s="391">
        <v>19702</v>
      </c>
      <c r="V30" s="391">
        <v>19725</v>
      </c>
      <c r="W30" s="391">
        <v>19617</v>
      </c>
      <c r="X30" s="391">
        <v>18959</v>
      </c>
      <c r="Y30" s="391">
        <v>18942</v>
      </c>
      <c r="Z30" s="391">
        <v>18510</v>
      </c>
      <c r="AA30" s="475">
        <v>11831</v>
      </c>
      <c r="AB30" s="476">
        <v>11856</v>
      </c>
      <c r="AC30" s="476">
        <v>11891</v>
      </c>
      <c r="AD30" s="476">
        <v>11854</v>
      </c>
      <c r="AE30" s="476">
        <v>11817</v>
      </c>
      <c r="AF30" s="476">
        <v>11860</v>
      </c>
      <c r="AG30" s="476">
        <v>11817</v>
      </c>
      <c r="AH30" s="476">
        <v>11779</v>
      </c>
      <c r="AI30" s="476">
        <v>11777</v>
      </c>
      <c r="AJ30" s="478">
        <f t="shared" si="1"/>
        <v>63.625067531064296</v>
      </c>
      <c r="AK30" s="391">
        <v>18429</v>
      </c>
      <c r="AL30" s="490">
        <v>18513</v>
      </c>
      <c r="AM30" s="221" t="s">
        <v>80</v>
      </c>
      <c r="AO30" s="383"/>
      <c r="AP30" s="490"/>
      <c r="AQ30" s="991"/>
      <c r="AR30" s="435"/>
    </row>
    <row r="31" spans="1:44" ht="12.75" customHeight="1">
      <c r="A31" s="212"/>
      <c r="B31" s="213" t="s">
        <v>92</v>
      </c>
      <c r="C31" s="479">
        <v>3588</v>
      </c>
      <c r="D31" s="444">
        <v>3609</v>
      </c>
      <c r="E31" s="444">
        <v>3064</v>
      </c>
      <c r="F31" s="444">
        <v>2850</v>
      </c>
      <c r="G31" s="444">
        <v>2850</v>
      </c>
      <c r="H31" s="444">
        <v>2856</v>
      </c>
      <c r="I31" s="444">
        <v>2794</v>
      </c>
      <c r="J31" s="444">
        <v>2813</v>
      </c>
      <c r="K31" s="444">
        <v>2814</v>
      </c>
      <c r="L31" s="444">
        <v>2814</v>
      </c>
      <c r="M31" s="444">
        <v>2818</v>
      </c>
      <c r="N31" s="444">
        <v>2818</v>
      </c>
      <c r="O31" s="444">
        <v>2849</v>
      </c>
      <c r="P31" s="396">
        <v>2844</v>
      </c>
      <c r="Q31" s="444">
        <v>2839</v>
      </c>
      <c r="R31" s="396">
        <v>2838</v>
      </c>
      <c r="S31" s="396">
        <v>2842</v>
      </c>
      <c r="T31" s="396">
        <v>2842</v>
      </c>
      <c r="U31" s="396">
        <v>2842</v>
      </c>
      <c r="V31" s="396">
        <v>2793</v>
      </c>
      <c r="W31" s="396">
        <v>2541</v>
      </c>
      <c r="X31" s="396">
        <v>2544</v>
      </c>
      <c r="Y31" s="396">
        <v>2544</v>
      </c>
      <c r="Z31" s="396">
        <v>2545</v>
      </c>
      <c r="AA31" s="479">
        <v>1435</v>
      </c>
      <c r="AB31" s="444">
        <v>1460</v>
      </c>
      <c r="AC31" s="444">
        <v>1460</v>
      </c>
      <c r="AD31" s="444">
        <v>1487</v>
      </c>
      <c r="AE31" s="444">
        <v>1629</v>
      </c>
      <c r="AF31" s="444">
        <v>1630</v>
      </c>
      <c r="AG31" s="444">
        <v>1630</v>
      </c>
      <c r="AH31" s="444">
        <v>1629</v>
      </c>
      <c r="AI31" s="444">
        <v>1639</v>
      </c>
      <c r="AJ31" s="484">
        <f t="shared" si="1"/>
        <v>64.400785854616899</v>
      </c>
      <c r="AK31" s="396">
        <v>2553</v>
      </c>
      <c r="AL31" s="391">
        <v>2546</v>
      </c>
      <c r="AM31" s="213" t="s">
        <v>92</v>
      </c>
      <c r="AO31" s="383"/>
      <c r="AP31" s="391"/>
      <c r="AQ31" s="991"/>
      <c r="AR31" s="435"/>
    </row>
    <row r="32" spans="1:44" ht="12.75" customHeight="1">
      <c r="A32" s="212"/>
      <c r="B32" s="221" t="s">
        <v>101</v>
      </c>
      <c r="C32" s="480">
        <v>11012</v>
      </c>
      <c r="D32" s="446">
        <v>11110</v>
      </c>
      <c r="E32" s="446">
        <v>11348</v>
      </c>
      <c r="F32" s="446">
        <v>11376</v>
      </c>
      <c r="G32" s="446">
        <v>11385</v>
      </c>
      <c r="H32" s="446">
        <v>11380</v>
      </c>
      <c r="I32" s="446">
        <v>11010</v>
      </c>
      <c r="J32" s="446">
        <v>10981</v>
      </c>
      <c r="K32" s="446">
        <v>11015</v>
      </c>
      <c r="L32" s="446">
        <v>11015</v>
      </c>
      <c r="M32" s="446">
        <v>11002</v>
      </c>
      <c r="N32" s="446">
        <v>11077</v>
      </c>
      <c r="O32" s="446">
        <v>11053</v>
      </c>
      <c r="P32" s="391">
        <v>10948</v>
      </c>
      <c r="Q32" s="446">
        <v>10781</v>
      </c>
      <c r="R32" s="391">
        <v>10777</v>
      </c>
      <c r="S32" s="391">
        <v>10777</v>
      </c>
      <c r="T32" s="391">
        <v>10776</v>
      </c>
      <c r="U32" s="391">
        <v>10777</v>
      </c>
      <c r="V32" s="391">
        <v>10777</v>
      </c>
      <c r="W32" s="391">
        <v>10777</v>
      </c>
      <c r="X32" s="391">
        <v>10768</v>
      </c>
      <c r="Y32" s="391">
        <v>10770</v>
      </c>
      <c r="Z32" s="391">
        <v>10770</v>
      </c>
      <c r="AA32" s="475">
        <v>3979</v>
      </c>
      <c r="AB32" s="476">
        <v>3974</v>
      </c>
      <c r="AC32" s="476">
        <v>4002</v>
      </c>
      <c r="AD32" s="476">
        <v>4031</v>
      </c>
      <c r="AE32" s="476">
        <v>4032</v>
      </c>
      <c r="AF32" s="476">
        <v>4032</v>
      </c>
      <c r="AG32" s="476">
        <v>4029</v>
      </c>
      <c r="AH32" s="476">
        <v>4029</v>
      </c>
      <c r="AI32" s="476">
        <v>4030</v>
      </c>
      <c r="AJ32" s="478">
        <f t="shared" si="1"/>
        <v>37.41875580315692</v>
      </c>
      <c r="AK32" s="391">
        <v>10766</v>
      </c>
      <c r="AL32" s="396">
        <v>10766</v>
      </c>
      <c r="AM32" s="221" t="s">
        <v>101</v>
      </c>
      <c r="AO32" s="383"/>
      <c r="AP32" s="391"/>
      <c r="AQ32" s="991"/>
      <c r="AR32" s="435"/>
    </row>
    <row r="33" spans="1:44" ht="12.75" customHeight="1">
      <c r="A33" s="212"/>
      <c r="B33" s="221" t="s">
        <v>88</v>
      </c>
      <c r="C33" s="480">
        <v>12203</v>
      </c>
      <c r="D33" s="446">
        <v>12006</v>
      </c>
      <c r="E33" s="446">
        <v>11193</v>
      </c>
      <c r="F33" s="446">
        <v>10925</v>
      </c>
      <c r="G33" s="446">
        <v>10964</v>
      </c>
      <c r="H33" s="446">
        <v>10941</v>
      </c>
      <c r="I33" s="446">
        <v>10997</v>
      </c>
      <c r="J33" s="446">
        <v>11044</v>
      </c>
      <c r="K33" s="446">
        <v>11037</v>
      </c>
      <c r="L33" s="446">
        <v>11021</v>
      </c>
      <c r="M33" s="446">
        <v>11095</v>
      </c>
      <c r="N33" s="446">
        <v>11037</v>
      </c>
      <c r="O33" s="446">
        <v>11050</v>
      </c>
      <c r="P33" s="391">
        <v>11017</v>
      </c>
      <c r="Q33" s="446">
        <v>11020</v>
      </c>
      <c r="R33" s="391">
        <v>10972</v>
      </c>
      <c r="S33" s="391">
        <v>11032</v>
      </c>
      <c r="T33" s="391">
        <v>11138</v>
      </c>
      <c r="U33" s="391">
        <v>11160</v>
      </c>
      <c r="V33" s="391">
        <v>11206</v>
      </c>
      <c r="W33" s="391">
        <v>11136</v>
      </c>
      <c r="X33" s="391">
        <v>10957</v>
      </c>
      <c r="Y33" s="391">
        <v>10881</v>
      </c>
      <c r="Z33" s="391">
        <v>10908</v>
      </c>
      <c r="AA33" s="480">
        <v>7848</v>
      </c>
      <c r="AB33" s="446">
        <v>7867</v>
      </c>
      <c r="AC33" s="446">
        <v>7963</v>
      </c>
      <c r="AD33" s="446">
        <v>7965</v>
      </c>
      <c r="AE33" s="446">
        <v>8119</v>
      </c>
      <c r="AF33" s="446">
        <v>8194</v>
      </c>
      <c r="AG33" s="446">
        <v>8214</v>
      </c>
      <c r="AH33" s="446">
        <v>8232</v>
      </c>
      <c r="AI33" s="446">
        <v>8235</v>
      </c>
      <c r="AJ33" s="478">
        <f t="shared" si="1"/>
        <v>75.495049504950501</v>
      </c>
      <c r="AK33" s="391">
        <v>10882</v>
      </c>
      <c r="AL33" s="391">
        <v>10874</v>
      </c>
      <c r="AM33" s="221" t="s">
        <v>88</v>
      </c>
      <c r="AO33" s="383"/>
      <c r="AP33" s="391"/>
      <c r="AQ33" s="991"/>
      <c r="AR33" s="435"/>
    </row>
    <row r="34" spans="1:44" ht="12.75" customHeight="1">
      <c r="A34" s="212"/>
      <c r="B34" s="213" t="s">
        <v>83</v>
      </c>
      <c r="C34" s="479">
        <v>1055</v>
      </c>
      <c r="D34" s="444">
        <v>1058</v>
      </c>
      <c r="E34" s="444">
        <v>1196</v>
      </c>
      <c r="F34" s="396">
        <v>1201</v>
      </c>
      <c r="G34" s="396">
        <v>1201</v>
      </c>
      <c r="H34" s="396">
        <v>1201</v>
      </c>
      <c r="I34" s="396">
        <v>1201</v>
      </c>
      <c r="J34" s="396">
        <v>1201</v>
      </c>
      <c r="K34" s="396">
        <v>1201</v>
      </c>
      <c r="L34" s="396">
        <v>1229</v>
      </c>
      <c r="M34" s="396">
        <v>1229</v>
      </c>
      <c r="N34" s="396">
        <v>1229</v>
      </c>
      <c r="O34" s="396">
        <v>1229</v>
      </c>
      <c r="P34" s="396">
        <v>1228</v>
      </c>
      <c r="Q34" s="396">
        <v>1228</v>
      </c>
      <c r="R34" s="396">
        <v>1228</v>
      </c>
      <c r="S34" s="396">
        <v>1228</v>
      </c>
      <c r="T34" s="396">
        <v>1228</v>
      </c>
      <c r="U34" s="396">
        <v>1228</v>
      </c>
      <c r="V34" s="396">
        <v>1209</v>
      </c>
      <c r="W34" s="396">
        <v>1209</v>
      </c>
      <c r="X34" s="396">
        <v>1209</v>
      </c>
      <c r="Y34" s="396">
        <v>1208</v>
      </c>
      <c r="Z34" s="396">
        <v>1209</v>
      </c>
      <c r="AA34" s="479">
        <v>503</v>
      </c>
      <c r="AB34" s="444">
        <v>503</v>
      </c>
      <c r="AC34" s="444">
        <v>503</v>
      </c>
      <c r="AD34" s="444">
        <v>503</v>
      </c>
      <c r="AE34" s="444">
        <v>500</v>
      </c>
      <c r="AF34" s="444">
        <v>500</v>
      </c>
      <c r="AG34" s="444">
        <v>500</v>
      </c>
      <c r="AH34" s="444">
        <v>500</v>
      </c>
      <c r="AI34" s="444">
        <v>500</v>
      </c>
      <c r="AJ34" s="484">
        <f t="shared" si="1"/>
        <v>41.3564929693962</v>
      </c>
      <c r="AK34" s="396">
        <v>1209</v>
      </c>
      <c r="AL34" s="391">
        <v>1209</v>
      </c>
      <c r="AM34" s="213" t="s">
        <v>83</v>
      </c>
      <c r="AO34" s="383"/>
      <c r="AP34" s="391"/>
      <c r="AQ34" s="991"/>
      <c r="AR34" s="435"/>
    </row>
    <row r="35" spans="1:44" ht="12.75" customHeight="1">
      <c r="A35" s="212"/>
      <c r="B35" s="221" t="s">
        <v>85</v>
      </c>
      <c r="C35" s="480"/>
      <c r="D35" s="446"/>
      <c r="E35" s="446">
        <v>3660</v>
      </c>
      <c r="F35" s="446">
        <v>3665</v>
      </c>
      <c r="G35" s="446">
        <v>3673</v>
      </c>
      <c r="H35" s="446">
        <v>3673</v>
      </c>
      <c r="I35" s="446">
        <v>3665</v>
      </c>
      <c r="J35" s="446">
        <v>3665</v>
      </c>
      <c r="K35" s="446">
        <v>3662</v>
      </c>
      <c r="L35" s="446">
        <v>3662</v>
      </c>
      <c r="M35" s="446">
        <v>3657</v>
      </c>
      <c r="N35" s="446">
        <v>3657</v>
      </c>
      <c r="O35" s="446">
        <v>3660</v>
      </c>
      <c r="P35" s="391">
        <v>3658</v>
      </c>
      <c r="Q35" s="446">
        <v>3658</v>
      </c>
      <c r="R35" s="391">
        <v>3629</v>
      </c>
      <c r="S35" s="391">
        <v>3623</v>
      </c>
      <c r="T35" s="391">
        <v>3623</v>
      </c>
      <c r="U35" s="391">
        <v>3622</v>
      </c>
      <c r="V35" s="391">
        <v>3624</v>
      </c>
      <c r="W35" s="391">
        <v>3631</v>
      </c>
      <c r="X35" s="391">
        <v>3631</v>
      </c>
      <c r="Y35" s="391">
        <v>3627</v>
      </c>
      <c r="Z35" s="391">
        <v>3626</v>
      </c>
      <c r="AA35" s="475">
        <v>1578</v>
      </c>
      <c r="AB35" s="476">
        <v>1577</v>
      </c>
      <c r="AC35" s="476">
        <v>1577</v>
      </c>
      <c r="AD35" s="476">
        <v>1578</v>
      </c>
      <c r="AE35" s="476">
        <v>1578</v>
      </c>
      <c r="AF35" s="476">
        <v>1586</v>
      </c>
      <c r="AG35" s="476">
        <v>1586</v>
      </c>
      <c r="AH35" s="476">
        <v>1586</v>
      </c>
      <c r="AI35" s="476">
        <v>1587</v>
      </c>
      <c r="AJ35" s="478">
        <f t="shared" si="1"/>
        <v>43.767236624379478</v>
      </c>
      <c r="AK35" s="391">
        <v>3626</v>
      </c>
      <c r="AL35" s="391">
        <v>3626</v>
      </c>
      <c r="AM35" s="221" t="s">
        <v>85</v>
      </c>
      <c r="AO35" s="383"/>
      <c r="AP35" s="391"/>
      <c r="AQ35" s="991"/>
      <c r="AR35" s="435"/>
    </row>
    <row r="36" spans="1:44" ht="12.75" customHeight="1">
      <c r="A36" s="212"/>
      <c r="B36" s="213" t="s">
        <v>13</v>
      </c>
      <c r="C36" s="491">
        <v>19330</v>
      </c>
      <c r="D36" s="492">
        <v>18030</v>
      </c>
      <c r="E36" s="492">
        <v>16914</v>
      </c>
      <c r="F36" s="492">
        <v>17069</v>
      </c>
      <c r="G36" s="492">
        <v>17066</v>
      </c>
      <c r="H36" s="492">
        <v>17176</v>
      </c>
      <c r="I36" s="492">
        <v>17179</v>
      </c>
      <c r="J36" s="492">
        <v>17064</v>
      </c>
      <c r="K36" s="492">
        <v>17044</v>
      </c>
      <c r="L36" s="492">
        <v>17052</v>
      </c>
      <c r="M36" s="492">
        <v>17052</v>
      </c>
      <c r="N36" s="492">
        <v>17052</v>
      </c>
      <c r="O36" s="492">
        <f>58+340+16116</f>
        <v>16514</v>
      </c>
      <c r="P36" s="396">
        <f>58+340+15810</f>
        <v>16208</v>
      </c>
      <c r="Q36" s="492">
        <f>15795+340+58</f>
        <v>16193</v>
      </c>
      <c r="R36" s="396">
        <f>15814+340+58</f>
        <v>16212</v>
      </c>
      <c r="S36" s="396">
        <f>15814+340+58</f>
        <v>16212</v>
      </c>
      <c r="T36" s="396">
        <f>58+15753+340</f>
        <v>16151</v>
      </c>
      <c r="U36" s="396">
        <f>15777+340+58</f>
        <v>16175</v>
      </c>
      <c r="V36" s="396">
        <f>15738+58+338+274</f>
        <v>16408</v>
      </c>
      <c r="W36" s="396">
        <f>15753+338+274+58</f>
        <v>16423</v>
      </c>
      <c r="X36" s="396">
        <f>15753+274+58+338</f>
        <v>16423</v>
      </c>
      <c r="Y36" s="396">
        <v>16209</v>
      </c>
      <c r="Z36" s="396">
        <v>16209</v>
      </c>
      <c r="AA36" s="491">
        <f>5255+58</f>
        <v>5313</v>
      </c>
      <c r="AB36" s="492">
        <v>5318</v>
      </c>
      <c r="AC36" s="492">
        <f>58+5249</f>
        <v>5307</v>
      </c>
      <c r="AD36" s="492">
        <f>5262+58</f>
        <v>5320</v>
      </c>
      <c r="AE36" s="492">
        <f>5261+58+274</f>
        <v>5593</v>
      </c>
      <c r="AF36" s="492">
        <f>5265+274+58</f>
        <v>5597</v>
      </c>
      <c r="AG36" s="492">
        <f>5268+274+58</f>
        <v>5600</v>
      </c>
      <c r="AH36" s="492">
        <f>Y36*33/100</f>
        <v>5348.97</v>
      </c>
      <c r="AI36" s="492">
        <f>Z36*33.2/100</f>
        <v>5381.3880000000008</v>
      </c>
      <c r="AJ36" s="493">
        <f t="shared" si="1"/>
        <v>33.20000000000001</v>
      </c>
      <c r="AK36" s="396">
        <v>16253</v>
      </c>
      <c r="AL36" s="396">
        <v>16320</v>
      </c>
      <c r="AM36" s="213" t="s">
        <v>13</v>
      </c>
      <c r="AO36" s="383"/>
      <c r="AP36" s="391"/>
      <c r="AQ36" s="991"/>
      <c r="AR36" s="435"/>
    </row>
    <row r="37" spans="1:44" ht="12.75" customHeight="1">
      <c r="A37" s="212"/>
      <c r="B37" s="251" t="s">
        <v>270</v>
      </c>
      <c r="C37" s="473"/>
      <c r="D37" s="474"/>
      <c r="E37" s="474"/>
      <c r="F37" s="474"/>
      <c r="G37" s="474"/>
      <c r="H37" s="474"/>
      <c r="I37" s="474"/>
      <c r="J37" s="474"/>
      <c r="K37" s="474"/>
      <c r="L37" s="474"/>
      <c r="M37" s="474"/>
      <c r="N37" s="474"/>
      <c r="O37" s="474"/>
      <c r="P37" s="411"/>
      <c r="Q37" s="474"/>
      <c r="R37" s="411"/>
      <c r="S37" s="411"/>
      <c r="T37" s="411">
        <v>423</v>
      </c>
      <c r="U37" s="417">
        <v>423</v>
      </c>
      <c r="V37" s="417">
        <v>423</v>
      </c>
      <c r="W37" s="417">
        <v>423</v>
      </c>
      <c r="X37" s="417">
        <v>423</v>
      </c>
      <c r="Y37" s="417">
        <v>423</v>
      </c>
      <c r="Z37" s="417">
        <v>423</v>
      </c>
      <c r="AA37" s="473"/>
      <c r="AB37" s="474"/>
      <c r="AC37" s="474">
        <v>0</v>
      </c>
      <c r="AD37" s="494">
        <v>0</v>
      </c>
      <c r="AE37" s="494">
        <v>0</v>
      </c>
      <c r="AF37" s="494">
        <v>0</v>
      </c>
      <c r="AG37" s="494">
        <v>0</v>
      </c>
      <c r="AH37" s="494">
        <v>0</v>
      </c>
      <c r="AI37" s="494">
        <v>0</v>
      </c>
      <c r="AJ37" s="495">
        <f t="shared" si="1"/>
        <v>0</v>
      </c>
      <c r="AK37" s="495"/>
      <c r="AL37" s="495">
        <v>423</v>
      </c>
      <c r="AM37" s="251" t="s">
        <v>270</v>
      </c>
      <c r="AP37" s="435"/>
      <c r="AQ37" s="991"/>
      <c r="AR37" s="435"/>
    </row>
    <row r="38" spans="1:44" ht="12.75" customHeight="1">
      <c r="A38" s="212"/>
      <c r="B38" s="213" t="s">
        <v>223</v>
      </c>
      <c r="C38" s="491"/>
      <c r="D38" s="492"/>
      <c r="E38" s="492"/>
      <c r="F38" s="492"/>
      <c r="G38" s="492"/>
      <c r="H38" s="492"/>
      <c r="I38" s="492"/>
      <c r="J38" s="492"/>
      <c r="K38" s="492"/>
      <c r="L38" s="492"/>
      <c r="M38" s="492"/>
      <c r="N38" s="492"/>
      <c r="O38" s="492">
        <v>249</v>
      </c>
      <c r="P38" s="396">
        <v>248</v>
      </c>
      <c r="Q38" s="492">
        <v>248</v>
      </c>
      <c r="R38" s="396">
        <v>248</v>
      </c>
      <c r="S38" s="396">
        <v>249</v>
      </c>
      <c r="T38" s="396">
        <v>249</v>
      </c>
      <c r="U38" s="396">
        <v>249</v>
      </c>
      <c r="V38" s="396">
        <v>249</v>
      </c>
      <c r="W38" s="396">
        <v>248.76</v>
      </c>
      <c r="X38" s="396">
        <v>248.76</v>
      </c>
      <c r="Y38" s="396">
        <v>250</v>
      </c>
      <c r="Z38" s="396">
        <v>250</v>
      </c>
      <c r="AA38" s="491">
        <v>167</v>
      </c>
      <c r="AB38" s="492">
        <v>168</v>
      </c>
      <c r="AC38" s="492">
        <v>168</v>
      </c>
      <c r="AD38" s="492">
        <v>168</v>
      </c>
      <c r="AE38" s="492">
        <v>224.06</v>
      </c>
      <c r="AF38" s="492">
        <v>224.06</v>
      </c>
      <c r="AG38" s="492">
        <v>224.06</v>
      </c>
      <c r="AH38" s="492">
        <v>224</v>
      </c>
      <c r="AI38" s="492">
        <v>224</v>
      </c>
      <c r="AJ38" s="493">
        <f t="shared" si="1"/>
        <v>89.600000000000009</v>
      </c>
      <c r="AK38" s="493"/>
      <c r="AL38" s="493">
        <v>250</v>
      </c>
      <c r="AM38" s="213" t="s">
        <v>223</v>
      </c>
      <c r="AQ38" s="991"/>
    </row>
    <row r="39" spans="1:44" ht="12.75" customHeight="1">
      <c r="A39" s="212"/>
      <c r="B39" s="221" t="s">
        <v>145</v>
      </c>
      <c r="C39" s="480"/>
      <c r="D39" s="446">
        <v>673</v>
      </c>
      <c r="E39" s="446">
        <v>696</v>
      </c>
      <c r="F39" s="446">
        <v>699</v>
      </c>
      <c r="G39" s="446">
        <v>699</v>
      </c>
      <c r="H39" s="446">
        <v>699</v>
      </c>
      <c r="I39" s="446">
        <v>699</v>
      </c>
      <c r="J39" s="446">
        <v>699</v>
      </c>
      <c r="K39" s="446">
        <v>699</v>
      </c>
      <c r="L39" s="446">
        <v>699</v>
      </c>
      <c r="M39" s="446">
        <v>699</v>
      </c>
      <c r="N39" s="446">
        <v>699</v>
      </c>
      <c r="O39" s="446">
        <v>699</v>
      </c>
      <c r="P39" s="391">
        <v>699</v>
      </c>
      <c r="Q39" s="446">
        <v>699</v>
      </c>
      <c r="R39" s="391">
        <v>699</v>
      </c>
      <c r="S39" s="391">
        <v>699</v>
      </c>
      <c r="T39" s="391">
        <v>699</v>
      </c>
      <c r="U39" s="391">
        <v>699</v>
      </c>
      <c r="V39" s="391">
        <v>699</v>
      </c>
      <c r="W39" s="391">
        <v>699</v>
      </c>
      <c r="X39" s="391">
        <v>699</v>
      </c>
      <c r="Y39" s="391">
        <v>699</v>
      </c>
      <c r="Z39" s="391">
        <v>699</v>
      </c>
      <c r="AA39" s="480">
        <v>234</v>
      </c>
      <c r="AB39" s="446">
        <v>234</v>
      </c>
      <c r="AC39" s="446">
        <v>234</v>
      </c>
      <c r="AD39" s="446">
        <v>234</v>
      </c>
      <c r="AE39" s="446">
        <v>234</v>
      </c>
      <c r="AF39" s="446">
        <v>234</v>
      </c>
      <c r="AG39" s="446">
        <v>234</v>
      </c>
      <c r="AH39" s="446">
        <v>234</v>
      </c>
      <c r="AI39" s="446">
        <v>234</v>
      </c>
      <c r="AJ39" s="478">
        <f t="shared" si="1"/>
        <v>33.476394849785407</v>
      </c>
      <c r="AK39" s="478"/>
      <c r="AL39" s="478">
        <v>683</v>
      </c>
      <c r="AM39" s="221" t="s">
        <v>145</v>
      </c>
      <c r="AQ39" s="991"/>
    </row>
    <row r="40" spans="1:44" ht="12.75" customHeight="1">
      <c r="A40" s="212"/>
      <c r="B40" s="213" t="s">
        <v>224</v>
      </c>
      <c r="C40" s="491"/>
      <c r="D40" s="492"/>
      <c r="E40" s="492"/>
      <c r="F40" s="492"/>
      <c r="G40" s="492"/>
      <c r="H40" s="492"/>
      <c r="I40" s="492"/>
      <c r="J40" s="492"/>
      <c r="K40" s="492"/>
      <c r="L40" s="492"/>
      <c r="M40" s="492"/>
      <c r="N40" s="492">
        <v>3809</v>
      </c>
      <c r="O40" s="396">
        <v>3809</v>
      </c>
      <c r="P40" s="396">
        <v>3809</v>
      </c>
      <c r="Q40" s="492">
        <v>3809</v>
      </c>
      <c r="R40" s="396">
        <v>3809</v>
      </c>
      <c r="S40" s="396">
        <v>3809</v>
      </c>
      <c r="T40" s="396">
        <v>3809</v>
      </c>
      <c r="U40" s="396">
        <v>3809</v>
      </c>
      <c r="V40" s="396">
        <v>3809</v>
      </c>
      <c r="W40" s="396">
        <v>3809</v>
      </c>
      <c r="X40" s="396">
        <v>3809</v>
      </c>
      <c r="Y40" s="396">
        <v>3809</v>
      </c>
      <c r="Z40" s="396">
        <v>3809</v>
      </c>
      <c r="AA40" s="491">
        <v>1254</v>
      </c>
      <c r="AB40" s="492">
        <v>1254</v>
      </c>
      <c r="AC40" s="492">
        <v>1254</v>
      </c>
      <c r="AD40" s="492">
        <v>1278</v>
      </c>
      <c r="AE40" s="492">
        <v>1279</v>
      </c>
      <c r="AF40" s="492">
        <v>1279</v>
      </c>
      <c r="AG40" s="492">
        <v>1275</v>
      </c>
      <c r="AH40" s="492">
        <v>1275</v>
      </c>
      <c r="AI40" s="492">
        <v>1275</v>
      </c>
      <c r="AJ40" s="493">
        <f t="shared" si="1"/>
        <v>33.473352585980571</v>
      </c>
      <c r="AK40" s="493"/>
      <c r="AL40" s="493">
        <v>3736</v>
      </c>
      <c r="AM40" s="213" t="s">
        <v>224</v>
      </c>
      <c r="AQ40" s="991"/>
    </row>
    <row r="41" spans="1:44" ht="12.75" customHeight="1">
      <c r="A41" s="212"/>
      <c r="B41" s="256" t="s">
        <v>146</v>
      </c>
      <c r="C41" s="496">
        <v>7985</v>
      </c>
      <c r="D41" s="497">
        <v>8387</v>
      </c>
      <c r="E41" s="497">
        <v>8429</v>
      </c>
      <c r="F41" s="497">
        <v>8549</v>
      </c>
      <c r="G41" s="497">
        <v>8607</v>
      </c>
      <c r="H41" s="497">
        <v>8607</v>
      </c>
      <c r="I41" s="497">
        <v>8607</v>
      </c>
      <c r="J41" s="497">
        <v>8682</v>
      </c>
      <c r="K41" s="497">
        <v>8671</v>
      </c>
      <c r="L41" s="497">
        <v>8671</v>
      </c>
      <c r="M41" s="497">
        <v>8671</v>
      </c>
      <c r="N41" s="497">
        <v>8697</v>
      </c>
      <c r="O41" s="497">
        <v>8697</v>
      </c>
      <c r="P41" s="402">
        <v>8697</v>
      </c>
      <c r="Q41" s="497">
        <v>8697</v>
      </c>
      <c r="R41" s="402">
        <v>8697</v>
      </c>
      <c r="S41" s="402">
        <v>8699</v>
      </c>
      <c r="T41" s="402">
        <v>9080</v>
      </c>
      <c r="U41" s="391">
        <v>9594</v>
      </c>
      <c r="V41" s="391">
        <v>9642</v>
      </c>
      <c r="W41" s="391">
        <v>9642</v>
      </c>
      <c r="X41" s="391">
        <v>9718</v>
      </c>
      <c r="Y41" s="391">
        <v>10087</v>
      </c>
      <c r="Z41" s="391">
        <v>10131</v>
      </c>
      <c r="AA41" s="480">
        <v>1920</v>
      </c>
      <c r="AB41" s="446">
        <v>1928</v>
      </c>
      <c r="AC41" s="446">
        <v>2313</v>
      </c>
      <c r="AD41" s="446">
        <v>2791</v>
      </c>
      <c r="AE41" s="446">
        <v>2789</v>
      </c>
      <c r="AF41" s="446">
        <v>2840</v>
      </c>
      <c r="AG41" s="446">
        <v>2922</v>
      </c>
      <c r="AH41" s="446">
        <v>3330</v>
      </c>
      <c r="AI41" s="446">
        <v>3423</v>
      </c>
      <c r="AJ41" s="478">
        <f t="shared" si="1"/>
        <v>33.787385253183302</v>
      </c>
      <c r="AK41" s="478"/>
      <c r="AL41" s="478">
        <v>10207</v>
      </c>
      <c r="AM41" s="256" t="s">
        <v>146</v>
      </c>
      <c r="AQ41" s="991"/>
    </row>
    <row r="42" spans="1:44" ht="12.75" customHeight="1">
      <c r="A42" s="212"/>
      <c r="B42" s="213" t="s">
        <v>147</v>
      </c>
      <c r="C42" s="399" t="s">
        <v>142</v>
      </c>
      <c r="D42" s="398" t="s">
        <v>142</v>
      </c>
      <c r="E42" s="498" t="s">
        <v>142</v>
      </c>
      <c r="F42" s="498" t="s">
        <v>142</v>
      </c>
      <c r="G42" s="398" t="s">
        <v>142</v>
      </c>
      <c r="H42" s="398" t="s">
        <v>142</v>
      </c>
      <c r="I42" s="398" t="s">
        <v>142</v>
      </c>
      <c r="J42" s="398" t="s">
        <v>142</v>
      </c>
      <c r="K42" s="398" t="s">
        <v>142</v>
      </c>
      <c r="L42" s="398" t="s">
        <v>142</v>
      </c>
      <c r="M42" s="398" t="s">
        <v>142</v>
      </c>
      <c r="N42" s="398" t="s">
        <v>142</v>
      </c>
      <c r="O42" s="498" t="s">
        <v>142</v>
      </c>
      <c r="P42" s="498" t="s">
        <v>142</v>
      </c>
      <c r="Q42" s="498" t="s">
        <v>142</v>
      </c>
      <c r="R42" s="498" t="s">
        <v>142</v>
      </c>
      <c r="S42" s="498" t="s">
        <v>142</v>
      </c>
      <c r="T42" s="498" t="s">
        <v>142</v>
      </c>
      <c r="U42" s="498" t="s">
        <v>142</v>
      </c>
      <c r="V42" s="498" t="s">
        <v>142</v>
      </c>
      <c r="W42" s="498" t="s">
        <v>142</v>
      </c>
      <c r="X42" s="498" t="s">
        <v>142</v>
      </c>
      <c r="Y42" s="498" t="s">
        <v>142</v>
      </c>
      <c r="Z42" s="498" t="s">
        <v>142</v>
      </c>
      <c r="AA42" s="499" t="s">
        <v>142</v>
      </c>
      <c r="AB42" s="498" t="s">
        <v>142</v>
      </c>
      <c r="AC42" s="498" t="s">
        <v>142</v>
      </c>
      <c r="AD42" s="498" t="s">
        <v>142</v>
      </c>
      <c r="AE42" s="498" t="s">
        <v>142</v>
      </c>
      <c r="AF42" s="498" t="s">
        <v>142</v>
      </c>
      <c r="AG42" s="498" t="s">
        <v>142</v>
      </c>
      <c r="AH42" s="498" t="s">
        <v>142</v>
      </c>
      <c r="AI42" s="498" t="s">
        <v>142</v>
      </c>
      <c r="AJ42" s="500" t="s">
        <v>142</v>
      </c>
      <c r="AK42" s="739"/>
      <c r="AL42" s="739" t="s">
        <v>142</v>
      </c>
      <c r="AM42" s="213" t="s">
        <v>147</v>
      </c>
      <c r="AQ42" s="991"/>
    </row>
    <row r="43" spans="1:44" ht="12.75" customHeight="1">
      <c r="A43" s="212"/>
      <c r="B43" s="221" t="s">
        <v>148</v>
      </c>
      <c r="C43" s="480">
        <v>4242</v>
      </c>
      <c r="D43" s="446">
        <v>4242</v>
      </c>
      <c r="E43" s="446">
        <v>4044</v>
      </c>
      <c r="F43" s="446">
        <v>4023</v>
      </c>
      <c r="G43" s="446">
        <v>4152</v>
      </c>
      <c r="H43" s="446">
        <v>4152</v>
      </c>
      <c r="I43" s="446">
        <v>4152</v>
      </c>
      <c r="J43" s="446">
        <v>4021</v>
      </c>
      <c r="K43" s="446">
        <v>4413</v>
      </c>
      <c r="L43" s="446">
        <v>4425</v>
      </c>
      <c r="M43" s="446">
        <v>4324</v>
      </c>
      <c r="N43" s="446">
        <v>4334</v>
      </c>
      <c r="O43" s="446">
        <v>4334</v>
      </c>
      <c r="P43" s="391">
        <v>4334</v>
      </c>
      <c r="Q43" s="446">
        <v>4338</v>
      </c>
      <c r="R43" s="391">
        <v>4374</v>
      </c>
      <c r="S43" s="391">
        <v>4341</v>
      </c>
      <c r="T43" s="391">
        <v>4151</v>
      </c>
      <c r="U43" s="391">
        <v>4199</v>
      </c>
      <c r="V43" s="391">
        <v>4154</v>
      </c>
      <c r="W43" s="481">
        <f>4230-339</f>
        <v>3891</v>
      </c>
      <c r="X43" s="391">
        <f>4224-327</f>
        <v>3897</v>
      </c>
      <c r="Y43" s="391">
        <f>4219-352</f>
        <v>3867</v>
      </c>
      <c r="Z43" s="391">
        <v>3857</v>
      </c>
      <c r="AA43" s="480">
        <v>2792</v>
      </c>
      <c r="AB43" s="446">
        <v>2779</v>
      </c>
      <c r="AC43" s="446">
        <v>2746</v>
      </c>
      <c r="AD43" s="446">
        <v>2765</v>
      </c>
      <c r="AE43" s="446">
        <v>2500</v>
      </c>
      <c r="AF43" s="446">
        <v>2489</v>
      </c>
      <c r="AG43" s="446">
        <v>2500</v>
      </c>
      <c r="AH43" s="446">
        <v>2470</v>
      </c>
      <c r="AI43" s="446">
        <f>Z43*63.8/100</f>
        <v>2460.7659999999996</v>
      </c>
      <c r="AJ43" s="478">
        <f>AI43/Z43*100</f>
        <v>63.79999999999999</v>
      </c>
      <c r="AK43" s="478"/>
      <c r="AL43" s="478">
        <v>4134</v>
      </c>
      <c r="AM43" s="221" t="s">
        <v>148</v>
      </c>
      <c r="AQ43" s="991"/>
    </row>
    <row r="44" spans="1:44" ht="12.75" customHeight="1">
      <c r="A44" s="212"/>
      <c r="B44" s="217" t="s">
        <v>149</v>
      </c>
      <c r="C44" s="501">
        <v>3161</v>
      </c>
      <c r="D44" s="502">
        <v>3178</v>
      </c>
      <c r="E44" s="502">
        <v>3215</v>
      </c>
      <c r="F44" s="502">
        <v>3232</v>
      </c>
      <c r="G44" s="502">
        <v>3234</v>
      </c>
      <c r="H44" s="502">
        <v>3184</v>
      </c>
      <c r="I44" s="502">
        <v>3151</v>
      </c>
      <c r="J44" s="502">
        <v>3143</v>
      </c>
      <c r="K44" s="502">
        <v>3216</v>
      </c>
      <c r="L44" s="502">
        <v>3225</v>
      </c>
      <c r="M44" s="502">
        <v>3222</v>
      </c>
      <c r="N44" s="502">
        <f>2990+241</f>
        <v>3231</v>
      </c>
      <c r="O44" s="502">
        <v>3381</v>
      </c>
      <c r="P44" s="387">
        <f>241+3158</f>
        <v>3399</v>
      </c>
      <c r="Q44" s="502">
        <f>3158+405</f>
        <v>3563</v>
      </c>
      <c r="R44" s="387">
        <f>3158+405</f>
        <v>3563</v>
      </c>
      <c r="S44" s="387">
        <v>3557</v>
      </c>
      <c r="T44" s="387">
        <f>460+3139</f>
        <v>3599</v>
      </c>
      <c r="U44" s="387">
        <f>3137+460</f>
        <v>3597</v>
      </c>
      <c r="V44" s="387">
        <v>3574</v>
      </c>
      <c r="W44" s="387">
        <f>3138+413</f>
        <v>3551</v>
      </c>
      <c r="X44" s="387">
        <f>3175+413</f>
        <v>3588</v>
      </c>
      <c r="Y44" s="387">
        <f>3171+436</f>
        <v>3607</v>
      </c>
      <c r="Z44" s="387">
        <f>3172+420</f>
        <v>3592</v>
      </c>
      <c r="AA44" s="501">
        <f>3158+405</f>
        <v>3563</v>
      </c>
      <c r="AB44" s="502">
        <v>3557</v>
      </c>
      <c r="AC44" s="502">
        <f>460+3139</f>
        <v>3599</v>
      </c>
      <c r="AD44" s="502">
        <f>3137+436</f>
        <v>3573</v>
      </c>
      <c r="AE44" s="502">
        <f>3137+436</f>
        <v>3573</v>
      </c>
      <c r="AF44" s="502">
        <f>3137+413</f>
        <v>3550</v>
      </c>
      <c r="AG44" s="502">
        <f>3174+413</f>
        <v>3587</v>
      </c>
      <c r="AH44" s="502">
        <f>3171+436</f>
        <v>3607</v>
      </c>
      <c r="AI44" s="502">
        <f>3171+420</f>
        <v>3591</v>
      </c>
      <c r="AJ44" s="503">
        <f>AI44/Z44*100</f>
        <v>99.972160356347445</v>
      </c>
      <c r="AK44" s="503"/>
      <c r="AL44" s="503">
        <v>4062</v>
      </c>
      <c r="AM44" s="217" t="s">
        <v>149</v>
      </c>
      <c r="AQ44" s="991"/>
    </row>
    <row r="45" spans="1:44" ht="25.5" customHeight="1">
      <c r="B45" s="1154" t="s">
        <v>311</v>
      </c>
      <c r="C45" s="1154"/>
      <c r="D45" s="1154"/>
      <c r="E45" s="1154"/>
      <c r="F45" s="1154"/>
      <c r="G45" s="1154"/>
      <c r="H45" s="1154"/>
      <c r="I45" s="1154"/>
      <c r="J45" s="1154"/>
      <c r="K45" s="1154"/>
      <c r="L45" s="1154"/>
      <c r="M45" s="1154"/>
      <c r="N45" s="1154"/>
      <c r="O45" s="1154"/>
      <c r="P45" s="1154"/>
      <c r="Q45" s="1154"/>
      <c r="R45" s="1154"/>
      <c r="S45" s="1154"/>
      <c r="T45" s="1154"/>
      <c r="U45" s="1154"/>
      <c r="V45" s="1154"/>
      <c r="W45" s="1154"/>
      <c r="X45" s="1154"/>
      <c r="Y45" s="1154"/>
      <c r="Z45" s="1154"/>
      <c r="AA45" s="1154"/>
      <c r="AB45" s="1154"/>
      <c r="AC45" s="1154"/>
      <c r="AD45" s="266"/>
      <c r="AE45" s="266"/>
      <c r="AF45" s="266"/>
      <c r="AG45" s="266"/>
      <c r="AH45" s="266"/>
      <c r="AI45" s="266"/>
      <c r="AJ45" s="266"/>
      <c r="AK45" s="266"/>
      <c r="AL45" s="266"/>
      <c r="AM45" s="266"/>
      <c r="AQ45" s="435"/>
    </row>
    <row r="46" spans="1:44" ht="12.75" customHeight="1">
      <c r="B46" s="270" t="s">
        <v>166</v>
      </c>
      <c r="D46" s="270"/>
      <c r="E46" s="270"/>
      <c r="F46" s="270"/>
      <c r="G46" s="270"/>
      <c r="H46" s="270"/>
      <c r="I46" s="270"/>
      <c r="J46" s="270"/>
      <c r="K46" s="270"/>
      <c r="L46" s="270"/>
      <c r="M46" s="270"/>
      <c r="N46" s="270"/>
      <c r="O46" s="270"/>
      <c r="P46" s="235"/>
      <c r="Q46" s="235"/>
      <c r="R46" s="235"/>
      <c r="S46" s="235"/>
      <c r="AC46" s="235"/>
      <c r="AD46" s="235"/>
      <c r="AE46" s="235"/>
      <c r="AF46" s="235"/>
      <c r="AG46" s="235"/>
      <c r="AH46" s="235"/>
      <c r="AI46" s="235"/>
      <c r="AJ46" s="235"/>
      <c r="AK46" s="235"/>
      <c r="AL46" s="235"/>
      <c r="AM46" s="235"/>
    </row>
    <row r="47" spans="1:44">
      <c r="B47" s="331" t="s">
        <v>312</v>
      </c>
    </row>
    <row r="48" spans="1:44">
      <c r="B48" s="331" t="s">
        <v>313</v>
      </c>
    </row>
    <row r="49" spans="2:21">
      <c r="B49" s="190" t="s">
        <v>293</v>
      </c>
    </row>
    <row r="50" spans="2:21">
      <c r="F50" s="270"/>
    </row>
    <row r="51" spans="2:21" ht="12.75">
      <c r="J51" s="333"/>
      <c r="K51" s="333"/>
      <c r="L51" s="333"/>
      <c r="M51" s="333"/>
      <c r="N51" s="333"/>
      <c r="O51" s="333"/>
      <c r="P51" s="333"/>
      <c r="Q51" s="333"/>
      <c r="R51" s="333"/>
      <c r="S51" s="333"/>
      <c r="T51" s="333"/>
      <c r="U51" s="333"/>
    </row>
    <row r="52" spans="2:21" ht="12.75">
      <c r="J52" s="333"/>
      <c r="K52" s="333"/>
      <c r="L52" s="333"/>
      <c r="M52" s="333"/>
      <c r="N52" s="333"/>
      <c r="O52" s="333"/>
      <c r="P52" s="333"/>
      <c r="Q52" s="333"/>
      <c r="R52" s="333"/>
      <c r="S52" s="333"/>
      <c r="T52" s="333"/>
      <c r="U52" s="333"/>
    </row>
  </sheetData>
  <mergeCells count="3">
    <mergeCell ref="B1:C1"/>
    <mergeCell ref="B2:AJ2"/>
    <mergeCell ref="B45:AC45"/>
  </mergeCells>
  <printOptions horizontalCentered="1"/>
  <pageMargins left="0.47244094488188981" right="0.47244094488188981" top="0.51181102362204722" bottom="0.27559055118110237"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71"/>
  <sheetViews>
    <sheetView zoomScaleNormal="100" workbookViewId="0">
      <selection activeCell="AU12" sqref="AU12"/>
    </sheetView>
  </sheetViews>
  <sheetFormatPr defaultRowHeight="11.25"/>
  <cols>
    <col min="1" max="1" width="2.7109375" style="190" customWidth="1"/>
    <col min="2" max="2" width="4" style="190" customWidth="1"/>
    <col min="3" max="9" width="6.7109375" style="190" hidden="1" customWidth="1"/>
    <col min="10" max="10" width="7.5703125" style="190" hidden="1" customWidth="1"/>
    <col min="11" max="15" width="6.7109375" style="190" hidden="1" customWidth="1"/>
    <col min="16" max="16" width="6.7109375" style="511" hidden="1" customWidth="1"/>
    <col min="17" max="17" width="6.7109375" style="512" hidden="1" customWidth="1"/>
    <col min="18" max="20" width="6.7109375" style="188" hidden="1" customWidth="1"/>
    <col min="21" max="25" width="7.28515625" style="188" customWidth="1"/>
    <col min="26" max="26" width="6.7109375" style="190" customWidth="1"/>
    <col min="27" max="27" width="7.85546875" style="190" customWidth="1"/>
    <col min="28" max="28" width="6.7109375" style="190" customWidth="1"/>
    <col min="29" max="29" width="6.7109375" style="271" customWidth="1"/>
    <col min="30" max="32" width="7" style="190" customWidth="1"/>
    <col min="33" max="33" width="6.7109375" style="190" customWidth="1"/>
    <col min="34" max="34" width="4.7109375" style="190" customWidth="1"/>
    <col min="35" max="16384" width="9.140625" style="190"/>
  </cols>
  <sheetData>
    <row r="1" spans="1:40" ht="14.25" customHeight="1">
      <c r="B1" s="337"/>
      <c r="C1" s="337"/>
      <c r="D1" s="337"/>
      <c r="E1" s="337"/>
      <c r="F1" s="337"/>
      <c r="G1" s="337"/>
      <c r="H1" s="337"/>
      <c r="I1" s="337"/>
      <c r="J1" s="337"/>
      <c r="K1" s="337"/>
      <c r="L1" s="337"/>
      <c r="M1" s="337"/>
      <c r="N1" s="337"/>
      <c r="O1" s="337"/>
      <c r="P1" s="508"/>
      <c r="Q1" s="509"/>
      <c r="R1" s="510"/>
      <c r="S1" s="510"/>
      <c r="AH1" s="191" t="s">
        <v>195</v>
      </c>
    </row>
    <row r="2" spans="1:40" s="194" customFormat="1" ht="30" customHeight="1">
      <c r="B2" s="1135" t="s">
        <v>196</v>
      </c>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c r="AH2" s="1135"/>
    </row>
    <row r="3" spans="1:40" ht="20.100000000000001" customHeight="1">
      <c r="B3" s="1169" t="s">
        <v>197</v>
      </c>
      <c r="C3" s="1169"/>
      <c r="D3" s="1169"/>
      <c r="E3" s="1169"/>
      <c r="F3" s="1169"/>
      <c r="G3" s="1169"/>
      <c r="H3" s="1169"/>
      <c r="I3" s="1169"/>
      <c r="J3" s="1169"/>
      <c r="K3" s="1169"/>
      <c r="L3" s="1169"/>
      <c r="M3" s="1169"/>
      <c r="N3" s="1169"/>
      <c r="O3" s="1169"/>
      <c r="P3" s="1169"/>
      <c r="Q3" s="1169"/>
      <c r="R3" s="1169"/>
      <c r="S3" s="1169"/>
      <c r="T3" s="1169"/>
      <c r="U3" s="1169"/>
      <c r="V3" s="1169"/>
      <c r="W3" s="1169"/>
      <c r="X3" s="1169"/>
      <c r="Y3" s="1169"/>
      <c r="Z3" s="1169"/>
      <c r="AA3" s="1169"/>
      <c r="AB3" s="1169"/>
      <c r="AC3" s="1169"/>
      <c r="AD3" s="1169"/>
      <c r="AE3" s="1169"/>
      <c r="AF3" s="1169"/>
      <c r="AG3" s="1169"/>
      <c r="AH3" s="1169"/>
    </row>
    <row r="4" spans="1:40" ht="12.75" customHeight="1">
      <c r="W4" s="513"/>
      <c r="X4" s="513" t="s">
        <v>198</v>
      </c>
      <c r="Y4" s="513"/>
    </row>
    <row r="5" spans="1:40" ht="20.100000000000001" customHeight="1">
      <c r="B5" s="198"/>
      <c r="C5" s="199">
        <v>1970</v>
      </c>
      <c r="D5" s="199">
        <v>1980</v>
      </c>
      <c r="E5" s="458">
        <v>1990</v>
      </c>
      <c r="F5" s="200">
        <v>1991</v>
      </c>
      <c r="G5" s="200">
        <v>1992</v>
      </c>
      <c r="H5" s="200">
        <v>1993</v>
      </c>
      <c r="I5" s="200">
        <v>1994</v>
      </c>
      <c r="J5" s="200">
        <v>1995</v>
      </c>
      <c r="K5" s="200">
        <v>1996</v>
      </c>
      <c r="L5" s="200">
        <v>1997</v>
      </c>
      <c r="M5" s="200">
        <v>1998</v>
      </c>
      <c r="N5" s="200">
        <v>1999</v>
      </c>
      <c r="O5" s="200">
        <v>2000</v>
      </c>
      <c r="P5" s="200">
        <v>2001</v>
      </c>
      <c r="Q5" s="200">
        <v>2002</v>
      </c>
      <c r="R5" s="200">
        <v>2003</v>
      </c>
      <c r="S5" s="200">
        <v>2004</v>
      </c>
      <c r="T5" s="200">
        <v>2005</v>
      </c>
      <c r="U5" s="200">
        <v>2006</v>
      </c>
      <c r="V5" s="200">
        <v>2007</v>
      </c>
      <c r="W5" s="200">
        <v>2008</v>
      </c>
      <c r="X5" s="200">
        <v>2009</v>
      </c>
      <c r="Y5" s="200">
        <v>2010</v>
      </c>
      <c r="Z5" s="200">
        <v>2011</v>
      </c>
      <c r="AA5" s="200">
        <v>2012</v>
      </c>
      <c r="AB5" s="200">
        <v>2013</v>
      </c>
      <c r="AC5" s="200">
        <v>2014</v>
      </c>
      <c r="AD5" s="200">
        <v>2015</v>
      </c>
      <c r="AE5" s="200">
        <v>2016</v>
      </c>
      <c r="AF5" s="200">
        <v>2017</v>
      </c>
      <c r="AG5" s="514" t="s">
        <v>323</v>
      </c>
      <c r="AH5" s="271"/>
    </row>
    <row r="6" spans="1:40" ht="9.9499999999999993" customHeight="1">
      <c r="B6" s="198"/>
      <c r="C6" s="273"/>
      <c r="D6" s="273"/>
      <c r="E6" s="515"/>
      <c r="F6" s="206"/>
      <c r="G6" s="206"/>
      <c r="H6" s="206"/>
      <c r="I6" s="206"/>
      <c r="J6" s="206"/>
      <c r="K6" s="206"/>
      <c r="L6" s="206"/>
      <c r="M6" s="206"/>
      <c r="N6" s="206"/>
      <c r="O6" s="206"/>
      <c r="P6" s="206"/>
      <c r="Q6" s="206"/>
      <c r="R6" s="206"/>
      <c r="S6" s="206"/>
      <c r="T6" s="206"/>
      <c r="U6" s="206"/>
      <c r="V6" s="206"/>
      <c r="W6" s="206"/>
      <c r="X6" s="206"/>
      <c r="Y6" s="516"/>
      <c r="Z6" s="517"/>
      <c r="AA6" s="517"/>
      <c r="AB6" s="517"/>
      <c r="AC6" s="517"/>
      <c r="AD6" s="517"/>
      <c r="AE6" s="517"/>
      <c r="AF6" s="517"/>
      <c r="AG6" s="518" t="s">
        <v>143</v>
      </c>
      <c r="AH6" s="271"/>
      <c r="AI6" s="175" t="s">
        <v>300</v>
      </c>
    </row>
    <row r="7" spans="1:40" ht="12.75" customHeight="1">
      <c r="B7" s="378" t="s">
        <v>237</v>
      </c>
      <c r="C7" s="519"/>
      <c r="D7" s="519"/>
      <c r="E7" s="520">
        <v>160106.35699999999</v>
      </c>
      <c r="F7" s="520">
        <v>164975.90199999997</v>
      </c>
      <c r="G7" s="520">
        <v>169329.84900000002</v>
      </c>
      <c r="H7" s="520">
        <v>172499.26800000001</v>
      </c>
      <c r="I7" s="520">
        <v>176104.73800000001</v>
      </c>
      <c r="J7" s="521">
        <v>179690.02100000001</v>
      </c>
      <c r="K7" s="521">
        <v>184242.024</v>
      </c>
      <c r="L7" s="521">
        <v>184303.21699999998</v>
      </c>
      <c r="M7" s="521">
        <v>189473.42500000002</v>
      </c>
      <c r="N7" s="521">
        <v>195244.98400000003</v>
      </c>
      <c r="O7" s="521">
        <v>200245.12099999998</v>
      </c>
      <c r="P7" s="521">
        <v>205127.61099999998</v>
      </c>
      <c r="Q7" s="521">
        <v>209460.70699999999</v>
      </c>
      <c r="R7" s="521">
        <v>212757.86899999995</v>
      </c>
      <c r="S7" s="521">
        <v>216600.85599999991</v>
      </c>
      <c r="T7" s="521">
        <v>221210.85999999993</v>
      </c>
      <c r="U7" s="521">
        <v>225288.59</v>
      </c>
      <c r="V7" s="521">
        <v>230277.99099999995</v>
      </c>
      <c r="W7" s="521">
        <v>235121.61599999998</v>
      </c>
      <c r="X7" s="521">
        <v>237228.39399999997</v>
      </c>
      <c r="Y7" s="521">
        <v>240069.57699999999</v>
      </c>
      <c r="Z7" s="521">
        <v>243246.37399999998</v>
      </c>
      <c r="AA7" s="521">
        <v>245375.17800000001</v>
      </c>
      <c r="AB7" s="521">
        <v>247404.44199999998</v>
      </c>
      <c r="AC7" s="521">
        <v>249789.65500000006</v>
      </c>
      <c r="AD7" s="521">
        <v>254234.55600000004</v>
      </c>
      <c r="AE7" s="521">
        <v>259486.73199999996</v>
      </c>
      <c r="AF7" s="521">
        <v>264214.07699999999</v>
      </c>
      <c r="AG7" s="522">
        <v>1.8616376115728315</v>
      </c>
      <c r="AH7" s="378" t="s">
        <v>237</v>
      </c>
      <c r="AI7" s="542">
        <f>AF7/1000</f>
        <v>264.21407699999997</v>
      </c>
      <c r="AM7" s="1020">
        <v>2017</v>
      </c>
      <c r="AN7" s="1021"/>
    </row>
    <row r="8" spans="1:40" ht="12.75" customHeight="1">
      <c r="B8" s="213" t="s">
        <v>89</v>
      </c>
      <c r="C8" s="523">
        <v>62477.114000000001</v>
      </c>
      <c r="D8" s="523">
        <v>104314.42300000001</v>
      </c>
      <c r="E8" s="524">
        <v>144518.96799999999</v>
      </c>
      <c r="F8" s="524">
        <v>148010.45199999999</v>
      </c>
      <c r="G8" s="524">
        <v>151461.27499999999</v>
      </c>
      <c r="H8" s="524">
        <v>153573.18900000001</v>
      </c>
      <c r="I8" s="524">
        <v>156256.94100000002</v>
      </c>
      <c r="J8" s="525">
        <v>158766.86400000003</v>
      </c>
      <c r="K8" s="525">
        <v>162079.05499999999</v>
      </c>
      <c r="L8" s="525">
        <v>160897.33499999999</v>
      </c>
      <c r="M8" s="525">
        <v>165121.27900000001</v>
      </c>
      <c r="N8" s="525">
        <v>169997.49</v>
      </c>
      <c r="O8" s="525">
        <v>173765.024</v>
      </c>
      <c r="P8" s="525">
        <v>177672.84000000003</v>
      </c>
      <c r="Q8" s="525">
        <v>180851.76299999995</v>
      </c>
      <c r="R8" s="525">
        <v>183222.79399999997</v>
      </c>
      <c r="S8" s="525">
        <v>185829.15</v>
      </c>
      <c r="T8" s="525">
        <v>189214.37899999999</v>
      </c>
      <c r="U8" s="525">
        <v>192161.685</v>
      </c>
      <c r="V8" s="525">
        <v>195182.68199999997</v>
      </c>
      <c r="W8" s="525">
        <v>197215.74699999997</v>
      </c>
      <c r="X8" s="525">
        <v>198517.98799999998</v>
      </c>
      <c r="Y8" s="525">
        <v>200596.39</v>
      </c>
      <c r="Z8" s="525">
        <v>202591.31400000001</v>
      </c>
      <c r="AA8" s="525">
        <v>203610.18300000002</v>
      </c>
      <c r="AB8" s="525">
        <v>204444.12200000003</v>
      </c>
      <c r="AC8" s="525">
        <v>206169.85800000004</v>
      </c>
      <c r="AD8" s="525">
        <v>208906.42600000004</v>
      </c>
      <c r="AE8" s="525">
        <f>AE10+AE11+AE16+AE20+AE21+AE15+AE18+AE24+AE25+AE27+AE30+AE32+AE19+AE34+AE37</f>
        <v>212345.97499999998</v>
      </c>
      <c r="AF8" s="525">
        <f>AF10+AF11+AF16+AF20+AF21+AF15+AF18+AF24+AF25+AF27+AF30+AF32+AF19+AF34+AF37</f>
        <v>215404.15700000001</v>
      </c>
      <c r="AG8" s="526">
        <f>AE8/AD8*100-100</f>
        <v>1.6464543795315905</v>
      </c>
      <c r="AH8" s="213" t="s">
        <v>89</v>
      </c>
      <c r="AI8" s="542">
        <f t="shared" ref="AI8:AI37" si="0">AF8/1000</f>
        <v>215.404157</v>
      </c>
      <c r="AM8" s="1022"/>
      <c r="AN8" s="1021"/>
    </row>
    <row r="9" spans="1:40" ht="12.75" customHeight="1">
      <c r="B9" s="217" t="s">
        <v>238</v>
      </c>
      <c r="C9" s="527"/>
      <c r="D9" s="527"/>
      <c r="E9" s="528">
        <v>15587.388999999996</v>
      </c>
      <c r="F9" s="529">
        <v>16965.449999999983</v>
      </c>
      <c r="G9" s="529">
        <v>17868.574000000022</v>
      </c>
      <c r="H9" s="529">
        <v>18926.078999999998</v>
      </c>
      <c r="I9" s="529">
        <v>19847.796999999991</v>
      </c>
      <c r="J9" s="529">
        <v>20923.156999999977</v>
      </c>
      <c r="K9" s="529">
        <v>22162.969000000012</v>
      </c>
      <c r="L9" s="529">
        <v>23405.881999999983</v>
      </c>
      <c r="M9" s="529">
        <v>24352.146000000008</v>
      </c>
      <c r="N9" s="529">
        <v>25247.494000000035</v>
      </c>
      <c r="O9" s="529">
        <v>26480.09699999998</v>
      </c>
      <c r="P9" s="529">
        <v>27454.77099999995</v>
      </c>
      <c r="Q9" s="529">
        <v>28608.944000000047</v>
      </c>
      <c r="R9" s="529">
        <v>29535.074999999983</v>
      </c>
      <c r="S9" s="529">
        <v>30771.705999999918</v>
      </c>
      <c r="T9" s="529">
        <v>31996.480999999942</v>
      </c>
      <c r="U9" s="529">
        <v>33126.904999999999</v>
      </c>
      <c r="V9" s="529">
        <v>35095.308999999979</v>
      </c>
      <c r="W9" s="529">
        <v>37905.869000000006</v>
      </c>
      <c r="X9" s="529">
        <v>38710.405999999988</v>
      </c>
      <c r="Y9" s="529">
        <v>39473.186999999976</v>
      </c>
      <c r="Z9" s="529">
        <v>40655.059999999969</v>
      </c>
      <c r="AA9" s="529">
        <v>41764.994999999995</v>
      </c>
      <c r="AB9" s="529">
        <v>42960.319999999949</v>
      </c>
      <c r="AC9" s="529">
        <v>43619.79700000002</v>
      </c>
      <c r="AD9" s="529">
        <v>45328.130000000005</v>
      </c>
      <c r="AE9" s="529"/>
      <c r="AF9" s="529"/>
      <c r="AG9" s="530">
        <v>3.9164166674135998</v>
      </c>
      <c r="AH9" s="217" t="s">
        <v>238</v>
      </c>
      <c r="AI9" s="542"/>
      <c r="AM9" s="1023">
        <f>SUM(AM10:AM37)</f>
        <v>264214.07699999999</v>
      </c>
      <c r="AN9" s="1024" t="s">
        <v>237</v>
      </c>
    </row>
    <row r="10" spans="1:40" ht="12.75" customHeight="1">
      <c r="A10" s="212"/>
      <c r="B10" s="213" t="s">
        <v>81</v>
      </c>
      <c r="C10" s="532">
        <v>1197</v>
      </c>
      <c r="D10" s="532">
        <v>2247</v>
      </c>
      <c r="E10" s="396">
        <v>2991</v>
      </c>
      <c r="F10" s="396">
        <v>3100</v>
      </c>
      <c r="G10" s="396">
        <v>3245</v>
      </c>
      <c r="H10" s="396">
        <v>3367.6260000000002</v>
      </c>
      <c r="I10" s="396">
        <v>3479.5949999999998</v>
      </c>
      <c r="J10" s="396">
        <v>3593.5880000000002</v>
      </c>
      <c r="K10" s="396">
        <v>3690.692</v>
      </c>
      <c r="L10" s="396">
        <v>3782.5430000000001</v>
      </c>
      <c r="M10" s="396">
        <v>3887.174</v>
      </c>
      <c r="N10" s="396">
        <v>4009.6039999999998</v>
      </c>
      <c r="O10" s="396">
        <v>4097.1450000000004</v>
      </c>
      <c r="P10" s="396">
        <v>4182.027</v>
      </c>
      <c r="Q10" s="396">
        <v>3987.0929999999998</v>
      </c>
      <c r="R10" s="396">
        <v>4054.308</v>
      </c>
      <c r="S10" s="396">
        <v>4109.1289999999999</v>
      </c>
      <c r="T10" s="396">
        <v>4156.7430000000004</v>
      </c>
      <c r="U10" s="396">
        <v>4204.9690000000001</v>
      </c>
      <c r="V10" s="396">
        <v>4245.5829999999996</v>
      </c>
      <c r="W10" s="396">
        <v>4284.9189999999999</v>
      </c>
      <c r="X10" s="396">
        <v>4359.9440000000004</v>
      </c>
      <c r="Y10" s="396">
        <v>4441.027</v>
      </c>
      <c r="Z10" s="396">
        <v>4513.4210000000003</v>
      </c>
      <c r="AA10" s="396">
        <v>4584.2020000000002</v>
      </c>
      <c r="AB10" s="396">
        <v>4641.308</v>
      </c>
      <c r="AC10" s="396">
        <v>4694.9210000000003</v>
      </c>
      <c r="AD10" s="396">
        <v>4748.0479999999998</v>
      </c>
      <c r="AE10" s="396">
        <v>4821.5569999999998</v>
      </c>
      <c r="AF10" s="1026">
        <v>4899</v>
      </c>
      <c r="AG10" s="263">
        <v>1.548194121036687</v>
      </c>
      <c r="AH10" s="213" t="s">
        <v>81</v>
      </c>
      <c r="AI10" s="542">
        <f t="shared" si="0"/>
        <v>4.899</v>
      </c>
      <c r="AM10" s="1026">
        <v>4899</v>
      </c>
      <c r="AN10" s="946" t="s">
        <v>81</v>
      </c>
    </row>
    <row r="11" spans="1:40" ht="12.75" customHeight="1">
      <c r="A11" s="212"/>
      <c r="B11" s="221" t="s">
        <v>60</v>
      </c>
      <c r="C11" s="531">
        <v>2059.616</v>
      </c>
      <c r="D11" s="531">
        <v>3158.7370000000001</v>
      </c>
      <c r="E11" s="391">
        <v>3864.1590000000001</v>
      </c>
      <c r="F11" s="391">
        <v>3970</v>
      </c>
      <c r="G11" s="391">
        <v>4021</v>
      </c>
      <c r="H11" s="391">
        <v>4109.6009999999997</v>
      </c>
      <c r="I11" s="391">
        <v>4210.1970000000001</v>
      </c>
      <c r="J11" s="391">
        <v>4273.451</v>
      </c>
      <c r="K11" s="391">
        <v>4339.2309999999998</v>
      </c>
      <c r="L11" s="391">
        <v>4415.3429999999998</v>
      </c>
      <c r="M11" s="391">
        <v>4491.7340000000004</v>
      </c>
      <c r="N11" s="391">
        <v>4583.6149999999998</v>
      </c>
      <c r="O11" s="391">
        <v>4678.3760000000002</v>
      </c>
      <c r="P11" s="391">
        <v>4739.8500000000004</v>
      </c>
      <c r="Q11" s="391">
        <v>4787.3590000000004</v>
      </c>
      <c r="R11" s="391">
        <v>4820.8680000000004</v>
      </c>
      <c r="S11" s="391">
        <v>4874.4260000000004</v>
      </c>
      <c r="T11" s="534">
        <v>4918.5439999999999</v>
      </c>
      <c r="U11" s="391">
        <v>4976.2860000000001</v>
      </c>
      <c r="V11" s="391">
        <v>5042.0950000000003</v>
      </c>
      <c r="W11" s="391">
        <v>5123.9719999999998</v>
      </c>
      <c r="X11" s="391">
        <v>5191.7139999999999</v>
      </c>
      <c r="Y11" s="391">
        <v>5275.61</v>
      </c>
      <c r="Z11" s="391">
        <v>5406.3620000000001</v>
      </c>
      <c r="AA11" s="391">
        <v>5440.7539999999999</v>
      </c>
      <c r="AB11" s="391">
        <v>5504.8090000000002</v>
      </c>
      <c r="AC11" s="391">
        <v>5572.5730000000003</v>
      </c>
      <c r="AD11" s="391">
        <v>5661.7420000000002</v>
      </c>
      <c r="AE11" s="391">
        <v>5730.9750000000004</v>
      </c>
      <c r="AF11" s="1025">
        <v>5799</v>
      </c>
      <c r="AG11" s="239">
        <v>1.2228036489823069</v>
      </c>
      <c r="AH11" s="221" t="s">
        <v>60</v>
      </c>
      <c r="AI11" s="542">
        <f t="shared" si="0"/>
        <v>5.7990000000000004</v>
      </c>
      <c r="AM11" s="1025">
        <v>5799</v>
      </c>
      <c r="AN11" s="943" t="s">
        <v>60</v>
      </c>
    </row>
    <row r="12" spans="1:40" ht="12.75" customHeight="1">
      <c r="A12" s="212"/>
      <c r="B12" s="213" t="s">
        <v>100</v>
      </c>
      <c r="C12" s="532">
        <v>160</v>
      </c>
      <c r="D12" s="532">
        <v>820</v>
      </c>
      <c r="E12" s="396">
        <v>1317.4</v>
      </c>
      <c r="F12" s="396">
        <v>1359</v>
      </c>
      <c r="G12" s="396">
        <v>1411.3</v>
      </c>
      <c r="H12" s="396">
        <v>1505.451</v>
      </c>
      <c r="I12" s="396">
        <v>1587.873</v>
      </c>
      <c r="J12" s="396">
        <v>1647.5709999999999</v>
      </c>
      <c r="K12" s="396">
        <v>1707.0229999999999</v>
      </c>
      <c r="L12" s="396">
        <v>1730.5060000000001</v>
      </c>
      <c r="M12" s="396">
        <v>1809.35</v>
      </c>
      <c r="N12" s="396">
        <v>1908.4</v>
      </c>
      <c r="O12" s="396">
        <v>1992.7</v>
      </c>
      <c r="P12" s="396">
        <v>2085.6999999999998</v>
      </c>
      <c r="Q12" s="396">
        <v>2174.1</v>
      </c>
      <c r="R12" s="396">
        <v>2309.3000000000002</v>
      </c>
      <c r="S12" s="396">
        <v>2438.4</v>
      </c>
      <c r="T12" s="396">
        <v>2538.0920000000001</v>
      </c>
      <c r="U12" s="396">
        <v>1767.742</v>
      </c>
      <c r="V12" s="396">
        <v>2081.5169999999998</v>
      </c>
      <c r="W12" s="396">
        <v>2366.1959999999999</v>
      </c>
      <c r="X12" s="396">
        <v>2502</v>
      </c>
      <c r="Y12" s="396">
        <v>2602.4</v>
      </c>
      <c r="Z12" s="396">
        <v>2695</v>
      </c>
      <c r="AA12" s="396">
        <v>2807</v>
      </c>
      <c r="AB12" s="396">
        <v>2910.2</v>
      </c>
      <c r="AC12" s="396">
        <v>3013.9</v>
      </c>
      <c r="AD12" s="396">
        <v>3162</v>
      </c>
      <c r="AE12" s="396">
        <v>3143.5</v>
      </c>
      <c r="AF12" s="1026">
        <v>2770.6</v>
      </c>
      <c r="AG12" s="244">
        <v>-0.58507273877293642</v>
      </c>
      <c r="AH12" s="213" t="s">
        <v>100</v>
      </c>
      <c r="AI12" s="542">
        <f t="shared" si="0"/>
        <v>2.7706</v>
      </c>
      <c r="AM12" s="1026">
        <v>2770.6</v>
      </c>
      <c r="AN12" s="946" t="s">
        <v>100</v>
      </c>
    </row>
    <row r="13" spans="1:40" ht="12.75" customHeight="1">
      <c r="A13" s="212"/>
      <c r="B13" s="221" t="s">
        <v>71</v>
      </c>
      <c r="C13" s="531">
        <v>60</v>
      </c>
      <c r="D13" s="531">
        <v>90</v>
      </c>
      <c r="E13" s="391">
        <v>178.602</v>
      </c>
      <c r="F13" s="391">
        <v>190</v>
      </c>
      <c r="G13" s="391">
        <v>200</v>
      </c>
      <c r="H13" s="391">
        <v>203.61</v>
      </c>
      <c r="I13" s="391">
        <v>210.36500000000001</v>
      </c>
      <c r="J13" s="391">
        <v>219.749</v>
      </c>
      <c r="K13" s="391">
        <v>226.83199999999999</v>
      </c>
      <c r="L13" s="391">
        <v>234.976</v>
      </c>
      <c r="M13" s="391">
        <v>249.22499999999999</v>
      </c>
      <c r="N13" s="391">
        <v>256.98899999999998</v>
      </c>
      <c r="O13" s="391">
        <v>267.589</v>
      </c>
      <c r="P13" s="391">
        <v>280.06900000000002</v>
      </c>
      <c r="Q13" s="391">
        <v>287.62200000000001</v>
      </c>
      <c r="R13" s="391">
        <v>302.50099999999998</v>
      </c>
      <c r="S13" s="391">
        <v>335.63400000000001</v>
      </c>
      <c r="T13" s="391">
        <v>355.13400000000001</v>
      </c>
      <c r="U13" s="391">
        <v>372.94499999999999</v>
      </c>
      <c r="V13" s="391">
        <v>410.93599999999998</v>
      </c>
      <c r="W13" s="391">
        <v>443.517</v>
      </c>
      <c r="X13" s="391">
        <v>460.50400000000002</v>
      </c>
      <c r="Y13" s="391">
        <v>462.65199999999999</v>
      </c>
      <c r="Z13" s="391">
        <v>470</v>
      </c>
      <c r="AA13" s="391">
        <v>475.46199999999999</v>
      </c>
      <c r="AB13" s="391">
        <v>474.56099999999998</v>
      </c>
      <c r="AC13" s="391">
        <v>478.49200000000002</v>
      </c>
      <c r="AD13" s="391">
        <v>487.69200000000001</v>
      </c>
      <c r="AE13" s="391">
        <v>508.28399999999999</v>
      </c>
      <c r="AF13" s="1025">
        <v>526.61699999999996</v>
      </c>
      <c r="AG13" s="239">
        <v>4.2223370487930936</v>
      </c>
      <c r="AH13" s="221" t="s">
        <v>71</v>
      </c>
      <c r="AI13" s="542">
        <f t="shared" si="0"/>
        <v>0.526617</v>
      </c>
      <c r="AM13" s="1025">
        <v>526.61699999999996</v>
      </c>
      <c r="AN13" s="767" t="s">
        <v>71</v>
      </c>
    </row>
    <row r="14" spans="1:40" ht="12.75" customHeight="1">
      <c r="A14" s="212"/>
      <c r="B14" s="221" t="s">
        <v>61</v>
      </c>
      <c r="C14" s="531">
        <v>685</v>
      </c>
      <c r="D14" s="531">
        <v>1780</v>
      </c>
      <c r="E14" s="391">
        <v>2410</v>
      </c>
      <c r="F14" s="391">
        <v>2480</v>
      </c>
      <c r="G14" s="391">
        <v>2580</v>
      </c>
      <c r="H14" s="391">
        <v>2833.143</v>
      </c>
      <c r="I14" s="391">
        <v>2923.9160000000002</v>
      </c>
      <c r="J14" s="391">
        <v>3043.3159999999998</v>
      </c>
      <c r="K14" s="534">
        <v>3192.5320000000002</v>
      </c>
      <c r="L14" s="391">
        <v>3391.5410000000002</v>
      </c>
      <c r="M14" s="391">
        <v>3492.9609999999998</v>
      </c>
      <c r="N14" s="391">
        <v>3439.7449999999999</v>
      </c>
      <c r="O14" s="391">
        <v>3438.87</v>
      </c>
      <c r="P14" s="391">
        <v>3529.7910000000002</v>
      </c>
      <c r="Q14" s="391">
        <v>3647.067</v>
      </c>
      <c r="R14" s="391">
        <v>3706.0120000000002</v>
      </c>
      <c r="S14" s="391">
        <v>3815.547</v>
      </c>
      <c r="T14" s="391">
        <v>3958.7080000000001</v>
      </c>
      <c r="U14" s="391">
        <v>4108.6099999999997</v>
      </c>
      <c r="V14" s="391">
        <v>4280.0810000000001</v>
      </c>
      <c r="W14" s="391">
        <v>4423.37</v>
      </c>
      <c r="X14" s="391">
        <v>4435.0519999999997</v>
      </c>
      <c r="Y14" s="391">
        <v>4496.232</v>
      </c>
      <c r="Z14" s="391">
        <v>4581.6419999999998</v>
      </c>
      <c r="AA14" s="391">
        <v>4706</v>
      </c>
      <c r="AB14" s="391">
        <v>4729.1850000000004</v>
      </c>
      <c r="AC14" s="391">
        <v>4833.3860000000004</v>
      </c>
      <c r="AD14" s="391">
        <v>5115.3159999999998</v>
      </c>
      <c r="AE14" s="391">
        <v>5307.808</v>
      </c>
      <c r="AF14" s="1025">
        <v>5538</v>
      </c>
      <c r="AG14" s="239">
        <v>3.7630519795844464</v>
      </c>
      <c r="AH14" s="221" t="s">
        <v>61</v>
      </c>
      <c r="AI14" s="542">
        <f t="shared" si="0"/>
        <v>5.5380000000000003</v>
      </c>
      <c r="AM14" s="1025">
        <v>5538</v>
      </c>
      <c r="AN14" s="767" t="s">
        <v>61</v>
      </c>
    </row>
    <row r="15" spans="1:40" ht="12.75" customHeight="1">
      <c r="A15" s="212"/>
      <c r="B15" s="221" t="s">
        <v>63</v>
      </c>
      <c r="C15" s="531">
        <v>15107.079</v>
      </c>
      <c r="D15" s="531">
        <v>25869.616000000005</v>
      </c>
      <c r="E15" s="391">
        <v>36772</v>
      </c>
      <c r="F15" s="391">
        <v>37947</v>
      </c>
      <c r="G15" s="391">
        <v>38892</v>
      </c>
      <c r="H15" s="391">
        <v>39202.065999999999</v>
      </c>
      <c r="I15" s="391">
        <v>39917.576999999997</v>
      </c>
      <c r="J15" s="391">
        <v>40499.442000000003</v>
      </c>
      <c r="K15" s="391">
        <v>41045.216999999997</v>
      </c>
      <c r="L15" s="391">
        <v>36924.646999999997</v>
      </c>
      <c r="M15" s="391">
        <v>37553.548999999999</v>
      </c>
      <c r="N15" s="391">
        <v>38426.775999999998</v>
      </c>
      <c r="O15" s="391">
        <v>39058.936999999998</v>
      </c>
      <c r="P15" s="391">
        <v>39388.319000000003</v>
      </c>
      <c r="Q15" s="391">
        <v>39720.951000000001</v>
      </c>
      <c r="R15" s="391">
        <v>40017.482000000004</v>
      </c>
      <c r="S15" s="391">
        <v>40179.476999999999</v>
      </c>
      <c r="T15" s="391">
        <v>40659.5</v>
      </c>
      <c r="U15" s="534">
        <v>41019.699999999997</v>
      </c>
      <c r="V15" s="391">
        <v>41183.593999999997</v>
      </c>
      <c r="W15" s="391">
        <v>41321.171000000002</v>
      </c>
      <c r="X15" s="391">
        <v>41737.627</v>
      </c>
      <c r="Y15" s="391">
        <v>42301.563000000002</v>
      </c>
      <c r="Z15" s="391">
        <v>42928</v>
      </c>
      <c r="AA15" s="391">
        <v>43431</v>
      </c>
      <c r="AB15" s="391">
        <v>43851.23</v>
      </c>
      <c r="AC15" s="391">
        <v>44403.124000000003</v>
      </c>
      <c r="AD15" s="391">
        <v>45071.209000000003</v>
      </c>
      <c r="AE15" s="391">
        <v>45803.56</v>
      </c>
      <c r="AF15" s="1025">
        <v>46474.593999999997</v>
      </c>
      <c r="AG15" s="239">
        <v>1.6248754276815447</v>
      </c>
      <c r="AH15" s="221" t="s">
        <v>63</v>
      </c>
      <c r="AI15" s="542">
        <f t="shared" si="0"/>
        <v>46.474593999999996</v>
      </c>
      <c r="AM15" s="1025">
        <v>46474.593999999997</v>
      </c>
      <c r="AN15" s="767" t="s">
        <v>63</v>
      </c>
    </row>
    <row r="16" spans="1:40" ht="12.75" customHeight="1">
      <c r="A16" s="212"/>
      <c r="B16" s="213" t="s">
        <v>14</v>
      </c>
      <c r="C16" s="532">
        <v>1076.875</v>
      </c>
      <c r="D16" s="532">
        <v>1390</v>
      </c>
      <c r="E16" s="396">
        <v>1590</v>
      </c>
      <c r="F16" s="396">
        <v>1594</v>
      </c>
      <c r="G16" s="396">
        <v>1604.0530000000001</v>
      </c>
      <c r="H16" s="396">
        <v>1617.7339999999999</v>
      </c>
      <c r="I16" s="396">
        <v>1611.191</v>
      </c>
      <c r="J16" s="396">
        <v>1679.0070000000001</v>
      </c>
      <c r="K16" s="396">
        <v>1738.854</v>
      </c>
      <c r="L16" s="396">
        <v>1783.098</v>
      </c>
      <c r="M16" s="396">
        <v>1817.1469999999999</v>
      </c>
      <c r="N16" s="396">
        <v>1843.2539999999999</v>
      </c>
      <c r="O16" s="396">
        <v>1854.06</v>
      </c>
      <c r="P16" s="396">
        <v>1872.6310000000001</v>
      </c>
      <c r="Q16" s="396">
        <v>1888.29</v>
      </c>
      <c r="R16" s="396">
        <v>1894.6489999999999</v>
      </c>
      <c r="S16" s="396">
        <v>1915.8209999999999</v>
      </c>
      <c r="T16" s="396">
        <v>1964.682</v>
      </c>
      <c r="U16" s="396">
        <v>2020.0129999999999</v>
      </c>
      <c r="V16" s="396">
        <v>2068.4929999999999</v>
      </c>
      <c r="W16" s="396">
        <v>2099.09</v>
      </c>
      <c r="X16" s="396">
        <v>2120.3220000000001</v>
      </c>
      <c r="Y16" s="396">
        <v>2163.6750000000002</v>
      </c>
      <c r="Z16" s="396">
        <v>2197.8310000000001</v>
      </c>
      <c r="AA16" s="396">
        <v>2237.1219999999998</v>
      </c>
      <c r="AB16" s="396">
        <v>2278.1210000000001</v>
      </c>
      <c r="AC16" s="396">
        <v>2329.578</v>
      </c>
      <c r="AD16" s="396">
        <v>2390.8229999999999</v>
      </c>
      <c r="AE16" s="396">
        <v>2465.538</v>
      </c>
      <c r="AF16" s="1026">
        <v>2530</v>
      </c>
      <c r="AG16" s="244">
        <v>3.1250745036332859</v>
      </c>
      <c r="AH16" s="213" t="s">
        <v>14</v>
      </c>
      <c r="AI16" s="542">
        <f t="shared" si="0"/>
        <v>2.5299999999999998</v>
      </c>
      <c r="AM16" s="1026">
        <v>2530</v>
      </c>
      <c r="AN16" s="946" t="s">
        <v>14</v>
      </c>
    </row>
    <row r="17" spans="1:40" ht="12.75" customHeight="1">
      <c r="A17" s="212"/>
      <c r="B17" s="213" t="s">
        <v>64</v>
      </c>
      <c r="C17" s="532">
        <v>30</v>
      </c>
      <c r="D17" s="532">
        <v>127</v>
      </c>
      <c r="E17" s="396">
        <v>241</v>
      </c>
      <c r="F17" s="396">
        <v>261</v>
      </c>
      <c r="G17" s="396">
        <v>284</v>
      </c>
      <c r="H17" s="396">
        <v>317.42500000000001</v>
      </c>
      <c r="I17" s="396">
        <v>337.81200000000001</v>
      </c>
      <c r="J17" s="396">
        <v>383.44400000000002</v>
      </c>
      <c r="K17" s="396">
        <v>406.59800000000001</v>
      </c>
      <c r="L17" s="396">
        <v>427.678</v>
      </c>
      <c r="M17" s="396">
        <v>450.95400000000001</v>
      </c>
      <c r="N17" s="396">
        <v>458.7</v>
      </c>
      <c r="O17" s="396">
        <v>463.9</v>
      </c>
      <c r="P17" s="396">
        <v>407.3</v>
      </c>
      <c r="Q17" s="396">
        <v>400.7</v>
      </c>
      <c r="R17" s="396">
        <v>434</v>
      </c>
      <c r="S17" s="396">
        <v>471.2</v>
      </c>
      <c r="T17" s="396">
        <v>493.78</v>
      </c>
      <c r="U17" s="396">
        <v>554.01199999999994</v>
      </c>
      <c r="V17" s="396">
        <v>523.76599999999996</v>
      </c>
      <c r="W17" s="396">
        <v>551.83000000000004</v>
      </c>
      <c r="X17" s="396">
        <v>545.70000000000005</v>
      </c>
      <c r="Y17" s="396">
        <v>552.70000000000005</v>
      </c>
      <c r="Z17" s="396">
        <v>574</v>
      </c>
      <c r="AA17" s="396">
        <v>602.1</v>
      </c>
      <c r="AB17" s="396">
        <v>628.5</v>
      </c>
      <c r="AC17" s="396">
        <v>653</v>
      </c>
      <c r="AD17" s="396">
        <v>676.6</v>
      </c>
      <c r="AE17" s="396">
        <v>703.1</v>
      </c>
      <c r="AF17" s="1026">
        <v>725.9</v>
      </c>
      <c r="AG17" s="244">
        <v>3.9166420336978973</v>
      </c>
      <c r="AH17" s="213" t="s">
        <v>64</v>
      </c>
      <c r="AI17" s="542">
        <f t="shared" si="0"/>
        <v>0.72589999999999999</v>
      </c>
      <c r="AM17" s="1026">
        <v>725.9</v>
      </c>
      <c r="AN17" s="946" t="s">
        <v>64</v>
      </c>
    </row>
    <row r="18" spans="1:40" ht="12.75" customHeight="1">
      <c r="A18" s="212"/>
      <c r="B18" s="213" t="s">
        <v>15</v>
      </c>
      <c r="C18" s="532">
        <v>226.893</v>
      </c>
      <c r="D18" s="532">
        <v>862.60900000000004</v>
      </c>
      <c r="E18" s="396">
        <v>1735.5229999999999</v>
      </c>
      <c r="F18" s="396">
        <v>1777.4839999999999</v>
      </c>
      <c r="G18" s="396">
        <v>1829.1</v>
      </c>
      <c r="H18" s="396">
        <v>1958.5440000000001</v>
      </c>
      <c r="I18" s="396">
        <v>2074.0810000000001</v>
      </c>
      <c r="J18" s="396">
        <v>2204.761</v>
      </c>
      <c r="K18" s="396">
        <v>2339.4209999999998</v>
      </c>
      <c r="L18" s="396">
        <v>2500.0990000000002</v>
      </c>
      <c r="M18" s="396">
        <v>2675.6759999999999</v>
      </c>
      <c r="N18" s="396">
        <v>2928.8809999999999</v>
      </c>
      <c r="O18" s="396">
        <v>3195.0650000000001</v>
      </c>
      <c r="P18" s="396">
        <v>3423.7040000000002</v>
      </c>
      <c r="Q18" s="533">
        <v>3646.069</v>
      </c>
      <c r="R18" s="396">
        <v>3839.549</v>
      </c>
      <c r="S18" s="396">
        <v>4073.511</v>
      </c>
      <c r="T18" s="396">
        <v>4303.1289999999999</v>
      </c>
      <c r="U18" s="396">
        <v>4543.0159999999996</v>
      </c>
      <c r="V18" s="396">
        <v>4798.53</v>
      </c>
      <c r="W18" s="396">
        <v>5023.9440000000004</v>
      </c>
      <c r="X18" s="396">
        <v>5131.96</v>
      </c>
      <c r="Y18" s="396">
        <v>5216.8729999999996</v>
      </c>
      <c r="Z18" s="396">
        <v>5203.5910000000003</v>
      </c>
      <c r="AA18" s="396">
        <v>5167.5569999999998</v>
      </c>
      <c r="AB18" s="396">
        <v>5124.2079999999996</v>
      </c>
      <c r="AC18" s="396">
        <v>5107.62</v>
      </c>
      <c r="AD18" s="396">
        <v>5160.0559999999996</v>
      </c>
      <c r="AE18" s="396">
        <v>5235.9279999999999</v>
      </c>
      <c r="AF18" s="1026">
        <v>5282.6949999999997</v>
      </c>
      <c r="AG18" s="244">
        <v>1.4703716393775608</v>
      </c>
      <c r="AH18" s="213" t="s">
        <v>15</v>
      </c>
      <c r="AI18" s="542">
        <f t="shared" si="0"/>
        <v>5.2826949999999995</v>
      </c>
      <c r="AM18" s="1026">
        <v>5282.6949999999997</v>
      </c>
      <c r="AN18" s="946" t="s">
        <v>15</v>
      </c>
    </row>
    <row r="19" spans="1:40" ht="12.75" customHeight="1">
      <c r="A19" s="212"/>
      <c r="B19" s="221" t="s">
        <v>66</v>
      </c>
      <c r="C19" s="531">
        <v>2378</v>
      </c>
      <c r="D19" s="531">
        <v>7556.5110000000004</v>
      </c>
      <c r="E19" s="391">
        <v>11995.64</v>
      </c>
      <c r="F19" s="391">
        <v>12537.099</v>
      </c>
      <c r="G19" s="391">
        <v>13102.285</v>
      </c>
      <c r="H19" s="391">
        <v>13440.694</v>
      </c>
      <c r="I19" s="391">
        <v>13733.794</v>
      </c>
      <c r="J19" s="391">
        <v>14212.259</v>
      </c>
      <c r="K19" s="391">
        <v>14753.808999999999</v>
      </c>
      <c r="L19" s="391">
        <v>15297.366</v>
      </c>
      <c r="M19" s="391">
        <v>16050.057000000001</v>
      </c>
      <c r="N19" s="391">
        <v>16847.397000000001</v>
      </c>
      <c r="O19" s="391">
        <v>17449.235000000001</v>
      </c>
      <c r="P19" s="391">
        <v>18150.88</v>
      </c>
      <c r="Q19" s="391">
        <v>18732.632000000001</v>
      </c>
      <c r="R19" s="391">
        <v>18688.32</v>
      </c>
      <c r="S19" s="391">
        <v>19541.918000000001</v>
      </c>
      <c r="T19" s="391">
        <v>20250.377</v>
      </c>
      <c r="U19" s="391">
        <v>20908.724999999999</v>
      </c>
      <c r="V19" s="391">
        <v>21760.173999999999</v>
      </c>
      <c r="W19" s="391">
        <v>22145.364000000001</v>
      </c>
      <c r="X19" s="391">
        <v>21983.485000000001</v>
      </c>
      <c r="Y19" s="391">
        <v>22147.455000000002</v>
      </c>
      <c r="Z19" s="391">
        <v>22277</v>
      </c>
      <c r="AA19" s="391">
        <v>22247.527999999998</v>
      </c>
      <c r="AB19" s="391">
        <v>22024.538</v>
      </c>
      <c r="AC19" s="391">
        <v>22029.511999999999</v>
      </c>
      <c r="AD19" s="391">
        <v>22355.548999999999</v>
      </c>
      <c r="AE19" s="391">
        <v>22876.83</v>
      </c>
      <c r="AF19" s="1025">
        <v>23500.401000000002</v>
      </c>
      <c r="AG19" s="239">
        <v>2.3317745406297092</v>
      </c>
      <c r="AH19" s="221" t="s">
        <v>66</v>
      </c>
      <c r="AI19" s="542">
        <f t="shared" si="0"/>
        <v>23.500401</v>
      </c>
      <c r="AM19" s="1025">
        <v>23500.401000000002</v>
      </c>
      <c r="AN19" s="767" t="s">
        <v>66</v>
      </c>
    </row>
    <row r="20" spans="1:40" ht="12.75" customHeight="1">
      <c r="A20" s="212"/>
      <c r="B20" s="213" t="s">
        <v>87</v>
      </c>
      <c r="C20" s="532">
        <v>712</v>
      </c>
      <c r="D20" s="532">
        <v>1226</v>
      </c>
      <c r="E20" s="396">
        <v>1938.856</v>
      </c>
      <c r="F20" s="396">
        <v>1923</v>
      </c>
      <c r="G20" s="396">
        <v>1936</v>
      </c>
      <c r="H20" s="396">
        <v>1872.933</v>
      </c>
      <c r="I20" s="396">
        <v>1872.588</v>
      </c>
      <c r="J20" s="396">
        <v>1900.855</v>
      </c>
      <c r="K20" s="396">
        <v>1942.752</v>
      </c>
      <c r="L20" s="396">
        <v>1948.126</v>
      </c>
      <c r="M20" s="396">
        <v>2021.116</v>
      </c>
      <c r="N20" s="396">
        <v>2082.58</v>
      </c>
      <c r="O20" s="396">
        <v>2134.7280000000001</v>
      </c>
      <c r="P20" s="396">
        <v>2160.6030000000001</v>
      </c>
      <c r="Q20" s="396">
        <v>2194.683</v>
      </c>
      <c r="R20" s="396">
        <v>2274.5770000000002</v>
      </c>
      <c r="S20" s="396">
        <v>2346.7260000000001</v>
      </c>
      <c r="T20" s="396">
        <v>2430.3449999999998</v>
      </c>
      <c r="U20" s="396">
        <v>2505.5430000000001</v>
      </c>
      <c r="V20" s="396">
        <v>2570.3560000000002</v>
      </c>
      <c r="W20" s="533">
        <v>2700.4920000000002</v>
      </c>
      <c r="X20" s="396">
        <v>2776.6640000000002</v>
      </c>
      <c r="Y20" s="396">
        <v>2877.4839999999999</v>
      </c>
      <c r="Z20" s="396">
        <v>2978.7289999999998</v>
      </c>
      <c r="AA20" s="396">
        <v>3057.4839999999999</v>
      </c>
      <c r="AB20" s="396">
        <f>3127.399</f>
        <v>3127.3989999999999</v>
      </c>
      <c r="AC20" s="396">
        <v>3194.95</v>
      </c>
      <c r="AD20" s="396">
        <v>3257.5810000000001</v>
      </c>
      <c r="AE20" s="396">
        <v>3346.0050000000001</v>
      </c>
      <c r="AF20" s="1026">
        <v>3423</v>
      </c>
      <c r="AG20" s="244">
        <v>2.714406794489534</v>
      </c>
      <c r="AH20" s="213" t="s">
        <v>87</v>
      </c>
      <c r="AI20" s="542">
        <f t="shared" si="0"/>
        <v>3.423</v>
      </c>
      <c r="AM20" s="1026">
        <v>3423</v>
      </c>
      <c r="AN20" s="946" t="s">
        <v>87</v>
      </c>
    </row>
    <row r="21" spans="1:40" ht="12.75" customHeight="1">
      <c r="A21" s="212"/>
      <c r="B21" s="213" t="s">
        <v>67</v>
      </c>
      <c r="C21" s="532">
        <v>11900</v>
      </c>
      <c r="D21" s="532">
        <v>19130</v>
      </c>
      <c r="E21" s="396">
        <v>23550</v>
      </c>
      <c r="F21" s="396">
        <v>23810</v>
      </c>
      <c r="G21" s="396">
        <v>24020</v>
      </c>
      <c r="H21" s="396">
        <v>24385</v>
      </c>
      <c r="I21" s="396">
        <v>24900</v>
      </c>
      <c r="J21" s="396">
        <v>25100</v>
      </c>
      <c r="K21" s="396">
        <v>25500</v>
      </c>
      <c r="L21" s="396">
        <v>26090</v>
      </c>
      <c r="M21" s="396">
        <v>26810</v>
      </c>
      <c r="N21" s="396">
        <v>27480</v>
      </c>
      <c r="O21" s="396">
        <v>28060</v>
      </c>
      <c r="P21" s="396">
        <v>28700</v>
      </c>
      <c r="Q21" s="396">
        <v>29160</v>
      </c>
      <c r="R21" s="396">
        <v>29560</v>
      </c>
      <c r="S21" s="396">
        <v>29900</v>
      </c>
      <c r="T21" s="396">
        <v>30100</v>
      </c>
      <c r="U21" s="396">
        <v>30400</v>
      </c>
      <c r="V21" s="396">
        <v>30700</v>
      </c>
      <c r="W21" s="396">
        <v>30850</v>
      </c>
      <c r="X21" s="396">
        <v>31050</v>
      </c>
      <c r="Y21" s="396">
        <v>31300</v>
      </c>
      <c r="Z21" s="396">
        <v>31550</v>
      </c>
      <c r="AA21" s="396">
        <v>31600</v>
      </c>
      <c r="AB21" s="396">
        <v>31650</v>
      </c>
      <c r="AC21" s="396">
        <v>31800</v>
      </c>
      <c r="AD21" s="396">
        <v>32000</v>
      </c>
      <c r="AE21" s="396">
        <v>32074.202000000001</v>
      </c>
      <c r="AF21" s="1026">
        <v>32006.077000000001</v>
      </c>
      <c r="AG21" s="244">
        <v>-0.77586081286497688</v>
      </c>
      <c r="AH21" s="213" t="s">
        <v>67</v>
      </c>
      <c r="AI21" s="542">
        <f t="shared" si="0"/>
        <v>32.006076999999998</v>
      </c>
      <c r="AM21" s="1026">
        <v>32006.077000000001</v>
      </c>
      <c r="AN21" s="946" t="s">
        <v>67</v>
      </c>
    </row>
    <row r="22" spans="1:40" ht="12.75" customHeight="1">
      <c r="A22" s="212"/>
      <c r="B22" s="221" t="s">
        <v>144</v>
      </c>
      <c r="C22" s="531" t="s">
        <v>99</v>
      </c>
      <c r="D22" s="531" t="s">
        <v>99</v>
      </c>
      <c r="E22" s="390">
        <v>580</v>
      </c>
      <c r="F22" s="390">
        <v>600</v>
      </c>
      <c r="G22" s="390">
        <v>620</v>
      </c>
      <c r="H22" s="391">
        <v>646.21</v>
      </c>
      <c r="I22" s="391">
        <v>698.39099999999996</v>
      </c>
      <c r="J22" s="391">
        <v>710.91</v>
      </c>
      <c r="K22" s="391">
        <v>835.71400000000006</v>
      </c>
      <c r="L22" s="391">
        <v>932.27800000000002</v>
      </c>
      <c r="M22" s="391">
        <v>1000.052</v>
      </c>
      <c r="N22" s="391">
        <v>1063.546</v>
      </c>
      <c r="O22" s="391">
        <v>1124.825</v>
      </c>
      <c r="P22" s="534">
        <v>1195.45</v>
      </c>
      <c r="Q22" s="391">
        <v>1244.252</v>
      </c>
      <c r="R22" s="391">
        <v>1293.421</v>
      </c>
      <c r="S22" s="391">
        <v>1337.538</v>
      </c>
      <c r="T22" s="391">
        <v>1384.6990000000001</v>
      </c>
      <c r="U22" s="391">
        <v>1435.7809999999999</v>
      </c>
      <c r="V22" s="391">
        <v>1491.127</v>
      </c>
      <c r="W22" s="391">
        <v>1535.28</v>
      </c>
      <c r="X22" s="391">
        <v>1532.549</v>
      </c>
      <c r="Y22" s="391">
        <v>1515.4490000000001</v>
      </c>
      <c r="Z22" s="391">
        <v>1518.278</v>
      </c>
      <c r="AA22" s="391">
        <v>1445.22</v>
      </c>
      <c r="AB22" s="391">
        <v>1448.299</v>
      </c>
      <c r="AC22" s="391">
        <v>1474.4949999999999</v>
      </c>
      <c r="AD22" s="391">
        <v>1499.8019999999999</v>
      </c>
      <c r="AE22" s="391">
        <v>1552.904</v>
      </c>
      <c r="AF22" s="1027">
        <v>1596.087</v>
      </c>
      <c r="AG22" s="239">
        <v>3.5406006926247642</v>
      </c>
      <c r="AH22" s="221" t="s">
        <v>144</v>
      </c>
      <c r="AI22" s="542">
        <f t="shared" si="0"/>
        <v>1.596087</v>
      </c>
      <c r="AM22" s="1027">
        <v>1596.087</v>
      </c>
      <c r="AN22" s="767" t="s">
        <v>144</v>
      </c>
    </row>
    <row r="23" spans="1:40" ht="12.75" customHeight="1">
      <c r="A23" s="212"/>
      <c r="B23" s="221" t="s">
        <v>77</v>
      </c>
      <c r="C23" s="531">
        <v>240</v>
      </c>
      <c r="D23" s="531">
        <v>1010</v>
      </c>
      <c r="E23" s="391">
        <v>1944</v>
      </c>
      <c r="F23" s="391">
        <v>2020</v>
      </c>
      <c r="G23" s="391">
        <v>2058</v>
      </c>
      <c r="H23" s="534">
        <v>2093.529</v>
      </c>
      <c r="I23" s="391">
        <v>2178.8910000000001</v>
      </c>
      <c r="J23" s="391">
        <v>2244.9459999999999</v>
      </c>
      <c r="K23" s="391">
        <v>2265.1799999999998</v>
      </c>
      <c r="L23" s="391">
        <v>2297.9639999999999</v>
      </c>
      <c r="M23" s="391">
        <v>2218.1239999999998</v>
      </c>
      <c r="N23" s="391">
        <v>2255.5259999999998</v>
      </c>
      <c r="O23" s="391">
        <v>2364.7060000000001</v>
      </c>
      <c r="P23" s="391">
        <v>2482.8270000000002</v>
      </c>
      <c r="Q23" s="391">
        <v>2629.5259999999998</v>
      </c>
      <c r="R23" s="391">
        <v>2777.2190000000001</v>
      </c>
      <c r="S23" s="391">
        <v>2828.433</v>
      </c>
      <c r="T23" s="391">
        <v>2888.7350000000001</v>
      </c>
      <c r="U23" s="391">
        <v>2953.7370000000001</v>
      </c>
      <c r="V23" s="391">
        <v>3012.165</v>
      </c>
      <c r="W23" s="391">
        <v>3055.4270000000001</v>
      </c>
      <c r="X23" s="391">
        <v>3013.7190000000001</v>
      </c>
      <c r="Y23" s="481">
        <v>2984.0630000000001</v>
      </c>
      <c r="Z23" s="391">
        <v>2967.808</v>
      </c>
      <c r="AA23" s="391">
        <v>2986.0279999999998</v>
      </c>
      <c r="AB23" s="391">
        <f>3040.732</f>
        <v>3040.732</v>
      </c>
      <c r="AC23" s="391">
        <v>3107.6950000000002</v>
      </c>
      <c r="AD23" s="391">
        <v>3196.8560000000002</v>
      </c>
      <c r="AE23" s="391">
        <v>3313.2060000000001</v>
      </c>
      <c r="AF23" s="1025">
        <v>3472</v>
      </c>
      <c r="AG23" s="239">
        <v>3.6395133218386917</v>
      </c>
      <c r="AH23" s="221" t="s">
        <v>77</v>
      </c>
      <c r="AI23" s="542">
        <f t="shared" si="0"/>
        <v>3.472</v>
      </c>
      <c r="AM23" s="1025">
        <v>3472</v>
      </c>
      <c r="AN23" s="767" t="s">
        <v>77</v>
      </c>
    </row>
    <row r="24" spans="1:40" s="235" customFormat="1" ht="12.75" customHeight="1">
      <c r="A24" s="229"/>
      <c r="B24" s="221" t="s">
        <v>68</v>
      </c>
      <c r="C24" s="531">
        <v>393.459</v>
      </c>
      <c r="D24" s="531">
        <v>738.11400000000003</v>
      </c>
      <c r="E24" s="391">
        <f>796.408+4.977</f>
        <v>801.38499999999999</v>
      </c>
      <c r="F24" s="391">
        <f>836.583+5.363</f>
        <v>841.94600000000003</v>
      </c>
      <c r="G24" s="391">
        <f>858.498+5.711</f>
        <v>864.20900000000006</v>
      </c>
      <c r="H24" s="391">
        <f>891.027+6.144</f>
        <v>897.17100000000005</v>
      </c>
      <c r="I24" s="391">
        <f>939.022+6.925</f>
        <v>945.947</v>
      </c>
      <c r="J24" s="391">
        <f>990.384+8.086</f>
        <v>998.47</v>
      </c>
      <c r="K24" s="391">
        <f>1057.383+9.219</f>
        <v>1066.6020000000001</v>
      </c>
      <c r="L24" s="391">
        <f>1134.429+10.34</f>
        <v>1144.769</v>
      </c>
      <c r="M24" s="391">
        <f>1196.901+11.249</f>
        <v>1208.1500000000001</v>
      </c>
      <c r="N24" s="391">
        <f>1269.245+13.076</f>
        <v>1282.3209999999999</v>
      </c>
      <c r="O24" s="391">
        <f>1319.25+13.637</f>
        <v>1332.8869999999999</v>
      </c>
      <c r="P24" s="391">
        <f>1384.704+16.547</f>
        <v>1401.251</v>
      </c>
      <c r="Q24" s="391">
        <f>1447.908+18.252</f>
        <v>1466.1599999999999</v>
      </c>
      <c r="R24" s="391">
        <f>1507.106+19.856</f>
        <v>1526.962</v>
      </c>
      <c r="S24" s="391">
        <f>1582.833+20.744</f>
        <v>1603.577</v>
      </c>
      <c r="T24" s="391">
        <f>1662.157+21.888</f>
        <v>1684.0449999999998</v>
      </c>
      <c r="U24" s="391">
        <f>1778.861+23.284</f>
        <v>1802.1450000000002</v>
      </c>
      <c r="V24" s="391">
        <f>1882.901+26.654</f>
        <v>1909.5550000000001</v>
      </c>
      <c r="W24" s="391">
        <f>1924.281+29.053</f>
        <v>1953.3340000000001</v>
      </c>
      <c r="X24" s="391">
        <f>1902.429+28.284</f>
        <v>1930.7130000000002</v>
      </c>
      <c r="Y24" s="391">
        <f>1872.715+26.68</f>
        <v>1899.395</v>
      </c>
      <c r="Z24" s="391">
        <f>1887.81+25.129</f>
        <v>1912.9389999999999</v>
      </c>
      <c r="AA24" s="391">
        <f>1882.55+24.18</f>
        <v>1906.73</v>
      </c>
      <c r="AB24" s="391">
        <f>1910.165+22.964</f>
        <v>1933.1289999999999</v>
      </c>
      <c r="AC24" s="481">
        <f>1943.868+22.373</f>
        <v>1966.241</v>
      </c>
      <c r="AD24" s="409">
        <f>1985.13+21.977</f>
        <v>2007.1070000000002</v>
      </c>
      <c r="AE24" s="409">
        <v>2048.652</v>
      </c>
      <c r="AF24" s="1025">
        <f>2066.1+21.3</f>
        <v>2087.4</v>
      </c>
      <c r="AG24" s="239">
        <v>2.0698946294343017</v>
      </c>
      <c r="AH24" s="221" t="s">
        <v>68</v>
      </c>
      <c r="AI24" s="542">
        <f t="shared" si="0"/>
        <v>2.0874000000000001</v>
      </c>
      <c r="AM24" s="1025">
        <f>2066.1+21.3</f>
        <v>2087.4</v>
      </c>
      <c r="AN24" s="767" t="s">
        <v>68</v>
      </c>
    </row>
    <row r="25" spans="1:40" ht="12.75" customHeight="1">
      <c r="A25" s="212"/>
      <c r="B25" s="213" t="s">
        <v>69</v>
      </c>
      <c r="C25" s="532">
        <v>10181.191999999999</v>
      </c>
      <c r="D25" s="532">
        <v>17686.236000000001</v>
      </c>
      <c r="E25" s="396">
        <v>27415.828000000001</v>
      </c>
      <c r="F25" s="396">
        <v>28434.922999999999</v>
      </c>
      <c r="G25" s="396">
        <v>29429.628000000001</v>
      </c>
      <c r="H25" s="396">
        <v>29652.024000000001</v>
      </c>
      <c r="I25" s="396">
        <v>29665.308000000001</v>
      </c>
      <c r="J25" s="396">
        <v>30301.423999999999</v>
      </c>
      <c r="K25" s="396">
        <v>30467.172999999999</v>
      </c>
      <c r="L25" s="396">
        <v>30741.953000000001</v>
      </c>
      <c r="M25" s="396">
        <v>31370.764999999999</v>
      </c>
      <c r="N25" s="396">
        <v>32038.291000000001</v>
      </c>
      <c r="O25" s="396">
        <v>32583.814999999999</v>
      </c>
      <c r="P25" s="396">
        <v>33239.029000000002</v>
      </c>
      <c r="Q25" s="396">
        <v>33706.152999999998</v>
      </c>
      <c r="R25" s="396">
        <v>34310.446000000004</v>
      </c>
      <c r="S25" s="396">
        <v>33973.146999999997</v>
      </c>
      <c r="T25" s="396">
        <v>34667.485000000001</v>
      </c>
      <c r="U25" s="396">
        <v>35297.281999999999</v>
      </c>
      <c r="V25" s="396">
        <v>35680.097000000002</v>
      </c>
      <c r="W25" s="396">
        <v>36105.182999999997</v>
      </c>
      <c r="X25" s="396">
        <v>36372</v>
      </c>
      <c r="Y25" s="396">
        <v>36751.311000000002</v>
      </c>
      <c r="Z25" s="396">
        <v>37113.300000000003</v>
      </c>
      <c r="AA25" s="396">
        <v>37078</v>
      </c>
      <c r="AB25" s="396">
        <v>36962.934000000001</v>
      </c>
      <c r="AC25" s="396">
        <v>37080.752999999997</v>
      </c>
      <c r="AD25" s="396">
        <v>37351.233</v>
      </c>
      <c r="AE25" s="396">
        <v>37876.137999999999</v>
      </c>
      <c r="AF25" s="1026">
        <v>38520.321000000004</v>
      </c>
      <c r="AG25" s="244">
        <v>1.405321746674332</v>
      </c>
      <c r="AH25" s="213" t="s">
        <v>69</v>
      </c>
      <c r="AI25" s="542">
        <f t="shared" si="0"/>
        <v>38.520321000000003</v>
      </c>
      <c r="AM25" s="1026">
        <v>38520.321000000004</v>
      </c>
      <c r="AN25" s="946" t="s">
        <v>69</v>
      </c>
    </row>
    <row r="26" spans="1:40" s="235" customFormat="1" ht="12.75" customHeight="1">
      <c r="A26" s="229"/>
      <c r="B26" s="221" t="s">
        <v>73</v>
      </c>
      <c r="C26" s="531">
        <v>43.7</v>
      </c>
      <c r="D26" s="531">
        <v>247</v>
      </c>
      <c r="E26" s="391">
        <v>493</v>
      </c>
      <c r="F26" s="391">
        <v>531</v>
      </c>
      <c r="G26" s="391">
        <v>565</v>
      </c>
      <c r="H26" s="391">
        <v>597.73500000000001</v>
      </c>
      <c r="I26" s="391">
        <v>652.80999999999995</v>
      </c>
      <c r="J26" s="391">
        <v>718.46900000000005</v>
      </c>
      <c r="K26" s="391">
        <v>785.08799999999997</v>
      </c>
      <c r="L26" s="391">
        <v>882.101</v>
      </c>
      <c r="M26" s="391">
        <v>980.91</v>
      </c>
      <c r="N26" s="391">
        <v>1089.3340000000001</v>
      </c>
      <c r="O26" s="391">
        <v>1172.394</v>
      </c>
      <c r="P26" s="391">
        <v>1133.4770000000001</v>
      </c>
      <c r="Q26" s="391">
        <v>1180.9449999999999</v>
      </c>
      <c r="R26" s="391">
        <v>1256.8530000000001</v>
      </c>
      <c r="S26" s="391">
        <v>1315.914</v>
      </c>
      <c r="T26" s="391">
        <v>1455.2760000000001</v>
      </c>
      <c r="U26" s="391">
        <v>1592.2380000000001</v>
      </c>
      <c r="V26" s="391">
        <v>1587.903</v>
      </c>
      <c r="W26" s="391">
        <v>1671.0650000000001</v>
      </c>
      <c r="X26" s="391">
        <v>1695.2860000000001</v>
      </c>
      <c r="Y26" s="391">
        <v>1691.855</v>
      </c>
      <c r="Z26" s="391">
        <v>1713.3</v>
      </c>
      <c r="AA26" s="391">
        <v>1753.4069999999999</v>
      </c>
      <c r="AB26" s="391">
        <f>1808.982</f>
        <v>1808.982</v>
      </c>
      <c r="AC26" s="391">
        <v>1205.6679999999999</v>
      </c>
      <c r="AD26" s="391">
        <v>1244.0630000000001</v>
      </c>
      <c r="AE26" s="391">
        <v>1298.7370000000001</v>
      </c>
      <c r="AF26" s="1025">
        <v>1357</v>
      </c>
      <c r="AG26" s="239">
        <v>4.394793511261085</v>
      </c>
      <c r="AH26" s="221" t="s">
        <v>73</v>
      </c>
      <c r="AI26" s="542">
        <f t="shared" si="0"/>
        <v>1.357</v>
      </c>
      <c r="AM26" s="1025">
        <v>1357</v>
      </c>
      <c r="AN26" s="767" t="s">
        <v>73</v>
      </c>
    </row>
    <row r="27" spans="1:40" ht="12.75" customHeight="1">
      <c r="A27" s="212"/>
      <c r="B27" s="213" t="s">
        <v>76</v>
      </c>
      <c r="C27" s="532">
        <v>72</v>
      </c>
      <c r="D27" s="532">
        <v>128.6</v>
      </c>
      <c r="E27" s="396">
        <v>183.404</v>
      </c>
      <c r="F27" s="396">
        <v>192</v>
      </c>
      <c r="G27" s="396">
        <v>201</v>
      </c>
      <c r="H27" s="396">
        <v>208</v>
      </c>
      <c r="I27" s="396">
        <v>217.75399999999999</v>
      </c>
      <c r="J27" s="396">
        <v>229.03700000000001</v>
      </c>
      <c r="K27" s="396">
        <v>231.666</v>
      </c>
      <c r="L27" s="533">
        <v>236.834</v>
      </c>
      <c r="M27" s="396">
        <v>253.40600000000001</v>
      </c>
      <c r="N27" s="396">
        <v>263.47500000000002</v>
      </c>
      <c r="O27" s="396">
        <v>273.08600000000001</v>
      </c>
      <c r="P27" s="396">
        <v>280.709</v>
      </c>
      <c r="Q27" s="396">
        <v>287.245</v>
      </c>
      <c r="R27" s="396">
        <v>293.39800000000002</v>
      </c>
      <c r="S27" s="396">
        <v>299.75900000000001</v>
      </c>
      <c r="T27" s="396">
        <f>211.567+92.927+2.771</f>
        <v>307.26500000000004</v>
      </c>
      <c r="U27" s="396">
        <f>208.15+104.392+2.162</f>
        <v>314.70400000000001</v>
      </c>
      <c r="V27" s="396">
        <f>204.895+114.963+1.662</f>
        <v>321.52</v>
      </c>
      <c r="W27" s="396">
        <f>200.038+127.697+1.303</f>
        <v>329.03800000000001</v>
      </c>
      <c r="X27" s="396">
        <f>191.197+139.28+1.026</f>
        <v>331.50299999999999</v>
      </c>
      <c r="Y27" s="507">
        <f>184.633+151.812+0.794</f>
        <v>337.23900000000003</v>
      </c>
      <c r="Z27" s="396">
        <f>207.642+137.309+0.624</f>
        <v>345.57500000000005</v>
      </c>
      <c r="AA27" s="507">
        <f>207.902+147.456+0.492</f>
        <v>355.84999999999997</v>
      </c>
      <c r="AB27" s="396">
        <f>205.132+157.747+0.368</f>
        <v>363.24700000000001</v>
      </c>
      <c r="AC27" s="396">
        <f>0.289+168.612+203.926</f>
        <v>372.827</v>
      </c>
      <c r="AD27" s="396">
        <f>202.766+178.094+0.243</f>
        <v>381.10300000000001</v>
      </c>
      <c r="AE27" s="396">
        <v>390.935</v>
      </c>
      <c r="AF27" s="1026">
        <v>403.3</v>
      </c>
      <c r="AG27" s="244">
        <v>2.5798799799529206</v>
      </c>
      <c r="AH27" s="213" t="s">
        <v>76</v>
      </c>
      <c r="AI27" s="542">
        <f t="shared" si="0"/>
        <v>0.40329999999999999</v>
      </c>
      <c r="AM27" s="1026">
        <v>403.3</v>
      </c>
      <c r="AN27" s="946" t="s">
        <v>76</v>
      </c>
    </row>
    <row r="28" spans="1:40" s="235" customFormat="1" ht="12.75" customHeight="1">
      <c r="A28" s="229"/>
      <c r="B28" s="213" t="s">
        <v>72</v>
      </c>
      <c r="C28" s="532">
        <v>40</v>
      </c>
      <c r="D28" s="532">
        <v>166</v>
      </c>
      <c r="E28" s="396">
        <v>283</v>
      </c>
      <c r="F28" s="396">
        <v>329</v>
      </c>
      <c r="G28" s="396">
        <v>350</v>
      </c>
      <c r="H28" s="396">
        <v>367.47500000000002</v>
      </c>
      <c r="I28" s="396">
        <v>251.59299999999999</v>
      </c>
      <c r="J28" s="396">
        <v>332</v>
      </c>
      <c r="K28" s="396">
        <v>379.89499999999998</v>
      </c>
      <c r="L28" s="396">
        <v>431.81599999999997</v>
      </c>
      <c r="M28" s="396">
        <v>482.67</v>
      </c>
      <c r="N28" s="396">
        <v>525.572</v>
      </c>
      <c r="O28" s="396">
        <v>556.79999999999995</v>
      </c>
      <c r="P28" s="396">
        <v>586.20000000000005</v>
      </c>
      <c r="Q28" s="396">
        <v>619.1</v>
      </c>
      <c r="R28" s="396">
        <v>648.9</v>
      </c>
      <c r="S28" s="396">
        <v>686.12800000000004</v>
      </c>
      <c r="T28" s="396">
        <v>742.447</v>
      </c>
      <c r="U28" s="396">
        <v>822.01099999999997</v>
      </c>
      <c r="V28" s="396">
        <v>904.86900000000003</v>
      </c>
      <c r="W28" s="396">
        <v>932.82799999999997</v>
      </c>
      <c r="X28" s="396">
        <v>904.30799999999999</v>
      </c>
      <c r="Y28" s="396">
        <v>636.66399999999999</v>
      </c>
      <c r="Z28" s="396">
        <v>612.32000000000005</v>
      </c>
      <c r="AA28" s="396">
        <v>618.274</v>
      </c>
      <c r="AB28" s="396">
        <v>634.60299999999995</v>
      </c>
      <c r="AC28" s="396">
        <v>657.79899999999998</v>
      </c>
      <c r="AD28" s="396">
        <v>679.048</v>
      </c>
      <c r="AE28" s="396">
        <v>664.17700000000002</v>
      </c>
      <c r="AF28" s="1026">
        <v>690</v>
      </c>
      <c r="AG28" s="244">
        <v>-2.1899777335328281</v>
      </c>
      <c r="AH28" s="213" t="s">
        <v>72</v>
      </c>
      <c r="AI28" s="542">
        <f t="shared" si="0"/>
        <v>0.69</v>
      </c>
      <c r="AM28" s="1026">
        <v>690</v>
      </c>
      <c r="AN28" s="946" t="s">
        <v>72</v>
      </c>
    </row>
    <row r="29" spans="1:40" ht="12.75" customHeight="1">
      <c r="A29" s="212"/>
      <c r="B29" s="213" t="s">
        <v>78</v>
      </c>
      <c r="C29" s="532" t="s">
        <v>99</v>
      </c>
      <c r="D29" s="532" t="s">
        <v>99</v>
      </c>
      <c r="E29" s="395">
        <v>120</v>
      </c>
      <c r="F29" s="396">
        <v>122</v>
      </c>
      <c r="G29" s="396">
        <v>125</v>
      </c>
      <c r="H29" s="396">
        <v>152.613</v>
      </c>
      <c r="I29" s="396">
        <v>170.63499999999999</v>
      </c>
      <c r="J29" s="396">
        <v>180.851</v>
      </c>
      <c r="K29" s="396">
        <v>182</v>
      </c>
      <c r="L29" s="396">
        <f>177.651+6.123</f>
        <v>183.774</v>
      </c>
      <c r="M29" s="396">
        <f>0.863+169.542+4.136+0.245</f>
        <v>174.786</v>
      </c>
      <c r="N29" s="396">
        <f>0.966+176.264+4.777+0.245</f>
        <v>182.25200000000001</v>
      </c>
      <c r="O29" s="396">
        <f>1.034+182.105+5.738+0.246</f>
        <v>189.12299999999999</v>
      </c>
      <c r="P29" s="533">
        <f>1.116+188.495+5.521+0.247</f>
        <v>195.37900000000002</v>
      </c>
      <c r="Q29" s="396">
        <f>1.165+195.055+5.454+0.247</f>
        <v>201.92100000000002</v>
      </c>
      <c r="R29" s="396">
        <f>1.194+201.924+5.447+0.247</f>
        <v>208.81200000000001</v>
      </c>
      <c r="S29" s="396">
        <f>1.19+204.702+5.245+0.246</f>
        <v>211.38300000000001</v>
      </c>
      <c r="T29" s="396">
        <f>1.133+206.148+5.034+0.246</f>
        <v>212.56100000000001</v>
      </c>
      <c r="U29" s="396">
        <f>1.123+211.84+4.943+0.247</f>
        <v>218.15300000000002</v>
      </c>
      <c r="V29" s="396">
        <v>224.89599999999999</v>
      </c>
      <c r="W29" s="396">
        <v>229.38899999999998</v>
      </c>
      <c r="X29" s="396">
        <v>233.48600000000002</v>
      </c>
      <c r="Y29" s="396">
        <v>240.95999999999998</v>
      </c>
      <c r="Z29" s="396">
        <v>247.37499999999997</v>
      </c>
      <c r="AA29" s="396">
        <f>235.315+7.244+0.291+3.277+3.029+0.879</f>
        <v>250.03499999999997</v>
      </c>
      <c r="AB29" s="396">
        <f>241.5+7.228+0.292+4.119+2.551+0.908</f>
        <v>256.59800000000001</v>
      </c>
      <c r="AC29" s="396">
        <f>250.533+7.457+0.293+4.968+2.293+0.974</f>
        <v>266.51800000000003</v>
      </c>
      <c r="AD29" s="396">
        <f>258.521+7.743+0.291+5.794+1.974+1.057</f>
        <v>275.38</v>
      </c>
      <c r="AE29" s="396">
        <v>282.93299999999999</v>
      </c>
      <c r="AF29" s="1026">
        <f>280.91+0.292+7.675+1.391+1.396</f>
        <v>291.66400000000004</v>
      </c>
      <c r="AG29" s="244">
        <v>2.8185495154028075</v>
      </c>
      <c r="AH29" s="213" t="s">
        <v>78</v>
      </c>
      <c r="AI29" s="542">
        <f t="shared" si="0"/>
        <v>0.29166400000000003</v>
      </c>
      <c r="AM29" s="1026">
        <f>280.91+0.292+7.675+1.391+1.396</f>
        <v>291.66400000000004</v>
      </c>
      <c r="AN29" s="946" t="s">
        <v>78</v>
      </c>
    </row>
    <row r="30" spans="1:40" s="235" customFormat="1" ht="12.75" customHeight="1">
      <c r="A30" s="229"/>
      <c r="B30" s="221" t="s">
        <v>16</v>
      </c>
      <c r="C30" s="531">
        <v>2564</v>
      </c>
      <c r="D30" s="531">
        <v>4550</v>
      </c>
      <c r="E30" s="391">
        <v>5509.1729999999998</v>
      </c>
      <c r="F30" s="391">
        <v>5554</v>
      </c>
      <c r="G30" s="391">
        <v>5658</v>
      </c>
      <c r="H30" s="391">
        <v>5755</v>
      </c>
      <c r="I30" s="391">
        <v>5884</v>
      </c>
      <c r="J30" s="391">
        <v>5633</v>
      </c>
      <c r="K30" s="391">
        <v>5740</v>
      </c>
      <c r="L30" s="391">
        <v>5931.3869999999997</v>
      </c>
      <c r="M30" s="391">
        <v>6119.5810000000001</v>
      </c>
      <c r="N30" s="391">
        <v>6343.1949999999997</v>
      </c>
      <c r="O30" s="391">
        <v>6539.2120000000004</v>
      </c>
      <c r="P30" s="391">
        <v>6710.6019999999999</v>
      </c>
      <c r="Q30" s="391">
        <v>6854.7430000000004</v>
      </c>
      <c r="R30" s="391">
        <v>6908.473</v>
      </c>
      <c r="S30" s="391">
        <v>6991.991</v>
      </c>
      <c r="T30" s="391">
        <v>7092.2929999999997</v>
      </c>
      <c r="U30" s="391">
        <v>7230.1779999999999</v>
      </c>
      <c r="V30" s="391">
        <v>7391.9030000000002</v>
      </c>
      <c r="W30" s="391">
        <v>7542.3310000000001</v>
      </c>
      <c r="X30" s="391">
        <v>7622</v>
      </c>
      <c r="Y30" s="391">
        <v>7736</v>
      </c>
      <c r="Z30" s="391">
        <v>7859</v>
      </c>
      <c r="AA30" s="391">
        <v>7915.6130000000003</v>
      </c>
      <c r="AB30" s="391">
        <f>7932.29</f>
        <v>7932.29</v>
      </c>
      <c r="AC30" s="391">
        <v>7979.0829999999996</v>
      </c>
      <c r="AD30" s="391">
        <v>8100.8639999999996</v>
      </c>
      <c r="AE30" s="391">
        <v>8222.9740000000002</v>
      </c>
      <c r="AF30" s="1025">
        <v>8373</v>
      </c>
      <c r="AG30" s="239">
        <v>1.5073700780558852</v>
      </c>
      <c r="AH30" s="221" t="s">
        <v>16</v>
      </c>
      <c r="AI30" s="542">
        <f t="shared" si="0"/>
        <v>8.3729999999999993</v>
      </c>
      <c r="AM30" s="1025">
        <v>8373</v>
      </c>
      <c r="AN30" s="767" t="s">
        <v>16</v>
      </c>
    </row>
    <row r="31" spans="1:40" ht="12.75" customHeight="1">
      <c r="A31" s="212"/>
      <c r="B31" s="221" t="s">
        <v>80</v>
      </c>
      <c r="C31" s="531">
        <v>479</v>
      </c>
      <c r="D31" s="531">
        <v>2380</v>
      </c>
      <c r="E31" s="391">
        <v>5261</v>
      </c>
      <c r="F31" s="391">
        <v>6110</v>
      </c>
      <c r="G31" s="391">
        <v>6505</v>
      </c>
      <c r="H31" s="391">
        <v>6770.5569999999998</v>
      </c>
      <c r="I31" s="391">
        <v>7153.1409999999996</v>
      </c>
      <c r="J31" s="391">
        <v>7517.2659999999996</v>
      </c>
      <c r="K31" s="391">
        <v>8054.4480000000003</v>
      </c>
      <c r="L31" s="391">
        <v>8533.4490000000005</v>
      </c>
      <c r="M31" s="391">
        <v>8890.7630000000008</v>
      </c>
      <c r="N31" s="391">
        <v>9282.9</v>
      </c>
      <c r="O31" s="391">
        <v>9991.2999999999993</v>
      </c>
      <c r="P31" s="391">
        <v>10503.1</v>
      </c>
      <c r="Q31" s="391">
        <v>11028.9</v>
      </c>
      <c r="R31" s="391">
        <v>11243.8</v>
      </c>
      <c r="S31" s="391">
        <v>11975.191000000001</v>
      </c>
      <c r="T31" s="391">
        <v>12339.352999999999</v>
      </c>
      <c r="U31" s="391">
        <v>13384.228999999999</v>
      </c>
      <c r="V31" s="391">
        <v>14588.739</v>
      </c>
      <c r="W31" s="391">
        <v>16079.532999999999</v>
      </c>
      <c r="X31" s="391">
        <v>16495</v>
      </c>
      <c r="Y31" s="391">
        <v>17239.8</v>
      </c>
      <c r="Z31" s="391">
        <v>18125</v>
      </c>
      <c r="AA31" s="391">
        <v>18744</v>
      </c>
      <c r="AB31" s="391">
        <v>19389.446</v>
      </c>
      <c r="AC31" s="391">
        <v>20003.863000000001</v>
      </c>
      <c r="AD31" s="409">
        <v>20723</v>
      </c>
      <c r="AE31" s="409">
        <v>21675.387999999999</v>
      </c>
      <c r="AF31" s="1025">
        <v>22503</v>
      </c>
      <c r="AG31" s="239">
        <v>4.5958017661535564</v>
      </c>
      <c r="AH31" s="221" t="s">
        <v>80</v>
      </c>
      <c r="AI31" s="542">
        <f t="shared" si="0"/>
        <v>22.503</v>
      </c>
      <c r="AM31" s="1025">
        <v>22503</v>
      </c>
      <c r="AN31" s="767" t="s">
        <v>80</v>
      </c>
    </row>
    <row r="32" spans="1:40" s="235" customFormat="1" ht="12.75" customHeight="1">
      <c r="A32" s="229"/>
      <c r="B32" s="213" t="s">
        <v>92</v>
      </c>
      <c r="C32" s="532">
        <v>421</v>
      </c>
      <c r="D32" s="532">
        <v>1269</v>
      </c>
      <c r="E32" s="396">
        <v>1849</v>
      </c>
      <c r="F32" s="395">
        <v>1950</v>
      </c>
      <c r="G32" s="395">
        <v>2100</v>
      </c>
      <c r="H32" s="395">
        <v>2250</v>
      </c>
      <c r="I32" s="395">
        <v>2410</v>
      </c>
      <c r="J32" s="396">
        <v>2560</v>
      </c>
      <c r="K32" s="396">
        <v>2750</v>
      </c>
      <c r="L32" s="396">
        <v>2950</v>
      </c>
      <c r="M32" s="396">
        <v>3150</v>
      </c>
      <c r="N32" s="396">
        <v>3350</v>
      </c>
      <c r="O32" s="396">
        <v>3443</v>
      </c>
      <c r="P32" s="396">
        <v>3589</v>
      </c>
      <c r="Q32" s="396">
        <v>3885</v>
      </c>
      <c r="R32" s="396">
        <v>3966</v>
      </c>
      <c r="S32" s="396">
        <v>4100</v>
      </c>
      <c r="T32" s="396">
        <v>4200</v>
      </c>
      <c r="U32" s="533">
        <v>4290</v>
      </c>
      <c r="V32" s="396">
        <v>4379</v>
      </c>
      <c r="W32" s="396">
        <v>4408</v>
      </c>
      <c r="X32" s="396">
        <v>4457</v>
      </c>
      <c r="Y32" s="396">
        <v>4480</v>
      </c>
      <c r="Z32" s="396">
        <v>4522</v>
      </c>
      <c r="AA32" s="396">
        <v>4497</v>
      </c>
      <c r="AB32" s="396">
        <v>4480</v>
      </c>
      <c r="AC32" s="396">
        <v>4496</v>
      </c>
      <c r="AD32" s="406">
        <v>4538</v>
      </c>
      <c r="AE32" s="406">
        <v>4850.2290000000003</v>
      </c>
      <c r="AF32" s="1026">
        <v>5059.4719999999998</v>
      </c>
      <c r="AG32" s="244">
        <v>2.6946219989443279</v>
      </c>
      <c r="AH32" s="213" t="s">
        <v>92</v>
      </c>
      <c r="AI32" s="542">
        <f t="shared" si="0"/>
        <v>5.0594719999999995</v>
      </c>
      <c r="AM32" s="1026">
        <v>5059.4719999999998</v>
      </c>
      <c r="AN32" s="946" t="s">
        <v>92</v>
      </c>
    </row>
    <row r="33" spans="1:40" s="194" customFormat="1" ht="12.75" customHeight="1">
      <c r="A33" s="212"/>
      <c r="B33" s="221" t="s">
        <v>101</v>
      </c>
      <c r="C33" s="531">
        <v>40</v>
      </c>
      <c r="D33" s="531">
        <v>240</v>
      </c>
      <c r="E33" s="391">
        <v>1292.2829999999999</v>
      </c>
      <c r="F33" s="391">
        <v>1431.566</v>
      </c>
      <c r="G33" s="391">
        <v>1593.029</v>
      </c>
      <c r="H33" s="391">
        <v>1793.0540000000001</v>
      </c>
      <c r="I33" s="391">
        <v>2020.0170000000001</v>
      </c>
      <c r="J33" s="391">
        <v>2197.4769999999999</v>
      </c>
      <c r="K33" s="391">
        <v>2326.1770000000001</v>
      </c>
      <c r="L33" s="391">
        <v>2447.087</v>
      </c>
      <c r="M33" s="391">
        <v>2594.5709999999999</v>
      </c>
      <c r="N33" s="391">
        <v>2702.0210000000002</v>
      </c>
      <c r="O33" s="391">
        <v>2777.5940000000001</v>
      </c>
      <c r="P33" s="391">
        <v>2881.1909999999998</v>
      </c>
      <c r="Q33" s="391">
        <v>2973.39</v>
      </c>
      <c r="R33" s="391">
        <v>3087.6280000000002</v>
      </c>
      <c r="S33" s="391">
        <v>3225.3670000000002</v>
      </c>
      <c r="T33" s="391">
        <v>3363.779</v>
      </c>
      <c r="U33" s="391">
        <v>3603.4369999999999</v>
      </c>
      <c r="V33" s="391">
        <v>3541.2620000000002</v>
      </c>
      <c r="W33" s="391">
        <v>4027.3629999999998</v>
      </c>
      <c r="X33" s="391">
        <v>4244.8999999999996</v>
      </c>
      <c r="Y33" s="391">
        <v>4319.701</v>
      </c>
      <c r="Z33" s="391">
        <v>4334.5469999999996</v>
      </c>
      <c r="AA33" s="391">
        <v>4487.2510000000002</v>
      </c>
      <c r="AB33" s="391">
        <v>4695.66</v>
      </c>
      <c r="AC33" s="391">
        <v>4907.5640000000003</v>
      </c>
      <c r="AD33" s="391">
        <v>5155.0590000000002</v>
      </c>
      <c r="AE33" s="391">
        <v>5472.4229999999998</v>
      </c>
      <c r="AF33" s="1025">
        <v>5998</v>
      </c>
      <c r="AG33" s="239">
        <v>6.1563601890880335</v>
      </c>
      <c r="AH33" s="221" t="s">
        <v>101</v>
      </c>
      <c r="AI33" s="542">
        <f t="shared" si="0"/>
        <v>5.9980000000000002</v>
      </c>
      <c r="AM33" s="1025">
        <v>5998</v>
      </c>
      <c r="AN33" s="767" t="s">
        <v>101</v>
      </c>
    </row>
    <row r="34" spans="1:40" s="235" customFormat="1" ht="12.75" customHeight="1">
      <c r="A34" s="229"/>
      <c r="B34" s="221" t="s">
        <v>88</v>
      </c>
      <c r="C34" s="531">
        <v>2288</v>
      </c>
      <c r="D34" s="531">
        <v>2883</v>
      </c>
      <c r="E34" s="391">
        <v>3601</v>
      </c>
      <c r="F34" s="391">
        <v>3619</v>
      </c>
      <c r="G34" s="391">
        <v>3589</v>
      </c>
      <c r="H34" s="391">
        <v>3566.1</v>
      </c>
      <c r="I34" s="391">
        <v>3594.2</v>
      </c>
      <c r="J34" s="391">
        <v>3630.76</v>
      </c>
      <c r="K34" s="391">
        <v>3654.92</v>
      </c>
      <c r="L34" s="391">
        <v>3701.17</v>
      </c>
      <c r="M34" s="391">
        <v>3790.6950000000002</v>
      </c>
      <c r="N34" s="391">
        <v>3890.1590000000001</v>
      </c>
      <c r="O34" s="391">
        <v>3998.614</v>
      </c>
      <c r="P34" s="391">
        <v>4018.5329999999999</v>
      </c>
      <c r="Q34" s="391">
        <v>4042.7919999999999</v>
      </c>
      <c r="R34" s="534">
        <v>4075.4140000000002</v>
      </c>
      <c r="S34" s="391">
        <v>4113.424</v>
      </c>
      <c r="T34" s="391">
        <v>4153.674</v>
      </c>
      <c r="U34" s="391">
        <v>4202.4629999999997</v>
      </c>
      <c r="V34" s="391">
        <v>4258.4629999999997</v>
      </c>
      <c r="W34" s="391">
        <v>4278.9949999999999</v>
      </c>
      <c r="X34" s="391">
        <v>4300.7520000000004</v>
      </c>
      <c r="Y34" s="391">
        <v>4335.1819999999998</v>
      </c>
      <c r="Z34" s="391">
        <v>4401.3519999999999</v>
      </c>
      <c r="AA34" s="391">
        <v>4447.165</v>
      </c>
      <c r="AB34" s="391">
        <v>4495.473</v>
      </c>
      <c r="AC34" s="391">
        <v>4585.5190000000002</v>
      </c>
      <c r="AD34" s="391">
        <v>4669.0630000000001</v>
      </c>
      <c r="AE34" s="391">
        <v>4768.0600000000004</v>
      </c>
      <c r="AF34" s="1025">
        <v>4844.8230000000003</v>
      </c>
      <c r="AG34" s="239">
        <v>2.1202755242325964</v>
      </c>
      <c r="AH34" s="221" t="s">
        <v>88</v>
      </c>
      <c r="AI34" s="542">
        <f t="shared" si="0"/>
        <v>4.8448229999999999</v>
      </c>
      <c r="AM34" s="1025">
        <v>4844.8230000000003</v>
      </c>
      <c r="AN34" s="767" t="s">
        <v>88</v>
      </c>
    </row>
    <row r="35" spans="1:40" ht="12.75" customHeight="1">
      <c r="A35" s="212"/>
      <c r="B35" s="213" t="s">
        <v>83</v>
      </c>
      <c r="C35" s="532">
        <v>150.80699999999999</v>
      </c>
      <c r="D35" s="532">
        <v>416.44799999999998</v>
      </c>
      <c r="E35" s="396">
        <v>587.10400000000004</v>
      </c>
      <c r="F35" s="396">
        <v>602.88400000000001</v>
      </c>
      <c r="G35" s="396">
        <v>606.245</v>
      </c>
      <c r="H35" s="396">
        <v>650.34400000000005</v>
      </c>
      <c r="I35" s="396">
        <v>668.30700000000002</v>
      </c>
      <c r="J35" s="396">
        <v>711.36400000000003</v>
      </c>
      <c r="K35" s="396">
        <v>743.05700000000002</v>
      </c>
      <c r="L35" s="396">
        <v>776.798</v>
      </c>
      <c r="M35" s="396">
        <v>811.67100000000005</v>
      </c>
      <c r="N35" s="396">
        <v>846.10900000000004</v>
      </c>
      <c r="O35" s="396">
        <v>866.096</v>
      </c>
      <c r="P35" s="396">
        <v>881.48699999999997</v>
      </c>
      <c r="Q35" s="396">
        <v>894.52099999999996</v>
      </c>
      <c r="R35" s="396">
        <v>910.42899999999997</v>
      </c>
      <c r="S35" s="396">
        <v>933.94100000000003</v>
      </c>
      <c r="T35" s="396">
        <v>960.21299999999997</v>
      </c>
      <c r="U35" s="396">
        <v>980.26099999999997</v>
      </c>
      <c r="V35" s="396">
        <v>1014.122</v>
      </c>
      <c r="W35" s="396">
        <v>1045.183</v>
      </c>
      <c r="X35" s="396">
        <v>1058.8579999999999</v>
      </c>
      <c r="Y35" s="396">
        <v>1061.646</v>
      </c>
      <c r="Z35" s="396">
        <v>1066.49</v>
      </c>
      <c r="AA35" s="396">
        <v>1066.028</v>
      </c>
      <c r="AB35" s="396">
        <f>1063.795</f>
        <v>1063.7950000000001</v>
      </c>
      <c r="AC35" s="396">
        <v>1068.3620000000001</v>
      </c>
      <c r="AD35" s="406">
        <v>1078.74</v>
      </c>
      <c r="AE35" s="406">
        <v>1096.5229999999999</v>
      </c>
      <c r="AF35" s="1026">
        <v>1117.9349999999999</v>
      </c>
      <c r="AG35" s="244">
        <v>1.6484973209484934</v>
      </c>
      <c r="AH35" s="213" t="s">
        <v>83</v>
      </c>
      <c r="AI35" s="542">
        <f t="shared" si="0"/>
        <v>1.1179349999999999</v>
      </c>
      <c r="AM35" s="1026">
        <v>1117.9349999999999</v>
      </c>
      <c r="AN35" s="946" t="s">
        <v>83</v>
      </c>
    </row>
    <row r="36" spans="1:40" s="235" customFormat="1" ht="12.75" customHeight="1">
      <c r="A36" s="229"/>
      <c r="B36" s="221" t="s">
        <v>85</v>
      </c>
      <c r="C36" s="531">
        <v>164</v>
      </c>
      <c r="D36" s="531">
        <v>552</v>
      </c>
      <c r="E36" s="391">
        <v>880</v>
      </c>
      <c r="F36" s="391">
        <v>929</v>
      </c>
      <c r="G36" s="391">
        <v>971</v>
      </c>
      <c r="H36" s="391">
        <v>994.93299999999999</v>
      </c>
      <c r="I36" s="391">
        <v>994.04600000000005</v>
      </c>
      <c r="J36" s="391">
        <v>1015.794</v>
      </c>
      <c r="K36" s="391">
        <v>1058.425</v>
      </c>
      <c r="L36" s="391">
        <v>1135.914</v>
      </c>
      <c r="M36" s="391">
        <v>1196.1089999999999</v>
      </c>
      <c r="N36" s="391">
        <v>1236.4000000000001</v>
      </c>
      <c r="O36" s="391">
        <v>1274.2</v>
      </c>
      <c r="P36" s="391">
        <v>1292.8</v>
      </c>
      <c r="Q36" s="391">
        <v>1326.9</v>
      </c>
      <c r="R36" s="391">
        <v>1356.2</v>
      </c>
      <c r="S36" s="391">
        <v>1197.03</v>
      </c>
      <c r="T36" s="391">
        <v>1303.704</v>
      </c>
      <c r="U36" s="391">
        <v>1333.749</v>
      </c>
      <c r="V36" s="391">
        <v>1433.9259999999999</v>
      </c>
      <c r="W36" s="391">
        <v>1544.8879999999999</v>
      </c>
      <c r="X36" s="535">
        <v>1589.0440000000001</v>
      </c>
      <c r="Y36" s="535">
        <v>1669.0650000000001</v>
      </c>
      <c r="Z36" s="535">
        <v>1749.3</v>
      </c>
      <c r="AA36" s="535">
        <v>1824.19</v>
      </c>
      <c r="AB36" s="535">
        <f>1879.759</f>
        <v>1879.759</v>
      </c>
      <c r="AC36" s="535">
        <v>1949.0550000000001</v>
      </c>
      <c r="AD36" s="538">
        <v>2034.5740000000001</v>
      </c>
      <c r="AE36" s="538">
        <v>2121.7739999999999</v>
      </c>
      <c r="AF36" s="1028">
        <v>2223.1170000000002</v>
      </c>
      <c r="AG36" s="536">
        <v>4.2859094827713164</v>
      </c>
      <c r="AH36" s="221" t="s">
        <v>85</v>
      </c>
      <c r="AI36" s="542">
        <f t="shared" si="0"/>
        <v>2.2231170000000002</v>
      </c>
      <c r="AM36" s="1028">
        <v>2223.1170000000002</v>
      </c>
      <c r="AN36" s="767" t="s">
        <v>85</v>
      </c>
    </row>
    <row r="37" spans="1:40" ht="12.75" customHeight="1">
      <c r="A37" s="212"/>
      <c r="B37" s="217" t="s">
        <v>13</v>
      </c>
      <c r="C37" s="537">
        <v>11900</v>
      </c>
      <c r="D37" s="537">
        <v>15619</v>
      </c>
      <c r="E37" s="387">
        <v>20722</v>
      </c>
      <c r="F37" s="387">
        <v>20760</v>
      </c>
      <c r="G37" s="387">
        <v>20970</v>
      </c>
      <c r="H37" s="387">
        <v>21290.696</v>
      </c>
      <c r="I37" s="387">
        <v>21740.708999999999</v>
      </c>
      <c r="J37" s="387">
        <v>21950.81</v>
      </c>
      <c r="K37" s="387">
        <v>22818.718000000001</v>
      </c>
      <c r="L37" s="387">
        <v>23450</v>
      </c>
      <c r="M37" s="387">
        <f>23293+36+592.836+0.393</f>
        <v>23922.228999999999</v>
      </c>
      <c r="N37" s="387">
        <f>23975+37+615.567+0.375</f>
        <v>24627.941999999999</v>
      </c>
      <c r="O37" s="387">
        <f>24406+38+622.488+0.376</f>
        <v>25066.864000000001</v>
      </c>
      <c r="P37" s="387">
        <f>25126+39+650.323+0.379</f>
        <v>25815.702000000001</v>
      </c>
      <c r="Q37" s="387">
        <f>25782+39+671.18+0.413</f>
        <v>26492.593000000001</v>
      </c>
      <c r="R37" s="387">
        <f>26240+39+712.835+0.513</f>
        <v>26992.347999999998</v>
      </c>
      <c r="S37" s="387">
        <f>27028+41+736.706+0.538</f>
        <v>27806.243999999999</v>
      </c>
      <c r="T37" s="387">
        <f>27520+42+763.664+0.633</f>
        <v>28326.297000000002</v>
      </c>
      <c r="U37" s="387">
        <f>27609.2+43+793.763+0.698</f>
        <v>28446.661</v>
      </c>
      <c r="V37" s="387">
        <v>28873.319</v>
      </c>
      <c r="W37" s="387">
        <v>29049.914000000001</v>
      </c>
      <c r="X37" s="387">
        <v>29152.304000000004</v>
      </c>
      <c r="Y37" s="387">
        <v>29333.576000000001</v>
      </c>
      <c r="Z37" s="387">
        <v>29382.213999999996</v>
      </c>
      <c r="AA37" s="387">
        <v>29644.178</v>
      </c>
      <c r="AB37" s="387">
        <f>29140.9+43.473+890.484+0.579</f>
        <v>30075.436000000005</v>
      </c>
      <c r="AC37" s="387">
        <f>29611.5+901.779+0.556+43.322</f>
        <v>30557.156999999999</v>
      </c>
      <c r="AD37" s="386">
        <f>31170.701+0.55+42.797</f>
        <v>31214.047999999999</v>
      </c>
      <c r="AE37" s="386">
        <v>31834.391999999996</v>
      </c>
      <c r="AF37" s="1029">
        <f>40.674+32159.9+0.5</f>
        <v>32201.074000000001</v>
      </c>
      <c r="AG37" s="264">
        <v>1.9873872174477327</v>
      </c>
      <c r="AH37" s="217" t="s">
        <v>13</v>
      </c>
      <c r="AI37" s="542">
        <f t="shared" si="0"/>
        <v>32.201073999999998</v>
      </c>
      <c r="AM37" s="1026">
        <f>40.674+32159.9+0.5</f>
        <v>32201.074000000001</v>
      </c>
      <c r="AN37" s="946" t="s">
        <v>13</v>
      </c>
    </row>
    <row r="38" spans="1:40" ht="12.75" customHeight="1">
      <c r="A38" s="212"/>
      <c r="B38" s="221" t="s">
        <v>270</v>
      </c>
      <c r="C38" s="531"/>
      <c r="D38" s="531"/>
      <c r="E38" s="391"/>
      <c r="F38" s="391"/>
      <c r="G38" s="391"/>
      <c r="H38" s="391">
        <v>56.728000000000002</v>
      </c>
      <c r="I38" s="391">
        <v>67.959999999999994</v>
      </c>
      <c r="J38" s="391">
        <v>58.682000000000002</v>
      </c>
      <c r="K38" s="391">
        <v>67.278000000000006</v>
      </c>
      <c r="L38" s="391">
        <v>76.822000000000003</v>
      </c>
      <c r="M38" s="391">
        <v>90.766000000000005</v>
      </c>
      <c r="N38" s="391">
        <v>92.251999999999995</v>
      </c>
      <c r="O38" s="391">
        <v>114.532</v>
      </c>
      <c r="P38" s="391">
        <v>133.53299999999999</v>
      </c>
      <c r="Q38" s="391">
        <v>148.53100000000001</v>
      </c>
      <c r="R38" s="391">
        <v>174.78200000000001</v>
      </c>
      <c r="S38" s="391">
        <v>190.00399999999999</v>
      </c>
      <c r="T38" s="391">
        <v>195.125</v>
      </c>
      <c r="U38" s="391">
        <v>225.114</v>
      </c>
      <c r="V38" s="391">
        <v>237.93199999999999</v>
      </c>
      <c r="W38" s="391">
        <v>264.82799999999997</v>
      </c>
      <c r="X38" s="411">
        <v>281.23599999999999</v>
      </c>
      <c r="Y38" s="391">
        <v>294.72899999999998</v>
      </c>
      <c r="Z38" s="391">
        <v>300.97399999999999</v>
      </c>
      <c r="AA38" s="391">
        <v>297.34100000000001</v>
      </c>
      <c r="AB38" s="391">
        <v>341.69099999999997</v>
      </c>
      <c r="AC38" s="391">
        <v>378.053</v>
      </c>
      <c r="AD38" s="538">
        <v>403.68</v>
      </c>
      <c r="AE38" s="538"/>
      <c r="AF38" s="538"/>
      <c r="AG38" s="249"/>
      <c r="AH38" s="221" t="s">
        <v>270</v>
      </c>
      <c r="AM38" s="1030"/>
      <c r="AN38" s="991"/>
    </row>
    <row r="39" spans="1:40" ht="12.75" customHeight="1">
      <c r="A39" s="212"/>
      <c r="B39" s="213" t="s">
        <v>223</v>
      </c>
      <c r="C39" s="532"/>
      <c r="D39" s="532"/>
      <c r="E39" s="396"/>
      <c r="F39" s="396"/>
      <c r="G39" s="396"/>
      <c r="H39" s="396"/>
      <c r="I39" s="396"/>
      <c r="J39" s="396"/>
      <c r="K39" s="396"/>
      <c r="L39" s="396"/>
      <c r="M39" s="396"/>
      <c r="N39" s="396"/>
      <c r="O39" s="396"/>
      <c r="P39" s="396"/>
      <c r="Q39" s="396"/>
      <c r="R39" s="396"/>
      <c r="S39" s="396"/>
      <c r="T39" s="396"/>
      <c r="U39" s="396"/>
      <c r="V39" s="396"/>
      <c r="W39" s="396"/>
      <c r="X39" s="396"/>
      <c r="Y39" s="396">
        <v>164.65299999999999</v>
      </c>
      <c r="Z39" s="396">
        <v>171.97300000000001</v>
      </c>
      <c r="AA39" s="396">
        <v>173.86500000000001</v>
      </c>
      <c r="AB39" s="396">
        <v>178.66200000000001</v>
      </c>
      <c r="AC39" s="396">
        <v>174.07300000000001</v>
      </c>
      <c r="AD39" s="406">
        <v>175.91200000000001</v>
      </c>
      <c r="AE39" s="406"/>
      <c r="AF39" s="406"/>
      <c r="AG39" s="288"/>
      <c r="AH39" s="213" t="s">
        <v>223</v>
      </c>
      <c r="AM39" s="1027"/>
      <c r="AN39" s="991"/>
    </row>
    <row r="40" spans="1:40" ht="12.75" customHeight="1">
      <c r="A40" s="212"/>
      <c r="B40" s="221" t="s">
        <v>145</v>
      </c>
      <c r="C40" s="531"/>
      <c r="D40" s="531"/>
      <c r="E40" s="391"/>
      <c r="F40" s="391"/>
      <c r="G40" s="391"/>
      <c r="H40" s="391">
        <v>289.97899999999998</v>
      </c>
      <c r="I40" s="391">
        <v>263.18099999999998</v>
      </c>
      <c r="J40" s="391">
        <v>285.90699999999998</v>
      </c>
      <c r="K40" s="391">
        <v>284.02199999999999</v>
      </c>
      <c r="L40" s="391">
        <v>289.20400000000001</v>
      </c>
      <c r="M40" s="391">
        <v>288.678</v>
      </c>
      <c r="N40" s="391">
        <v>290</v>
      </c>
      <c r="O40" s="391">
        <v>300</v>
      </c>
      <c r="P40" s="391">
        <v>310</v>
      </c>
      <c r="Q40" s="391">
        <v>308</v>
      </c>
      <c r="R40" s="534">
        <v>299.80900000000003</v>
      </c>
      <c r="S40" s="391">
        <v>249.40299999999999</v>
      </c>
      <c r="T40" s="391">
        <v>253.23400000000001</v>
      </c>
      <c r="U40" s="391">
        <v>242.28700000000001</v>
      </c>
      <c r="V40" s="391">
        <f>248.774</f>
        <v>248.774</v>
      </c>
      <c r="W40" s="391">
        <f>263.112</f>
        <v>263.11200000000002</v>
      </c>
      <c r="X40" s="391">
        <f>282.196</f>
        <v>282.19600000000003</v>
      </c>
      <c r="Y40" s="391">
        <v>310.23099999999999</v>
      </c>
      <c r="Z40" s="391">
        <v>313.08</v>
      </c>
      <c r="AA40" s="391">
        <v>301.76100000000002</v>
      </c>
      <c r="AB40" s="391">
        <v>346.798</v>
      </c>
      <c r="AC40" s="391">
        <v>371.44900000000001</v>
      </c>
      <c r="AD40" s="409">
        <v>383.83300000000003</v>
      </c>
      <c r="AE40" s="409"/>
      <c r="AF40" s="409"/>
      <c r="AG40" s="249"/>
      <c r="AH40" s="221" t="s">
        <v>145</v>
      </c>
      <c r="AM40" s="1027"/>
      <c r="AN40" s="991"/>
    </row>
    <row r="41" spans="1:40" ht="12.75" customHeight="1">
      <c r="A41" s="212"/>
      <c r="B41" s="213" t="s">
        <v>224</v>
      </c>
      <c r="C41" s="532"/>
      <c r="D41" s="532"/>
      <c r="E41" s="396"/>
      <c r="F41" s="396"/>
      <c r="G41" s="396"/>
      <c r="H41" s="396"/>
      <c r="I41" s="396"/>
      <c r="J41" s="396"/>
      <c r="K41" s="396"/>
      <c r="L41" s="396"/>
      <c r="M41" s="396"/>
      <c r="N41" s="396"/>
      <c r="O41" s="396"/>
      <c r="P41" s="396">
        <v>1382.396</v>
      </c>
      <c r="Q41" s="396">
        <v>1343.6579999999999</v>
      </c>
      <c r="R41" s="396">
        <v>1388.1089999999999</v>
      </c>
      <c r="S41" s="396">
        <v>1449.8430000000001</v>
      </c>
      <c r="T41" s="396">
        <v>1481.498</v>
      </c>
      <c r="U41" s="396">
        <v>1511.837</v>
      </c>
      <c r="V41" s="396">
        <v>1476.6420000000001</v>
      </c>
      <c r="W41" s="396">
        <v>1486.6079999999999</v>
      </c>
      <c r="X41" s="396">
        <v>1637.002</v>
      </c>
      <c r="Y41" s="396">
        <v>1565.55</v>
      </c>
      <c r="Z41" s="396">
        <v>1677.51</v>
      </c>
      <c r="AA41" s="396">
        <v>1726.19</v>
      </c>
      <c r="AB41" s="396">
        <v>1770.2059999999999</v>
      </c>
      <c r="AC41" s="396">
        <v>1797.4269999999999</v>
      </c>
      <c r="AD41" s="406">
        <v>1834.89</v>
      </c>
      <c r="AE41" s="406"/>
      <c r="AF41" s="406"/>
      <c r="AG41" s="288"/>
      <c r="AH41" s="213" t="s">
        <v>224</v>
      </c>
      <c r="AM41" s="1027"/>
      <c r="AN41" s="991"/>
    </row>
    <row r="42" spans="1:40" ht="12.75" customHeight="1">
      <c r="A42" s="212"/>
      <c r="B42" s="256" t="s">
        <v>146</v>
      </c>
      <c r="C42" s="539" t="s">
        <v>99</v>
      </c>
      <c r="D42" s="539" t="s">
        <v>99</v>
      </c>
      <c r="E42" s="402"/>
      <c r="F42" s="402"/>
      <c r="G42" s="402"/>
      <c r="H42" s="402">
        <v>2619.8519999999999</v>
      </c>
      <c r="I42" s="402">
        <v>2861.64</v>
      </c>
      <c r="J42" s="402">
        <v>3058.5110000000004</v>
      </c>
      <c r="K42" s="402">
        <v>3274.1559999999999</v>
      </c>
      <c r="L42" s="402">
        <v>3570.105</v>
      </c>
      <c r="M42" s="402">
        <v>3838.288</v>
      </c>
      <c r="N42" s="402">
        <v>4072.326</v>
      </c>
      <c r="O42" s="402">
        <v>4422.18</v>
      </c>
      <c r="P42" s="402">
        <v>4534.8029999999999</v>
      </c>
      <c r="Q42" s="402">
        <v>4600.1400000000003</v>
      </c>
      <c r="R42" s="402">
        <v>4700.3429999999998</v>
      </c>
      <c r="S42" s="402">
        <v>5400.44</v>
      </c>
      <c r="T42" s="402">
        <v>5772.7449999999999</v>
      </c>
      <c r="U42" s="402">
        <v>6140.9920000000002</v>
      </c>
      <c r="V42" s="402">
        <v>6472.1559999999999</v>
      </c>
      <c r="W42" s="402">
        <v>6796.6289999999999</v>
      </c>
      <c r="X42" s="402">
        <f>7093.964</f>
        <v>7093.9639999999999</v>
      </c>
      <c r="Y42" s="402">
        <f>7544.871</f>
        <v>7544.8710000000001</v>
      </c>
      <c r="Z42" s="402">
        <v>8113.1109999999999</v>
      </c>
      <c r="AA42" s="402">
        <v>8648.875</v>
      </c>
      <c r="AB42" s="402">
        <f>9283.923</f>
        <v>9283.9230000000007</v>
      </c>
      <c r="AC42" s="402">
        <v>9857.9150000000009</v>
      </c>
      <c r="AD42" s="401">
        <v>10589.337</v>
      </c>
      <c r="AE42" s="401"/>
      <c r="AF42" s="401"/>
      <c r="AG42" s="540"/>
      <c r="AH42" s="256" t="s">
        <v>146</v>
      </c>
      <c r="AM42" s="1027"/>
      <c r="AN42" s="991"/>
    </row>
    <row r="43" spans="1:40" ht="12.75" customHeight="1">
      <c r="A43" s="212"/>
      <c r="B43" s="378" t="s">
        <v>147</v>
      </c>
      <c r="C43" s="541">
        <v>40.786000000000001</v>
      </c>
      <c r="D43" s="541">
        <v>85.924000000000007</v>
      </c>
      <c r="E43" s="455">
        <v>119.73099999999999</v>
      </c>
      <c r="F43" s="455">
        <v>120.86199999999999</v>
      </c>
      <c r="G43" s="455">
        <v>120.146</v>
      </c>
      <c r="H43" s="455">
        <v>116.19499999999999</v>
      </c>
      <c r="I43" s="455">
        <v>116.24299999999999</v>
      </c>
      <c r="J43" s="455">
        <v>119.232</v>
      </c>
      <c r="K43" s="455">
        <v>124.90900000000001</v>
      </c>
      <c r="L43" s="455">
        <v>132.46799999999999</v>
      </c>
      <c r="M43" s="455">
        <v>140.37200000000001</v>
      </c>
      <c r="N43" s="455">
        <v>151.40899999999999</v>
      </c>
      <c r="O43" s="455">
        <v>158.93600000000001</v>
      </c>
      <c r="P43" s="455">
        <v>159.86500000000001</v>
      </c>
      <c r="Q43" s="455">
        <v>161.721</v>
      </c>
      <c r="R43" s="455">
        <v>166.869</v>
      </c>
      <c r="S43" s="455">
        <v>175.42699999999999</v>
      </c>
      <c r="T43" s="455">
        <v>187.44200000000001</v>
      </c>
      <c r="U43" s="455">
        <v>197.30500000000001</v>
      </c>
      <c r="V43" s="455">
        <v>207.51300000000001</v>
      </c>
      <c r="W43" s="455">
        <v>209.74</v>
      </c>
      <c r="X43" s="455">
        <v>205.33799999999999</v>
      </c>
      <c r="Y43" s="455">
        <v>204.73599999999999</v>
      </c>
      <c r="Z43" s="455">
        <f>206.112</f>
        <v>206.11199999999999</v>
      </c>
      <c r="AA43" s="455">
        <f>210.07</f>
        <v>210.07</v>
      </c>
      <c r="AB43" s="455">
        <v>213.113</v>
      </c>
      <c r="AC43" s="455">
        <v>217.45400000000001</v>
      </c>
      <c r="AD43" s="456">
        <v>226.321</v>
      </c>
      <c r="AE43" s="456"/>
      <c r="AF43" s="456"/>
      <c r="AG43" s="299"/>
      <c r="AH43" s="378" t="s">
        <v>147</v>
      </c>
      <c r="AM43" s="1031"/>
      <c r="AN43" s="991"/>
    </row>
    <row r="44" spans="1:40" ht="12.75" customHeight="1">
      <c r="A44" s="212"/>
      <c r="B44" s="221" t="s">
        <v>148</v>
      </c>
      <c r="C44" s="531">
        <v>690</v>
      </c>
      <c r="D44" s="531">
        <v>1230</v>
      </c>
      <c r="E44" s="391">
        <v>1613.037</v>
      </c>
      <c r="F44" s="391">
        <v>1614.623</v>
      </c>
      <c r="G44" s="391">
        <v>1619.4380000000001</v>
      </c>
      <c r="H44" s="391">
        <v>1633.088</v>
      </c>
      <c r="I44" s="391">
        <v>1653.6780000000001</v>
      </c>
      <c r="J44" s="391">
        <v>1684.664</v>
      </c>
      <c r="K44" s="391">
        <v>1661.2470000000001</v>
      </c>
      <c r="L44" s="391">
        <v>1758.001</v>
      </c>
      <c r="M44" s="391">
        <v>1786.404</v>
      </c>
      <c r="N44" s="391">
        <v>1813.6420000000001</v>
      </c>
      <c r="O44" s="391">
        <v>1851.9290000000001</v>
      </c>
      <c r="P44" s="391">
        <v>1872.8620000000001</v>
      </c>
      <c r="Q44" s="391">
        <v>1899.7670000000001</v>
      </c>
      <c r="R44" s="391">
        <v>1933.66</v>
      </c>
      <c r="S44" s="391">
        <v>1977.922</v>
      </c>
      <c r="T44" s="391">
        <v>2028.9090000000001</v>
      </c>
      <c r="U44" s="391">
        <v>2084.1930000000002</v>
      </c>
      <c r="V44" s="391">
        <v>2154.837</v>
      </c>
      <c r="W44" s="391">
        <v>2197.1930000000002</v>
      </c>
      <c r="X44" s="391">
        <v>2244</v>
      </c>
      <c r="Y44" s="391">
        <v>2308.5479999999998</v>
      </c>
      <c r="Z44" s="391">
        <v>2376</v>
      </c>
      <c r="AA44" s="391">
        <v>2443</v>
      </c>
      <c r="AB44" s="391">
        <f>2500.265</f>
        <v>2500.2649999999999</v>
      </c>
      <c r="AC44" s="391">
        <v>2555.4430000000002</v>
      </c>
      <c r="AD44" s="409">
        <v>2610.3519999999999</v>
      </c>
      <c r="AE44" s="409"/>
      <c r="AF44" s="409"/>
      <c r="AG44" s="249"/>
      <c r="AH44" s="221" t="s">
        <v>148</v>
      </c>
      <c r="AM44" s="1027"/>
      <c r="AN44" s="991"/>
    </row>
    <row r="45" spans="1:40" ht="12.75" customHeight="1">
      <c r="A45" s="212"/>
      <c r="B45" s="213" t="s">
        <v>149</v>
      </c>
      <c r="C45" s="532">
        <v>1383.204</v>
      </c>
      <c r="D45" s="532">
        <v>2246.752</v>
      </c>
      <c r="E45" s="396">
        <v>2985.3969999999999</v>
      </c>
      <c r="F45" s="396">
        <v>3057.7979999999998</v>
      </c>
      <c r="G45" s="396">
        <v>3091.2280000000001</v>
      </c>
      <c r="H45" s="396">
        <v>3109.5230000000001</v>
      </c>
      <c r="I45" s="396">
        <v>3165.0419999999999</v>
      </c>
      <c r="J45" s="396">
        <v>3229.1759999999999</v>
      </c>
      <c r="K45" s="396">
        <v>3268.0929999999998</v>
      </c>
      <c r="L45" s="396">
        <v>3323.4549999999999</v>
      </c>
      <c r="M45" s="396">
        <v>3383.3069999999998</v>
      </c>
      <c r="N45" s="396">
        <v>3467.3110000000001</v>
      </c>
      <c r="O45" s="396">
        <v>3545.2469999999998</v>
      </c>
      <c r="P45" s="396">
        <v>3629.7130000000002</v>
      </c>
      <c r="Q45" s="396">
        <v>3700.951</v>
      </c>
      <c r="R45" s="396">
        <v>3753.89</v>
      </c>
      <c r="S45" s="396">
        <v>3811.3510000000001</v>
      </c>
      <c r="T45" s="396">
        <v>3861.442</v>
      </c>
      <c r="U45" s="396">
        <v>3900.0140000000001</v>
      </c>
      <c r="V45" s="396">
        <v>3955.7869999999998</v>
      </c>
      <c r="W45" s="396">
        <v>3989.8110000000001</v>
      </c>
      <c r="X45" s="396">
        <f>4009.602</f>
        <v>4009.6019999999999</v>
      </c>
      <c r="Y45" s="396">
        <v>4075.8249999999998</v>
      </c>
      <c r="Z45" s="396">
        <v>4163</v>
      </c>
      <c r="AA45" s="396">
        <v>4255</v>
      </c>
      <c r="AB45" s="396">
        <v>4320.8850000000002</v>
      </c>
      <c r="AC45" s="396">
        <v>4384.49</v>
      </c>
      <c r="AD45" s="406">
        <v>4458.0690000000004</v>
      </c>
      <c r="AE45" s="406"/>
      <c r="AF45" s="406"/>
      <c r="AG45" s="288"/>
      <c r="AH45" s="213" t="s">
        <v>149</v>
      </c>
      <c r="AM45" s="1027"/>
      <c r="AN45" s="991"/>
    </row>
    <row r="46" spans="1:40" ht="12.75" customHeight="1">
      <c r="A46" s="212"/>
      <c r="B46" s="256" t="s">
        <v>199</v>
      </c>
      <c r="C46" s="539"/>
      <c r="D46" s="539"/>
      <c r="E46" s="402">
        <v>16.890999999999998</v>
      </c>
      <c r="F46" s="402">
        <v>17.327999999999999</v>
      </c>
      <c r="G46" s="402">
        <v>17.678999999999998</v>
      </c>
      <c r="H46" s="402">
        <v>17.766999999999999</v>
      </c>
      <c r="I46" s="402">
        <v>18.256</v>
      </c>
      <c r="J46" s="402">
        <v>18.82</v>
      </c>
      <c r="K46" s="402">
        <v>19.309999999999999</v>
      </c>
      <c r="L46" s="402">
        <v>19.925999999999998</v>
      </c>
      <c r="M46" s="402">
        <v>20.469000000000001</v>
      </c>
      <c r="N46" s="402">
        <v>21.15</v>
      </c>
      <c r="O46" s="402">
        <v>21.783999999999999</v>
      </c>
      <c r="P46" s="402">
        <v>22.626000000000001</v>
      </c>
      <c r="Q46" s="402">
        <v>23.265000000000001</v>
      </c>
      <c r="R46" s="402">
        <v>23.524000000000001</v>
      </c>
      <c r="S46" s="402">
        <v>23.934999999999999</v>
      </c>
      <c r="T46" s="402">
        <v>24.393000000000001</v>
      </c>
      <c r="U46" s="402">
        <v>24.292999999999999</v>
      </c>
      <c r="V46" s="402">
        <v>24.367999999999999</v>
      </c>
      <c r="W46" s="402">
        <v>25.462</v>
      </c>
      <c r="X46" s="402">
        <f>25.909</f>
        <v>25.908999999999999</v>
      </c>
      <c r="Y46" s="402">
        <v>26.89</v>
      </c>
      <c r="Z46" s="402">
        <v>27.327000000000002</v>
      </c>
      <c r="AA46" s="402">
        <v>28.004000000000001</v>
      </c>
      <c r="AB46" s="402">
        <v>28.102</v>
      </c>
      <c r="AC46" s="402">
        <v>28.474</v>
      </c>
      <c r="AD46" s="401">
        <v>28.802</v>
      </c>
      <c r="AE46" s="401"/>
      <c r="AF46" s="401"/>
      <c r="AG46" s="540"/>
      <c r="AH46" s="256" t="s">
        <v>199</v>
      </c>
      <c r="AM46" s="1031"/>
      <c r="AN46" s="991"/>
    </row>
    <row r="47" spans="1:40" ht="17.25" customHeight="1">
      <c r="B47" s="1140" t="s">
        <v>200</v>
      </c>
      <c r="C47" s="1170"/>
      <c r="D47" s="1170"/>
      <c r="E47" s="1170"/>
      <c r="F47" s="1170"/>
      <c r="G47" s="1170"/>
      <c r="H47" s="1170"/>
      <c r="I47" s="1170"/>
      <c r="J47" s="1170"/>
      <c r="K47" s="1170"/>
      <c r="L47" s="1170"/>
      <c r="M47" s="1170"/>
      <c r="N47" s="1170"/>
      <c r="O47" s="1170"/>
      <c r="P47" s="1170"/>
      <c r="Q47" s="1170"/>
      <c r="R47" s="1170"/>
      <c r="S47" s="1170"/>
      <c r="T47" s="1170"/>
      <c r="U47" s="1170"/>
      <c r="V47" s="1170"/>
      <c r="W47" s="1170"/>
      <c r="X47" s="1170"/>
      <c r="Y47" s="1170"/>
      <c r="Z47" s="1170"/>
      <c r="AA47" s="1170"/>
      <c r="AB47" s="1170"/>
      <c r="AC47" s="1170"/>
      <c r="AD47" s="1170"/>
      <c r="AE47" s="1170"/>
      <c r="AF47" s="1170"/>
      <c r="AG47" s="1170"/>
      <c r="AH47" s="1170"/>
    </row>
    <row r="48" spans="1:40" ht="12.75" customHeight="1">
      <c r="B48" s="1171" t="s">
        <v>166</v>
      </c>
      <c r="C48" s="1172"/>
      <c r="D48" s="1172"/>
      <c r="E48" s="1172"/>
      <c r="F48" s="1172"/>
      <c r="G48" s="1172"/>
      <c r="H48" s="1172"/>
      <c r="I48" s="1172"/>
      <c r="J48" s="1172"/>
      <c r="K48" s="1172"/>
      <c r="L48" s="1172"/>
      <c r="M48" s="1172"/>
      <c r="N48" s="1172"/>
      <c r="O48" s="1172"/>
      <c r="P48" s="1172"/>
      <c r="Q48" s="1172"/>
      <c r="R48" s="1172"/>
      <c r="S48" s="1172"/>
      <c r="T48" s="1172"/>
      <c r="U48" s="1172"/>
      <c r="V48" s="1172"/>
      <c r="W48" s="1172"/>
      <c r="X48" s="1172"/>
      <c r="Y48" s="1172"/>
      <c r="Z48" s="1172"/>
      <c r="AA48" s="1172"/>
      <c r="AB48" s="1172"/>
      <c r="AC48" s="1172"/>
      <c r="AD48" s="1172"/>
      <c r="AE48" s="1172"/>
      <c r="AF48" s="1172"/>
      <c r="AG48" s="1172"/>
      <c r="AH48" s="1163"/>
    </row>
    <row r="49" spans="2:34" ht="12.75" customHeight="1">
      <c r="B49" s="1172" t="s">
        <v>245</v>
      </c>
      <c r="C49" s="1172"/>
      <c r="D49" s="1172"/>
      <c r="E49" s="1172"/>
      <c r="F49" s="1172"/>
      <c r="G49" s="1172"/>
      <c r="H49" s="1172"/>
      <c r="I49" s="1172"/>
      <c r="J49" s="1172"/>
      <c r="K49" s="1172"/>
      <c r="L49" s="1172"/>
      <c r="M49" s="1172"/>
      <c r="N49" s="1172"/>
      <c r="O49" s="1172"/>
      <c r="P49" s="1172"/>
      <c r="Q49" s="1172"/>
      <c r="R49" s="1172"/>
      <c r="S49" s="1172"/>
      <c r="T49" s="1172"/>
      <c r="U49" s="1172"/>
      <c r="V49" s="1172"/>
      <c r="W49" s="1172"/>
      <c r="X49" s="1172"/>
      <c r="Y49" s="1172"/>
      <c r="Z49" s="1172"/>
      <c r="AA49" s="1172"/>
      <c r="AB49" s="1172"/>
      <c r="AC49" s="1172"/>
      <c r="AD49" s="1172"/>
      <c r="AE49" s="1172"/>
      <c r="AF49" s="1172"/>
      <c r="AG49" s="1172"/>
      <c r="AH49" s="1163"/>
    </row>
    <row r="50" spans="2:34" ht="12.75" customHeight="1">
      <c r="B50" s="190" t="s">
        <v>201</v>
      </c>
      <c r="P50" s="190"/>
      <c r="Q50" s="190"/>
      <c r="R50" s="190"/>
      <c r="S50" s="190"/>
      <c r="T50" s="190"/>
      <c r="U50" s="190"/>
      <c r="V50" s="190"/>
      <c r="W50" s="190"/>
      <c r="X50" s="190"/>
      <c r="Y50" s="190"/>
      <c r="AC50" s="190"/>
    </row>
    <row r="51" spans="2:34">
      <c r="B51" s="190" t="s">
        <v>250</v>
      </c>
      <c r="P51" s="190"/>
      <c r="Q51" s="190"/>
      <c r="R51" s="190"/>
      <c r="S51" s="190"/>
      <c r="T51" s="190"/>
      <c r="U51" s="190"/>
      <c r="V51" s="190"/>
      <c r="W51" s="190"/>
      <c r="X51" s="190"/>
      <c r="Y51" s="190"/>
      <c r="AC51" s="190"/>
    </row>
    <row r="52" spans="2:34">
      <c r="P52" s="190"/>
      <c r="Q52" s="190"/>
      <c r="R52" s="190"/>
      <c r="S52" s="190"/>
      <c r="T52" s="190"/>
      <c r="U52" s="190"/>
      <c r="V52" s="190"/>
      <c r="W52" s="190"/>
      <c r="X52" s="190"/>
      <c r="Y52" s="190"/>
      <c r="AC52" s="190"/>
    </row>
    <row r="53" spans="2:34">
      <c r="P53" s="190"/>
      <c r="Q53" s="190"/>
      <c r="R53" s="190"/>
      <c r="S53" s="190"/>
      <c r="T53" s="190"/>
      <c r="U53" s="190"/>
      <c r="V53" s="190"/>
      <c r="W53" s="190"/>
      <c r="X53" s="190"/>
      <c r="Y53" s="190"/>
      <c r="AC53" s="190"/>
    </row>
    <row r="54" spans="2:34">
      <c r="P54" s="190"/>
      <c r="Q54" s="190"/>
      <c r="R54" s="190"/>
      <c r="S54" s="190"/>
      <c r="T54" s="190"/>
      <c r="U54" s="190"/>
      <c r="V54" s="190"/>
      <c r="W54" s="190"/>
      <c r="X54" s="190"/>
      <c r="Y54" s="190"/>
      <c r="AC54" s="190"/>
    </row>
    <row r="55" spans="2:34">
      <c r="P55" s="190"/>
      <c r="Q55" s="190"/>
      <c r="R55" s="190"/>
      <c r="S55" s="190"/>
      <c r="T55" s="190"/>
      <c r="U55" s="190"/>
      <c r="V55" s="190"/>
      <c r="W55" s="190"/>
      <c r="X55" s="190"/>
      <c r="Y55" s="190"/>
      <c r="AC55" s="190"/>
    </row>
    <row r="56" spans="2:34">
      <c r="P56" s="190"/>
      <c r="Q56" s="190"/>
      <c r="R56" s="190"/>
      <c r="S56" s="190"/>
      <c r="T56" s="190"/>
      <c r="U56" s="190"/>
      <c r="V56" s="190"/>
      <c r="W56" s="190"/>
      <c r="X56" s="190"/>
      <c r="Y56" s="190"/>
      <c r="AC56" s="190"/>
    </row>
    <row r="57" spans="2:34">
      <c r="P57" s="190"/>
      <c r="Q57" s="190"/>
      <c r="R57" s="190"/>
      <c r="S57" s="190"/>
      <c r="T57" s="190"/>
      <c r="U57" s="190"/>
      <c r="V57" s="190"/>
      <c r="W57" s="190"/>
      <c r="X57" s="190"/>
      <c r="Y57" s="190"/>
      <c r="AC57" s="190"/>
    </row>
    <row r="58" spans="2:34">
      <c r="P58" s="190"/>
      <c r="Q58" s="190"/>
      <c r="R58" s="190"/>
      <c r="S58" s="190"/>
      <c r="T58" s="190"/>
      <c r="U58" s="190"/>
      <c r="V58" s="190"/>
      <c r="W58" s="190"/>
      <c r="X58" s="190"/>
      <c r="Y58" s="190"/>
      <c r="AC58" s="190"/>
    </row>
    <row r="59" spans="2:34">
      <c r="P59" s="190"/>
      <c r="Q59" s="190"/>
      <c r="R59" s="190"/>
      <c r="S59" s="190"/>
      <c r="T59" s="190"/>
      <c r="U59" s="190"/>
      <c r="V59" s="190"/>
      <c r="W59" s="190"/>
      <c r="X59" s="190"/>
      <c r="Y59" s="190"/>
      <c r="AC59" s="190"/>
    </row>
    <row r="60" spans="2:34">
      <c r="P60" s="190"/>
      <c r="Q60" s="190"/>
      <c r="R60" s="190"/>
      <c r="S60" s="190"/>
      <c r="T60" s="190"/>
      <c r="U60" s="190"/>
      <c r="V60" s="190"/>
      <c r="W60" s="190"/>
      <c r="X60" s="190"/>
      <c r="Y60" s="190"/>
      <c r="AC60" s="190"/>
    </row>
    <row r="61" spans="2:34">
      <c r="P61" s="190"/>
      <c r="Q61" s="190"/>
      <c r="R61" s="190"/>
      <c r="S61" s="190"/>
      <c r="T61" s="190"/>
      <c r="U61" s="190"/>
      <c r="V61" s="190"/>
      <c r="W61" s="190"/>
      <c r="X61" s="190"/>
      <c r="Y61" s="190"/>
      <c r="AC61" s="190"/>
    </row>
    <row r="62" spans="2:34">
      <c r="P62" s="190"/>
      <c r="Q62" s="190"/>
      <c r="R62" s="190"/>
      <c r="S62" s="190"/>
      <c r="T62" s="190"/>
      <c r="U62" s="190"/>
      <c r="V62" s="190"/>
      <c r="W62" s="190"/>
      <c r="X62" s="190"/>
      <c r="Y62" s="190"/>
      <c r="AC62" s="190"/>
    </row>
    <row r="63" spans="2:34">
      <c r="P63" s="190"/>
      <c r="Q63" s="190"/>
      <c r="R63" s="190"/>
      <c r="S63" s="190"/>
      <c r="T63" s="190"/>
      <c r="U63" s="190"/>
      <c r="V63" s="190"/>
      <c r="W63" s="190"/>
      <c r="X63" s="190"/>
      <c r="Y63" s="190"/>
      <c r="AC63" s="190"/>
    </row>
    <row r="64" spans="2:34">
      <c r="P64" s="190"/>
      <c r="Q64" s="190"/>
      <c r="R64" s="190"/>
      <c r="S64" s="190"/>
      <c r="T64" s="190"/>
      <c r="U64" s="190"/>
      <c r="V64" s="190"/>
      <c r="W64" s="190"/>
      <c r="X64" s="190"/>
      <c r="Y64" s="190"/>
      <c r="AC64" s="190"/>
    </row>
    <row r="65" spans="16:29">
      <c r="P65" s="190"/>
      <c r="Q65" s="190"/>
      <c r="R65" s="190"/>
      <c r="S65" s="190"/>
      <c r="T65" s="190"/>
      <c r="U65" s="190"/>
      <c r="V65" s="190"/>
      <c r="W65" s="190"/>
      <c r="X65" s="190"/>
      <c r="Y65" s="190"/>
      <c r="AC65" s="190"/>
    </row>
    <row r="66" spans="16:29">
      <c r="P66" s="190"/>
      <c r="Q66" s="190"/>
      <c r="R66" s="190"/>
      <c r="S66" s="190"/>
      <c r="T66" s="190"/>
      <c r="U66" s="190"/>
      <c r="V66" s="190"/>
      <c r="W66" s="190"/>
      <c r="X66" s="190"/>
      <c r="Y66" s="190"/>
      <c r="AC66" s="190"/>
    </row>
    <row r="67" spans="16:29">
      <c r="P67" s="190"/>
      <c r="Q67" s="190"/>
      <c r="R67" s="190"/>
      <c r="S67" s="190"/>
      <c r="T67" s="190"/>
      <c r="U67" s="190"/>
      <c r="V67" s="190"/>
      <c r="W67" s="190"/>
      <c r="X67" s="190"/>
      <c r="Y67" s="190"/>
      <c r="AC67" s="190"/>
    </row>
    <row r="68" spans="16:29">
      <c r="P68" s="190"/>
      <c r="Q68" s="190"/>
      <c r="R68" s="190"/>
      <c r="S68" s="190"/>
      <c r="T68" s="190"/>
      <c r="U68" s="190"/>
      <c r="V68" s="190"/>
      <c r="W68" s="190"/>
      <c r="X68" s="190"/>
      <c r="Y68" s="190"/>
      <c r="AC68" s="190"/>
    </row>
    <row r="69" spans="16:29">
      <c r="P69" s="190"/>
      <c r="Q69" s="190"/>
      <c r="R69" s="190"/>
      <c r="S69" s="190"/>
      <c r="T69" s="190"/>
      <c r="U69" s="190"/>
      <c r="V69" s="190"/>
      <c r="W69" s="190"/>
      <c r="X69" s="190"/>
      <c r="Y69" s="190"/>
      <c r="AC69" s="190"/>
    </row>
    <row r="70" spans="16:29">
      <c r="P70" s="190"/>
      <c r="Q70" s="190"/>
      <c r="R70" s="190"/>
      <c r="S70" s="190"/>
      <c r="T70" s="190"/>
      <c r="U70" s="190"/>
      <c r="V70" s="190"/>
      <c r="W70" s="190"/>
      <c r="X70" s="190"/>
      <c r="Y70" s="190"/>
      <c r="AC70" s="190"/>
    </row>
    <row r="71" spans="16:29">
      <c r="P71" s="190"/>
      <c r="Q71" s="190"/>
      <c r="R71" s="190"/>
      <c r="S71" s="190"/>
      <c r="T71" s="190"/>
      <c r="U71" s="190"/>
      <c r="V71" s="190"/>
      <c r="W71" s="190"/>
      <c r="X71" s="190"/>
      <c r="Y71" s="190"/>
      <c r="AC71" s="190"/>
    </row>
  </sheetData>
  <mergeCells count="5">
    <mergeCell ref="B2:AH2"/>
    <mergeCell ref="B3:AH3"/>
    <mergeCell ref="B47:AH47"/>
    <mergeCell ref="B48:AH48"/>
    <mergeCell ref="B49:AH49"/>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4"/>
  <sheetViews>
    <sheetView zoomScaleNormal="100" workbookViewId="0">
      <selection activeCell="AK11" sqref="AK11"/>
    </sheetView>
  </sheetViews>
  <sheetFormatPr defaultRowHeight="11.25"/>
  <cols>
    <col min="1" max="1" width="3.7109375" style="190" customWidth="1"/>
    <col min="2" max="2" width="4" style="190" customWidth="1"/>
    <col min="3" max="3" width="6.7109375" style="271" hidden="1" customWidth="1"/>
    <col min="4" max="5" width="7.5703125" style="271" hidden="1" customWidth="1"/>
    <col min="6" max="18" width="7.5703125" style="190" hidden="1" customWidth="1"/>
    <col min="19" max="19" width="8.7109375" style="190" hidden="1" customWidth="1"/>
    <col min="20" max="20" width="8.5703125" style="190" hidden="1" customWidth="1"/>
    <col min="21" max="28" width="7.7109375" style="190" customWidth="1"/>
    <col min="29" max="29" width="7.7109375" style="271" customWidth="1"/>
    <col min="30" max="32" width="7.7109375" style="190" customWidth="1"/>
    <col min="33" max="33" width="6" style="190" bestFit="1" customWidth="1"/>
    <col min="34" max="34" width="4.85546875" style="190" customWidth="1"/>
    <col min="35" max="16384" width="9.140625" style="190"/>
  </cols>
  <sheetData>
    <row r="1" spans="1:39" ht="14.25" customHeight="1">
      <c r="B1" s="1153"/>
      <c r="C1" s="1153"/>
      <c r="D1" s="543"/>
      <c r="E1" s="544"/>
      <c r="F1" s="337"/>
      <c r="G1" s="337"/>
      <c r="H1" s="337"/>
      <c r="I1" s="337"/>
      <c r="J1" s="337"/>
      <c r="K1" s="337"/>
      <c r="L1" s="337"/>
      <c r="M1" s="337"/>
      <c r="N1" s="337"/>
      <c r="O1" s="337"/>
      <c r="P1" s="337"/>
      <c r="AH1" s="191" t="s">
        <v>131</v>
      </c>
    </row>
    <row r="2" spans="1:39" s="194" customFormat="1" ht="30" customHeight="1">
      <c r="B2" s="1135" t="s">
        <v>202</v>
      </c>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c r="AH2" s="1135"/>
    </row>
    <row r="3" spans="1:39" s="545" customFormat="1" ht="15" customHeight="1">
      <c r="B3" s="1174" t="s">
        <v>197</v>
      </c>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row>
    <row r="4" spans="1:39" ht="12.75" customHeight="1">
      <c r="B4" s="202"/>
      <c r="C4" s="202"/>
      <c r="E4" s="265"/>
      <c r="F4" s="265"/>
      <c r="G4" s="265"/>
      <c r="H4" s="265"/>
      <c r="I4" s="265"/>
      <c r="J4" s="435"/>
      <c r="K4" s="435"/>
      <c r="L4" s="435"/>
      <c r="M4" s="435"/>
      <c r="N4" s="435"/>
      <c r="O4" s="435"/>
      <c r="W4" s="546"/>
      <c r="X4" s="546" t="s">
        <v>198</v>
      </c>
      <c r="Y4" s="195"/>
      <c r="Z4" s="195"/>
      <c r="AA4" s="195"/>
      <c r="AB4" s="195"/>
      <c r="AC4" s="195"/>
      <c r="AD4" s="195"/>
      <c r="AE4" s="195"/>
      <c r="AF4" s="195"/>
      <c r="AH4" s="195"/>
    </row>
    <row r="5" spans="1:39" ht="20.100000000000001" customHeight="1">
      <c r="B5" s="198"/>
      <c r="C5" s="458">
        <v>1970</v>
      </c>
      <c r="D5" s="199">
        <v>1980</v>
      </c>
      <c r="E5" s="200">
        <v>1990</v>
      </c>
      <c r="F5" s="200">
        <v>1991</v>
      </c>
      <c r="G5" s="200">
        <v>1992</v>
      </c>
      <c r="H5" s="200">
        <v>1993</v>
      </c>
      <c r="I5" s="200">
        <v>1994</v>
      </c>
      <c r="J5" s="200">
        <v>1995</v>
      </c>
      <c r="K5" s="200">
        <v>1996</v>
      </c>
      <c r="L5" s="200">
        <v>1997</v>
      </c>
      <c r="M5" s="200">
        <v>1998</v>
      </c>
      <c r="N5" s="200">
        <v>1999</v>
      </c>
      <c r="O5" s="200">
        <v>2000</v>
      </c>
      <c r="P5" s="200">
        <v>2001</v>
      </c>
      <c r="Q5" s="200">
        <v>2002</v>
      </c>
      <c r="R5" s="200">
        <v>2003</v>
      </c>
      <c r="S5" s="200">
        <v>2004</v>
      </c>
      <c r="T5" s="200">
        <v>2005</v>
      </c>
      <c r="U5" s="200">
        <v>2006</v>
      </c>
      <c r="V5" s="200">
        <v>2007</v>
      </c>
      <c r="W5" s="200">
        <v>2008</v>
      </c>
      <c r="X5" s="200">
        <v>2009</v>
      </c>
      <c r="Y5" s="200">
        <v>2010</v>
      </c>
      <c r="Z5" s="200">
        <v>2011</v>
      </c>
      <c r="AA5" s="200">
        <v>2012</v>
      </c>
      <c r="AB5" s="200">
        <v>2013</v>
      </c>
      <c r="AC5" s="200">
        <v>2014</v>
      </c>
      <c r="AD5" s="200">
        <v>2015</v>
      </c>
      <c r="AE5" s="200">
        <v>2016</v>
      </c>
      <c r="AF5" s="780">
        <v>2017</v>
      </c>
      <c r="AG5" s="514" t="s">
        <v>323</v>
      </c>
      <c r="AH5" s="272"/>
    </row>
    <row r="6" spans="1:39" ht="9.9499999999999993" customHeight="1">
      <c r="B6" s="203"/>
      <c r="C6" s="515"/>
      <c r="D6" s="273"/>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547" t="s">
        <v>143</v>
      </c>
      <c r="AH6" s="272"/>
    </row>
    <row r="7" spans="1:39" ht="12.75" customHeight="1">
      <c r="B7" s="208" t="s">
        <v>237</v>
      </c>
      <c r="C7" s="548"/>
      <c r="D7" s="549"/>
      <c r="E7" s="550"/>
      <c r="F7" s="551"/>
      <c r="G7" s="551"/>
      <c r="H7" s="551"/>
      <c r="I7" s="551"/>
      <c r="J7" s="551">
        <v>22862.210999999988</v>
      </c>
      <c r="K7" s="551">
        <v>23596.626</v>
      </c>
      <c r="L7" s="551">
        <v>24179.090000000007</v>
      </c>
      <c r="M7" s="551">
        <v>25199.804999999997</v>
      </c>
      <c r="N7" s="551">
        <v>26323.076999999997</v>
      </c>
      <c r="O7" s="551">
        <v>27478.414999999997</v>
      </c>
      <c r="P7" s="551">
        <v>28470.711999999996</v>
      </c>
      <c r="Q7" s="551">
        <v>29293.246000000003</v>
      </c>
      <c r="R7" s="551">
        <v>30005.144999999993</v>
      </c>
      <c r="S7" s="552">
        <v>30953.837000000003</v>
      </c>
      <c r="T7" s="552">
        <v>31710.039000000001</v>
      </c>
      <c r="U7" s="551">
        <v>32609.174999999999</v>
      </c>
      <c r="V7" s="551">
        <v>33634.358999999997</v>
      </c>
      <c r="W7" s="552">
        <v>34444.845999999998</v>
      </c>
      <c r="X7" s="551">
        <v>34568.963000000011</v>
      </c>
      <c r="Y7" s="551">
        <v>34858.86</v>
      </c>
      <c r="Z7" s="551">
        <v>35303.615999999995</v>
      </c>
      <c r="AA7" s="551">
        <v>35332.447999999989</v>
      </c>
      <c r="AB7" s="551">
        <v>35451.958000000006</v>
      </c>
      <c r="AC7" s="551">
        <v>35863.091</v>
      </c>
      <c r="AD7" s="551">
        <v>36574.493000000009</v>
      </c>
      <c r="AE7" s="551">
        <v>37626.732000000004</v>
      </c>
      <c r="AF7" s="1032">
        <v>38387.509999999995</v>
      </c>
      <c r="AG7" s="553">
        <v>2.000967615932737</v>
      </c>
      <c r="AH7" s="208" t="s">
        <v>237</v>
      </c>
      <c r="AK7" s="780">
        <v>2017</v>
      </c>
      <c r="AL7" s="782" t="s">
        <v>335</v>
      </c>
      <c r="AM7" s="775"/>
    </row>
    <row r="8" spans="1:39" ht="12.75" customHeight="1">
      <c r="B8" s="213" t="s">
        <v>89</v>
      </c>
      <c r="C8" s="554">
        <v>6623.6949999999997</v>
      </c>
      <c r="D8" s="555">
        <v>10790.014999999999</v>
      </c>
      <c r="E8" s="554">
        <v>17565.366999999998</v>
      </c>
      <c r="F8" s="554">
        <v>18023.110999999997</v>
      </c>
      <c r="G8" s="554">
        <v>18592.089</v>
      </c>
      <c r="H8" s="554">
        <v>19180.989000000001</v>
      </c>
      <c r="I8" s="554">
        <v>19414.449999999997</v>
      </c>
      <c r="J8" s="554">
        <v>19840.412</v>
      </c>
      <c r="K8" s="554">
        <v>20419.894</v>
      </c>
      <c r="L8" s="554">
        <v>20847.640000000003</v>
      </c>
      <c r="M8" s="554">
        <v>21688.096999999998</v>
      </c>
      <c r="N8" s="554">
        <v>22631.257000000005</v>
      </c>
      <c r="O8" s="554">
        <v>23527.174999999996</v>
      </c>
      <c r="P8" s="554">
        <v>24343.17</v>
      </c>
      <c r="Q8" s="554">
        <v>24888.632000000001</v>
      </c>
      <c r="R8" s="554">
        <v>25355.421999999999</v>
      </c>
      <c r="S8" s="556">
        <v>26128.797999999999</v>
      </c>
      <c r="T8" s="556">
        <v>26837.685000000001</v>
      </c>
      <c r="U8" s="554">
        <v>27584.923999999999</v>
      </c>
      <c r="V8" s="554">
        <v>28359.415999999997</v>
      </c>
      <c r="W8" s="556">
        <v>28681.220999999998</v>
      </c>
      <c r="X8" s="554">
        <v>28701.177000000003</v>
      </c>
      <c r="Y8" s="554">
        <v>28859.511000000002</v>
      </c>
      <c r="Z8" s="554">
        <v>29103.452000000001</v>
      </c>
      <c r="AA8" s="554">
        <v>29037.789999999994</v>
      </c>
      <c r="AB8" s="554">
        <v>29013.319999999996</v>
      </c>
      <c r="AC8" s="554">
        <v>29258.367000000006</v>
      </c>
      <c r="AD8" s="554">
        <v>29715.713</v>
      </c>
      <c r="AE8" s="554">
        <f>AE10+AE11+AE16+AE20+AE21+AE15+AE18+AE24+AE25+AE27+AE30+AE32+AE19+AE34+AE37</f>
        <v>30509.431999999997</v>
      </c>
      <c r="AF8" s="554">
        <f>AF10+AF11+AF16+AF20+AF21+AF15+AF18+AF24+AF25+AF27+AF30+AF32+AF19+AF34+AF37</f>
        <v>31052.809000000001</v>
      </c>
      <c r="AG8" s="555">
        <f>AE8/AD8*100-100</f>
        <v>2.6710414116598855</v>
      </c>
      <c r="AH8" s="213" t="s">
        <v>89</v>
      </c>
      <c r="AK8" s="928"/>
      <c r="AL8" s="1015" t="s">
        <v>143</v>
      </c>
      <c r="AM8" s="775"/>
    </row>
    <row r="9" spans="1:39" ht="12.75" customHeight="1">
      <c r="B9" s="217" t="s">
        <v>238</v>
      </c>
      <c r="C9" s="557"/>
      <c r="D9" s="558"/>
      <c r="E9" s="554"/>
      <c r="F9" s="554"/>
      <c r="G9" s="554"/>
      <c r="H9" s="554"/>
      <c r="I9" s="554"/>
      <c r="J9" s="554">
        <v>3021.7989999999882</v>
      </c>
      <c r="K9" s="554">
        <v>3176.732</v>
      </c>
      <c r="L9" s="554">
        <v>3331.4500000000044</v>
      </c>
      <c r="M9" s="554">
        <v>3511.7079999999987</v>
      </c>
      <c r="N9" s="554">
        <v>3691.8199999999924</v>
      </c>
      <c r="O9" s="554">
        <v>3951.2400000000016</v>
      </c>
      <c r="P9" s="554">
        <v>4127.5419999999976</v>
      </c>
      <c r="Q9" s="554">
        <v>4404.6140000000014</v>
      </c>
      <c r="R9" s="554">
        <v>4649.7229999999945</v>
      </c>
      <c r="S9" s="554">
        <v>4825.0390000000043</v>
      </c>
      <c r="T9" s="554">
        <v>4872.3539999999994</v>
      </c>
      <c r="U9" s="554">
        <v>5024.2510000000002</v>
      </c>
      <c r="V9" s="554">
        <v>5274.9429999999993</v>
      </c>
      <c r="W9" s="554">
        <v>5763.625</v>
      </c>
      <c r="X9" s="554">
        <v>5867.7860000000073</v>
      </c>
      <c r="Y9" s="554">
        <v>5999.3489999999983</v>
      </c>
      <c r="Z9" s="554">
        <v>6200.1639999999934</v>
      </c>
      <c r="AA9" s="554">
        <v>6294.6579999999958</v>
      </c>
      <c r="AB9" s="554">
        <v>6438.6380000000099</v>
      </c>
      <c r="AC9" s="554">
        <v>6604.7239999999947</v>
      </c>
      <c r="AD9" s="554">
        <v>6858.7800000000097</v>
      </c>
      <c r="AE9" s="554"/>
      <c r="AF9" s="554"/>
      <c r="AG9" s="555">
        <v>3.84658011447587</v>
      </c>
      <c r="AH9" s="217" t="s">
        <v>238</v>
      </c>
      <c r="AK9" s="1032">
        <f>SUM(AK10:AK37)</f>
        <v>38387.509999999995</v>
      </c>
      <c r="AL9" s="1033" t="e">
        <f t="shared" ref="AL9:AL37" si="0">AK9/AJ11*100-100</f>
        <v>#DIV/0!</v>
      </c>
      <c r="AM9" s="96" t="s">
        <v>237</v>
      </c>
    </row>
    <row r="10" spans="1:39" ht="12.75" customHeight="1">
      <c r="A10" s="212"/>
      <c r="B10" s="378" t="s">
        <v>81</v>
      </c>
      <c r="C10" s="595">
        <v>122.29</v>
      </c>
      <c r="D10" s="596">
        <v>189.25</v>
      </c>
      <c r="E10" s="597">
        <v>261.83999999999997</v>
      </c>
      <c r="F10" s="597">
        <v>269.279</v>
      </c>
      <c r="G10" s="597">
        <v>279.94499999999999</v>
      </c>
      <c r="H10" s="597">
        <v>286.67900000000003</v>
      </c>
      <c r="I10" s="597">
        <v>294.92499999999995</v>
      </c>
      <c r="J10" s="597">
        <v>302.90700000000004</v>
      </c>
      <c r="K10" s="597">
        <v>306.91699999999997</v>
      </c>
      <c r="L10" s="597">
        <v>315.05799999999999</v>
      </c>
      <c r="M10" s="597">
        <v>325.33499999999998</v>
      </c>
      <c r="N10" s="597">
        <v>335.77199999999999</v>
      </c>
      <c r="O10" s="604">
        <v>344.46600000000001</v>
      </c>
      <c r="P10" s="597">
        <v>349.67</v>
      </c>
      <c r="Q10" s="597">
        <v>338.79399999999998</v>
      </c>
      <c r="R10" s="597">
        <v>345.62099999999998</v>
      </c>
      <c r="S10" s="597">
        <v>353.05500000000001</v>
      </c>
      <c r="T10" s="597">
        <v>358.04899999999998</v>
      </c>
      <c r="U10" s="597">
        <v>364.32300000000004</v>
      </c>
      <c r="V10" s="597">
        <v>372.64500000000004</v>
      </c>
      <c r="W10" s="597">
        <v>381.33800000000002</v>
      </c>
      <c r="X10" s="597">
        <v>387.97199999999998</v>
      </c>
      <c r="Y10" s="597">
        <v>396.78799999999995</v>
      </c>
      <c r="Z10" s="597">
        <v>407.452</v>
      </c>
      <c r="AA10" s="597">
        <v>416.53500000000003</v>
      </c>
      <c r="AB10" s="597">
        <f>408.56+16.192</f>
        <v>424.75200000000001</v>
      </c>
      <c r="AC10" s="597">
        <f>418.594+16.321</f>
        <v>434.91500000000002</v>
      </c>
      <c r="AD10" s="597">
        <f>427.515+16.508</f>
        <v>444.02299999999997</v>
      </c>
      <c r="AE10" s="597">
        <v>457.214</v>
      </c>
      <c r="AF10" s="597">
        <v>476.3</v>
      </c>
      <c r="AG10" s="596">
        <v>2.9707920535648071</v>
      </c>
      <c r="AH10" s="378" t="s">
        <v>81</v>
      </c>
      <c r="AK10" s="1043">
        <v>476.3</v>
      </c>
      <c r="AL10" s="1036" t="e">
        <f t="shared" si="0"/>
        <v>#DIV/0!</v>
      </c>
      <c r="AM10" s="952" t="s">
        <v>81</v>
      </c>
    </row>
    <row r="11" spans="1:39" ht="12.75" customHeight="1">
      <c r="A11" s="212"/>
      <c r="B11" s="221" t="s">
        <v>60</v>
      </c>
      <c r="C11" s="564">
        <v>251.405</v>
      </c>
      <c r="D11" s="565">
        <v>299.084</v>
      </c>
      <c r="E11" s="566">
        <v>380.37899999999996</v>
      </c>
      <c r="F11" s="567">
        <v>401.452</v>
      </c>
      <c r="G11" s="567">
        <v>404.32499999999999</v>
      </c>
      <c r="H11" s="567">
        <v>426.91500000000002</v>
      </c>
      <c r="I11" s="567">
        <v>442.05500000000001</v>
      </c>
      <c r="J11" s="567">
        <v>442.46300000000002</v>
      </c>
      <c r="K11" s="567">
        <v>457.16</v>
      </c>
      <c r="L11" s="567">
        <v>476.58300000000003</v>
      </c>
      <c r="M11" s="567">
        <v>495.464</v>
      </c>
      <c r="N11" s="567">
        <v>524.08799999999997</v>
      </c>
      <c r="O11" s="567">
        <v>588.84299999999996</v>
      </c>
      <c r="P11" s="567">
        <v>615.03700000000003</v>
      </c>
      <c r="Q11" s="567">
        <v>591.38300000000004</v>
      </c>
      <c r="R11" s="567">
        <v>610.322</v>
      </c>
      <c r="S11" s="567">
        <v>637.25900000000001</v>
      </c>
      <c r="T11" s="572">
        <v>662.346</v>
      </c>
      <c r="U11" s="567">
        <v>678.55100000000004</v>
      </c>
      <c r="V11" s="567">
        <f>537.64+106.108+48.04</f>
        <v>691.78800000000001</v>
      </c>
      <c r="W11" s="567">
        <f>557.457+106.141+49.088</f>
        <v>712.68599999999992</v>
      </c>
      <c r="X11" s="567">
        <f>572.074+105.372+47.408</f>
        <v>724.85399999999993</v>
      </c>
      <c r="Y11" s="567">
        <f>586.889+111.209+46.663</f>
        <v>744.76099999999997</v>
      </c>
      <c r="Z11" s="567">
        <f>610.315+111.249+46.816</f>
        <v>768.38000000000011</v>
      </c>
      <c r="AA11" s="567">
        <f>622.29+109.963+45.999</f>
        <v>778.25199999999995</v>
      </c>
      <c r="AB11" s="567">
        <f>641.224+108.78+47.978</f>
        <v>797.98199999999997</v>
      </c>
      <c r="AC11" s="567">
        <f>657.398+108.013+48.41</f>
        <v>813.82100000000003</v>
      </c>
      <c r="AD11" s="567">
        <f>680.834+107.514+49.741</f>
        <v>838.08899999999994</v>
      </c>
      <c r="AE11" s="567">
        <v>859.75799999999992</v>
      </c>
      <c r="AF11" s="567">
        <v>887.48399999999992</v>
      </c>
      <c r="AG11" s="571">
        <v>2.5855249263503168</v>
      </c>
      <c r="AH11" s="221" t="s">
        <v>60</v>
      </c>
      <c r="AK11" s="1038">
        <f>741.045+103.131+43.308</f>
        <v>887.48399999999992</v>
      </c>
      <c r="AL11" s="1034" t="e">
        <f t="shared" si="0"/>
        <v>#DIV/0!</v>
      </c>
      <c r="AM11" s="767" t="s">
        <v>60</v>
      </c>
    </row>
    <row r="12" spans="1:39" ht="12.75" customHeight="1">
      <c r="A12" s="212"/>
      <c r="B12" s="213" t="s">
        <v>100</v>
      </c>
      <c r="C12" s="560"/>
      <c r="D12" s="561" t="s">
        <v>203</v>
      </c>
      <c r="E12" s="562">
        <v>161.6</v>
      </c>
      <c r="F12" s="562">
        <v>174.2</v>
      </c>
      <c r="G12" s="562">
        <v>187.4</v>
      </c>
      <c r="H12" s="562">
        <v>203.94200000000001</v>
      </c>
      <c r="I12" s="562">
        <v>214.756</v>
      </c>
      <c r="J12" s="562">
        <v>223.17700000000002</v>
      </c>
      <c r="K12" s="562">
        <v>229.84</v>
      </c>
      <c r="L12" s="562">
        <v>232.76600000000002</v>
      </c>
      <c r="M12" s="562">
        <v>242.268</v>
      </c>
      <c r="N12" s="562">
        <v>251.5</v>
      </c>
      <c r="O12" s="562">
        <v>259.39</v>
      </c>
      <c r="P12" s="562">
        <v>269.58600000000001</v>
      </c>
      <c r="Q12" s="562">
        <v>279.858</v>
      </c>
      <c r="R12" s="562">
        <v>293.48700000000002</v>
      </c>
      <c r="S12" s="562">
        <v>317.68099999999998</v>
      </c>
      <c r="T12" s="562">
        <v>333.86599999999999</v>
      </c>
      <c r="U12" s="562">
        <v>226.09199999999998</v>
      </c>
      <c r="V12" s="562">
        <v>261.31600000000003</v>
      </c>
      <c r="W12" s="562">
        <v>299.161</v>
      </c>
      <c r="X12" s="562">
        <v>317.80799999999999</v>
      </c>
      <c r="Y12" s="562">
        <v>333.5</v>
      </c>
      <c r="Z12" s="562">
        <v>347.56099999999998</v>
      </c>
      <c r="AA12" s="562">
        <v>367.029</v>
      </c>
      <c r="AB12" s="562">
        <v>388</v>
      </c>
      <c r="AC12" s="562">
        <v>411.8</v>
      </c>
      <c r="AD12" s="562">
        <v>444.40000000000003</v>
      </c>
      <c r="AE12" s="562">
        <v>456.8</v>
      </c>
      <c r="AF12" s="562">
        <v>423.2</v>
      </c>
      <c r="AG12" s="561">
        <v>2.790279027902784</v>
      </c>
      <c r="AH12" s="213" t="s">
        <v>100</v>
      </c>
      <c r="AK12" s="1035">
        <v>423.2</v>
      </c>
      <c r="AL12" s="1036" t="e">
        <f t="shared" si="0"/>
        <v>#DIV/0!</v>
      </c>
      <c r="AM12" s="97" t="s">
        <v>100</v>
      </c>
    </row>
    <row r="13" spans="1:39" ht="12.75" customHeight="1">
      <c r="A13" s="212"/>
      <c r="B13" s="221" t="s">
        <v>71</v>
      </c>
      <c r="C13" s="570"/>
      <c r="D13" s="571">
        <v>23.6</v>
      </c>
      <c r="E13" s="567">
        <v>74.325000000000003</v>
      </c>
      <c r="F13" s="567"/>
      <c r="G13" s="567"/>
      <c r="H13" s="567"/>
      <c r="I13" s="567"/>
      <c r="J13" s="567">
        <v>101.184</v>
      </c>
      <c r="K13" s="567">
        <v>104.04</v>
      </c>
      <c r="L13" s="567">
        <v>105.657</v>
      </c>
      <c r="M13" s="567">
        <v>109.294</v>
      </c>
      <c r="N13" s="567">
        <v>111.13500000000001</v>
      </c>
      <c r="O13" s="567">
        <v>114.666</v>
      </c>
      <c r="P13" s="567">
        <v>117.947</v>
      </c>
      <c r="Q13" s="567">
        <v>117.792</v>
      </c>
      <c r="R13" s="567">
        <v>119.646</v>
      </c>
      <c r="S13" s="567">
        <v>117.825</v>
      </c>
      <c r="T13" s="567">
        <v>118.355</v>
      </c>
      <c r="U13" s="567">
        <v>115.723</v>
      </c>
      <c r="V13" s="567">
        <v>117.498</v>
      </c>
      <c r="W13" s="567">
        <v>121.779</v>
      </c>
      <c r="X13" s="567">
        <v>124.09699999999999</v>
      </c>
      <c r="Y13" s="567">
        <v>120.69</v>
      </c>
      <c r="Z13" s="567">
        <v>118.003</v>
      </c>
      <c r="AA13" s="567">
        <v>113.74299999999999</v>
      </c>
      <c r="AB13" s="567">
        <v>109.069</v>
      </c>
      <c r="AC13" s="567">
        <v>104.446</v>
      </c>
      <c r="AD13" s="567">
        <v>103.836</v>
      </c>
      <c r="AE13" s="567">
        <v>106.304</v>
      </c>
      <c r="AF13" s="567">
        <v>107.745</v>
      </c>
      <c r="AG13" s="571">
        <v>2.3768249932585945</v>
      </c>
      <c r="AH13" s="221" t="s">
        <v>71</v>
      </c>
      <c r="AK13" s="1038">
        <v>107.745</v>
      </c>
      <c r="AL13" s="1034" t="e">
        <f t="shared" si="0"/>
        <v>#DIV/0!</v>
      </c>
      <c r="AM13" s="767" t="s">
        <v>71</v>
      </c>
    </row>
    <row r="14" spans="1:39" ht="12.75" customHeight="1">
      <c r="A14" s="212"/>
      <c r="B14" s="221" t="s">
        <v>61</v>
      </c>
      <c r="C14" s="564"/>
      <c r="D14" s="565"/>
      <c r="E14" s="566"/>
      <c r="F14" s="567"/>
      <c r="G14" s="572"/>
      <c r="H14" s="567">
        <v>183.964</v>
      </c>
      <c r="I14" s="568">
        <v>199.63499999999999</v>
      </c>
      <c r="J14" s="568">
        <v>219.31100000000001</v>
      </c>
      <c r="K14" s="603">
        <v>242.959</v>
      </c>
      <c r="L14" s="568">
        <v>265.37200000000001</v>
      </c>
      <c r="M14" s="568">
        <v>280.31100000000004</v>
      </c>
      <c r="N14" s="568">
        <v>289.41000000000003</v>
      </c>
      <c r="O14" s="568">
        <v>298.286</v>
      </c>
      <c r="P14" s="568">
        <v>321.23499999999996</v>
      </c>
      <c r="Q14" s="568">
        <v>349.495</v>
      </c>
      <c r="R14" s="568">
        <v>365.74599999999998</v>
      </c>
      <c r="S14" s="568">
        <v>396.20600000000002</v>
      </c>
      <c r="T14" s="603">
        <v>439.161</v>
      </c>
      <c r="U14" s="603">
        <v>490.904</v>
      </c>
      <c r="V14" s="605">
        <v>554.83100000000002</v>
      </c>
      <c r="W14" s="568">
        <v>607.41199999999992</v>
      </c>
      <c r="X14" s="568">
        <v>601.76700000000005</v>
      </c>
      <c r="Y14" s="568">
        <v>597.96600000000001</v>
      </c>
      <c r="Z14" s="568">
        <v>597.23200000000008</v>
      </c>
      <c r="AA14" s="568">
        <v>604.15499999999997</v>
      </c>
      <c r="AB14" s="568">
        <f>593.439+7.626</f>
        <v>601.06499999999994</v>
      </c>
      <c r="AC14" s="568">
        <f>608.711+6.621</f>
        <v>615.33199999999999</v>
      </c>
      <c r="AD14" s="606">
        <f>646.792+5.283</f>
        <v>652.07500000000005</v>
      </c>
      <c r="AE14" s="606">
        <v>672.1930000000001</v>
      </c>
      <c r="AF14" s="606">
        <v>693.5</v>
      </c>
      <c r="AG14" s="569">
        <v>3.0852279262354898</v>
      </c>
      <c r="AH14" s="221" t="s">
        <v>61</v>
      </c>
      <c r="AK14" s="1037">
        <v>693.5</v>
      </c>
      <c r="AL14" s="1034" t="e">
        <f t="shared" si="0"/>
        <v>#DIV/0!</v>
      </c>
      <c r="AM14" s="767" t="s">
        <v>61</v>
      </c>
    </row>
    <row r="15" spans="1:39" ht="12.75" customHeight="1">
      <c r="A15" s="212"/>
      <c r="B15" s="221" t="s">
        <v>63</v>
      </c>
      <c r="C15" s="570">
        <v>1188</v>
      </c>
      <c r="D15" s="571">
        <v>1511</v>
      </c>
      <c r="E15" s="567">
        <v>1653</v>
      </c>
      <c r="F15" s="567">
        <v>1660</v>
      </c>
      <c r="G15" s="567">
        <v>1849</v>
      </c>
      <c r="H15" s="567">
        <v>2188.9830000000002</v>
      </c>
      <c r="I15" s="567">
        <v>2289.4100000000003</v>
      </c>
      <c r="J15" s="567">
        <v>2378.712</v>
      </c>
      <c r="K15" s="567">
        <v>2428.9589999999998</v>
      </c>
      <c r="L15" s="567">
        <v>2181.9970000000003</v>
      </c>
      <c r="M15" s="567">
        <v>2267.0219999999999</v>
      </c>
      <c r="N15" s="567">
        <v>2361.7220000000002</v>
      </c>
      <c r="O15" s="567">
        <v>2419.107</v>
      </c>
      <c r="P15" s="567">
        <v>2427.6860000000001</v>
      </c>
      <c r="Q15" s="567">
        <v>2397.6219999999998</v>
      </c>
      <c r="R15" s="567">
        <v>2385.0750000000003</v>
      </c>
      <c r="S15" s="567">
        <v>2385.2860000000001</v>
      </c>
      <c r="T15" s="572">
        <v>2404.9049999999997</v>
      </c>
      <c r="U15" s="572">
        <v>2471.221</v>
      </c>
      <c r="V15" s="567">
        <v>2502.9989999999998</v>
      </c>
      <c r="W15" s="567">
        <v>2523.5609999999997</v>
      </c>
      <c r="X15" s="567">
        <v>2556.0100000000002</v>
      </c>
      <c r="Y15" s="567">
        <v>2619.4270000000001</v>
      </c>
      <c r="Z15" s="567">
        <v>2712.9769999999999</v>
      </c>
      <c r="AA15" s="567">
        <v>2761.3960000000002</v>
      </c>
      <c r="AB15" s="567">
        <f>2629.209+184.589</f>
        <v>2813.7979999999998</v>
      </c>
      <c r="AC15" s="567">
        <f>2701.343+188.481</f>
        <v>2889.8239999999996</v>
      </c>
      <c r="AD15" s="567">
        <f>2800.78+194.386</f>
        <v>2995.1660000000002</v>
      </c>
      <c r="AE15" s="567">
        <v>3113.8910000000001</v>
      </c>
      <c r="AF15" s="567">
        <v>3242.08</v>
      </c>
      <c r="AG15" s="571">
        <v>3.9638871434838592</v>
      </c>
      <c r="AH15" s="221" t="s">
        <v>63</v>
      </c>
      <c r="AK15" s="797">
        <v>3242.08</v>
      </c>
      <c r="AL15" s="1034" t="e">
        <f t="shared" si="0"/>
        <v>#DIV/0!</v>
      </c>
      <c r="AM15" s="767" t="s">
        <v>63</v>
      </c>
    </row>
    <row r="16" spans="1:39" ht="12.75" customHeight="1">
      <c r="A16" s="212"/>
      <c r="B16" s="213" t="s">
        <v>14</v>
      </c>
      <c r="C16" s="560">
        <v>245</v>
      </c>
      <c r="D16" s="561">
        <v>249</v>
      </c>
      <c r="E16" s="562">
        <v>286.613</v>
      </c>
      <c r="F16" s="562">
        <v>298.31200000000001</v>
      </c>
      <c r="G16" s="562">
        <v>304.20499999999998</v>
      </c>
      <c r="H16" s="562">
        <v>312.274</v>
      </c>
      <c r="I16" s="562">
        <v>322.03199999999998</v>
      </c>
      <c r="J16" s="562">
        <v>333.75799999999998</v>
      </c>
      <c r="K16" s="562">
        <v>339.89699999999999</v>
      </c>
      <c r="L16" s="562">
        <v>345.97199999999998</v>
      </c>
      <c r="M16" s="562">
        <v>357.63299999999998</v>
      </c>
      <c r="N16" s="562">
        <v>373.25799999999998</v>
      </c>
      <c r="O16" s="562">
        <v>384.85</v>
      </c>
      <c r="P16" s="562">
        <v>392.26</v>
      </c>
      <c r="Q16" s="562">
        <v>401.762</v>
      </c>
      <c r="R16" s="562">
        <v>412.81299999999999</v>
      </c>
      <c r="S16" s="562">
        <v>436.14699999999999</v>
      </c>
      <c r="T16" s="562">
        <v>469.52299999999997</v>
      </c>
      <c r="U16" s="562">
        <v>508.774</v>
      </c>
      <c r="V16" s="562">
        <v>536.54999999999995</v>
      </c>
      <c r="W16" s="562">
        <v>531.40300000000002</v>
      </c>
      <c r="X16" s="562">
        <v>507.86099999999999</v>
      </c>
      <c r="Y16" s="562">
        <v>485.10899999999998</v>
      </c>
      <c r="Z16" s="562">
        <v>469.24799999999999</v>
      </c>
      <c r="AA16" s="562">
        <v>459.55700000000002</v>
      </c>
      <c r="AB16" s="562">
        <f>402.352+29.215+12.858</f>
        <v>444.42499999999995</v>
      </c>
      <c r="AC16" s="562">
        <f>398.066+28.628+12.867</f>
        <v>439.56099999999998</v>
      </c>
      <c r="AD16" s="562">
        <f>395.649+28.309+13.127</f>
        <v>437.08500000000004</v>
      </c>
      <c r="AE16" s="562">
        <v>438.96699999999998</v>
      </c>
      <c r="AF16" s="562">
        <v>437.93900000000002</v>
      </c>
      <c r="AG16" s="561">
        <v>0.4305798643284362</v>
      </c>
      <c r="AH16" s="213" t="s">
        <v>14</v>
      </c>
      <c r="AK16" s="1035">
        <v>437.93900000000002</v>
      </c>
      <c r="AL16" s="1036" t="e">
        <f t="shared" si="0"/>
        <v>#DIV/0!</v>
      </c>
      <c r="AM16" s="97" t="s">
        <v>14</v>
      </c>
    </row>
    <row r="17" spans="1:39" ht="12.75" customHeight="1">
      <c r="A17" s="212"/>
      <c r="B17" s="213" t="s">
        <v>64</v>
      </c>
      <c r="C17" s="560"/>
      <c r="D17" s="561">
        <v>51.1</v>
      </c>
      <c r="E17" s="562">
        <v>67.7</v>
      </c>
      <c r="F17" s="562">
        <v>77.099999999999994</v>
      </c>
      <c r="G17" s="562">
        <v>74.599999999999994</v>
      </c>
      <c r="H17" s="562">
        <v>74.099999999999994</v>
      </c>
      <c r="I17" s="562">
        <v>53.7</v>
      </c>
      <c r="J17" s="562">
        <v>65.597999999999999</v>
      </c>
      <c r="K17" s="562">
        <v>71.304000000000002</v>
      </c>
      <c r="L17" s="562">
        <v>76.605000000000004</v>
      </c>
      <c r="M17" s="562">
        <v>80.617000000000004</v>
      </c>
      <c r="N17" s="562">
        <v>81.03</v>
      </c>
      <c r="O17" s="562">
        <v>82.119</v>
      </c>
      <c r="P17" s="562">
        <v>80.534999999999997</v>
      </c>
      <c r="Q17" s="562">
        <v>80.179000000000002</v>
      </c>
      <c r="R17" s="562">
        <v>83.43</v>
      </c>
      <c r="S17" s="562">
        <v>85.731999999999999</v>
      </c>
      <c r="T17" s="562">
        <v>86.200999999999993</v>
      </c>
      <c r="U17" s="562">
        <v>92.86</v>
      </c>
      <c r="V17" s="562">
        <v>80.28</v>
      </c>
      <c r="W17" s="562">
        <v>83.35</v>
      </c>
      <c r="X17" s="562">
        <v>81.099999999999994</v>
      </c>
      <c r="Y17" s="562">
        <v>81.2</v>
      </c>
      <c r="Z17" s="562">
        <v>84.337000000000003</v>
      </c>
      <c r="AA17" s="562">
        <v>88.045000000000002</v>
      </c>
      <c r="AB17" s="562">
        <v>92.2</v>
      </c>
      <c r="AC17" s="562">
        <v>96.6</v>
      </c>
      <c r="AD17" s="562">
        <v>101.8</v>
      </c>
      <c r="AE17" s="562">
        <v>108.2</v>
      </c>
      <c r="AF17" s="562">
        <v>114.8</v>
      </c>
      <c r="AG17" s="561">
        <v>6.2868369351670026</v>
      </c>
      <c r="AH17" s="213" t="s">
        <v>64</v>
      </c>
      <c r="AK17" s="1035">
        <v>114.8</v>
      </c>
      <c r="AL17" s="1036" t="e">
        <f t="shared" si="0"/>
        <v>#DIV/0!</v>
      </c>
      <c r="AM17" s="97" t="s">
        <v>64</v>
      </c>
    </row>
    <row r="18" spans="1:39" ht="12.75" customHeight="1">
      <c r="A18" s="212"/>
      <c r="B18" s="213" t="s">
        <v>15</v>
      </c>
      <c r="C18" s="560">
        <v>105</v>
      </c>
      <c r="D18" s="561">
        <v>401</v>
      </c>
      <c r="E18" s="562">
        <v>766.42899999999997</v>
      </c>
      <c r="F18" s="562">
        <v>792.77</v>
      </c>
      <c r="G18" s="562">
        <v>797.78800000000001</v>
      </c>
      <c r="H18" s="562">
        <v>825.697</v>
      </c>
      <c r="I18" s="562">
        <v>849.03300000000002</v>
      </c>
      <c r="J18" s="562">
        <v>883.82299999999998</v>
      </c>
      <c r="K18" s="562">
        <v>914.827</v>
      </c>
      <c r="L18" s="562">
        <v>951.78499999999997</v>
      </c>
      <c r="M18" s="562">
        <v>987.35699999999997</v>
      </c>
      <c r="N18" s="562">
        <v>1023.987</v>
      </c>
      <c r="O18" s="562">
        <v>1057.422</v>
      </c>
      <c r="P18" s="562">
        <v>1085.8109999999999</v>
      </c>
      <c r="Q18" s="563">
        <v>1109.1369999999999</v>
      </c>
      <c r="R18" s="562">
        <v>1131.027</v>
      </c>
      <c r="S18" s="562">
        <v>1159.1369999999999</v>
      </c>
      <c r="T18" s="562">
        <v>1186.4829999999999</v>
      </c>
      <c r="U18" s="562">
        <v>1219.8889999999999</v>
      </c>
      <c r="V18" s="562">
        <v>1255.9449999999999</v>
      </c>
      <c r="W18" s="562">
        <v>1289.5250000000001</v>
      </c>
      <c r="X18" s="562">
        <v>1302.43</v>
      </c>
      <c r="Y18" s="562">
        <v>1318.768</v>
      </c>
      <c r="Z18" s="562">
        <v>1321.296</v>
      </c>
      <c r="AA18" s="562">
        <v>1318.9179999999999</v>
      </c>
      <c r="AB18" s="562">
        <v>1315.836</v>
      </c>
      <c r="AC18" s="562">
        <v>1322.604</v>
      </c>
      <c r="AD18" s="562">
        <v>1332.8230000000001</v>
      </c>
      <c r="AE18" s="562">
        <v>1343.83</v>
      </c>
      <c r="AF18" s="562">
        <v>1344.0619999999999</v>
      </c>
      <c r="AG18" s="561">
        <v>0.82584109067744293</v>
      </c>
      <c r="AH18" s="213" t="s">
        <v>15</v>
      </c>
      <c r="AK18" s="1035">
        <v>1344.0619999999999</v>
      </c>
      <c r="AL18" s="1036" t="e">
        <f t="shared" si="0"/>
        <v>#DIV/0!</v>
      </c>
      <c r="AM18" s="97" t="s">
        <v>15</v>
      </c>
    </row>
    <row r="19" spans="1:39" ht="12.75" customHeight="1">
      <c r="A19" s="212"/>
      <c r="B19" s="221" t="s">
        <v>66</v>
      </c>
      <c r="C19" s="570">
        <v>710</v>
      </c>
      <c r="D19" s="571">
        <v>1362.424</v>
      </c>
      <c r="E19" s="567">
        <v>2401.085</v>
      </c>
      <c r="F19" s="567">
        <v>2568.4290000000001</v>
      </c>
      <c r="G19" s="567">
        <v>2726.1909999999998</v>
      </c>
      <c r="H19" s="567">
        <v>2812.6099999999997</v>
      </c>
      <c r="I19" s="567">
        <v>2905.75</v>
      </c>
      <c r="J19" s="567">
        <v>3024.2460000000001</v>
      </c>
      <c r="K19" s="567">
        <v>3151.904</v>
      </c>
      <c r="L19" s="567">
        <v>3310.0950000000003</v>
      </c>
      <c r="M19" s="567">
        <v>3509.7509999999997</v>
      </c>
      <c r="N19" s="567">
        <v>3735.1880000000001</v>
      </c>
      <c r="O19" s="567">
        <v>3923.1759999999999</v>
      </c>
      <c r="P19" s="567">
        <v>4104.9580000000005</v>
      </c>
      <c r="Q19" s="567">
        <v>4258.8890000000001</v>
      </c>
      <c r="R19" s="567">
        <v>4363.4169999999995</v>
      </c>
      <c r="S19" s="567">
        <v>4603.4179999999997</v>
      </c>
      <c r="T19" s="567">
        <v>4849.6189999999997</v>
      </c>
      <c r="U19" s="567">
        <v>5087.3109999999997</v>
      </c>
      <c r="V19" s="567">
        <v>5353.2830000000004</v>
      </c>
      <c r="W19" s="567">
        <v>5405.585</v>
      </c>
      <c r="X19" s="567">
        <v>5342.9439999999995</v>
      </c>
      <c r="Y19" s="567">
        <v>5303.4659999999994</v>
      </c>
      <c r="Z19" s="567">
        <v>5256.7510000000002</v>
      </c>
      <c r="AA19" s="567">
        <f>4984.722+186.964</f>
        <v>5171.6859999999997</v>
      </c>
      <c r="AB19" s="567">
        <f>4887.352+182.822</f>
        <v>5070.174</v>
      </c>
      <c r="AC19" s="567">
        <f>4839.484+186.06</f>
        <v>5025.5440000000008</v>
      </c>
      <c r="AD19" s="567">
        <f>4851.518+195.657</f>
        <v>5047.1750000000002</v>
      </c>
      <c r="AE19" s="567">
        <v>5087.3689999999997</v>
      </c>
      <c r="AF19" s="567">
        <v>5142.6299999999992</v>
      </c>
      <c r="AG19" s="571">
        <v>0.79636628410941057</v>
      </c>
      <c r="AH19" s="221" t="s">
        <v>66</v>
      </c>
      <c r="AK19" s="1038">
        <f>4924.476+218.154</f>
        <v>5142.6299999999992</v>
      </c>
      <c r="AL19" s="1034" t="e">
        <f t="shared" si="0"/>
        <v>#DIV/0!</v>
      </c>
      <c r="AM19" s="767" t="s">
        <v>66</v>
      </c>
    </row>
    <row r="20" spans="1:39" ht="12.75" customHeight="1">
      <c r="A20" s="212"/>
      <c r="B20" s="213" t="s">
        <v>87</v>
      </c>
      <c r="C20" s="576">
        <v>103</v>
      </c>
      <c r="D20" s="575">
        <v>149</v>
      </c>
      <c r="E20" s="577">
        <v>264.15699999999998</v>
      </c>
      <c r="F20" s="577">
        <v>263.8</v>
      </c>
      <c r="G20" s="577">
        <v>263</v>
      </c>
      <c r="H20" s="577">
        <v>253.10900000000001</v>
      </c>
      <c r="I20" s="577">
        <v>246.553</v>
      </c>
      <c r="J20" s="577">
        <v>252.03200000000001</v>
      </c>
      <c r="K20" s="577">
        <v>258.697</v>
      </c>
      <c r="L20" s="577">
        <v>266.94400000000002</v>
      </c>
      <c r="M20" s="577">
        <v>280.61</v>
      </c>
      <c r="N20" s="577">
        <v>293.70699999999999</v>
      </c>
      <c r="O20" s="577">
        <v>304.31799999999998</v>
      </c>
      <c r="P20" s="577">
        <v>312.55700000000002</v>
      </c>
      <c r="Q20" s="577">
        <v>319.69900000000001</v>
      </c>
      <c r="R20" s="577">
        <v>327.12200000000001</v>
      </c>
      <c r="S20" s="577">
        <v>355.16400000000004</v>
      </c>
      <c r="T20" s="577">
        <v>363.64400000000001</v>
      </c>
      <c r="U20" s="577">
        <v>376.09199999999998</v>
      </c>
      <c r="V20" s="577">
        <f>394.718</f>
        <v>394.71800000000002</v>
      </c>
      <c r="W20" s="577">
        <f>424.498</f>
        <v>424.49799999999999</v>
      </c>
      <c r="X20" s="577">
        <f>443.912</f>
        <v>443.91199999999998</v>
      </c>
      <c r="Y20" s="577">
        <f>464.408</f>
        <v>464.40800000000002</v>
      </c>
      <c r="Z20" s="577">
        <f>488.939</f>
        <v>488.93900000000002</v>
      </c>
      <c r="AA20" s="577">
        <f>508.011</f>
        <v>508.01100000000002</v>
      </c>
      <c r="AB20" s="586">
        <f>391.952+134.146</f>
        <v>526.09799999999996</v>
      </c>
      <c r="AC20" s="577">
        <f>404.817+138.077</f>
        <v>542.89400000000001</v>
      </c>
      <c r="AD20" s="577">
        <f>418.87+142.02</f>
        <v>560.89</v>
      </c>
      <c r="AE20" s="577">
        <v>582.05999999999995</v>
      </c>
      <c r="AF20" s="577">
        <v>604.5</v>
      </c>
      <c r="AG20" s="575">
        <v>3.7743586086398437</v>
      </c>
      <c r="AH20" s="213" t="s">
        <v>87</v>
      </c>
      <c r="AK20" s="1039">
        <v>604.5</v>
      </c>
      <c r="AL20" s="1036" t="e">
        <f t="shared" si="0"/>
        <v>#DIV/0!</v>
      </c>
      <c r="AM20" s="946" t="s">
        <v>87</v>
      </c>
    </row>
    <row r="21" spans="1:39" ht="12.75" customHeight="1">
      <c r="A21" s="212"/>
      <c r="B21" s="213" t="s">
        <v>67</v>
      </c>
      <c r="C21" s="560">
        <v>1504</v>
      </c>
      <c r="D21" s="561">
        <v>2591</v>
      </c>
      <c r="E21" s="562">
        <v>4840</v>
      </c>
      <c r="F21" s="562">
        <v>4941</v>
      </c>
      <c r="G21" s="562">
        <v>4959</v>
      </c>
      <c r="H21" s="562">
        <v>4989</v>
      </c>
      <c r="I21" s="562">
        <v>5062</v>
      </c>
      <c r="J21" s="562">
        <v>5116</v>
      </c>
      <c r="K21" s="562">
        <v>5173</v>
      </c>
      <c r="L21" s="562">
        <v>5298</v>
      </c>
      <c r="M21" s="562">
        <v>5418</v>
      </c>
      <c r="N21" s="562">
        <v>5530</v>
      </c>
      <c r="O21" s="562">
        <v>5673</v>
      </c>
      <c r="P21" s="562">
        <v>5816</v>
      </c>
      <c r="Q21" s="562">
        <v>5903</v>
      </c>
      <c r="R21" s="562">
        <v>5986</v>
      </c>
      <c r="S21" s="562">
        <v>6057</v>
      </c>
      <c r="T21" s="562">
        <v>6115</v>
      </c>
      <c r="U21" s="562">
        <v>6178</v>
      </c>
      <c r="V21" s="562">
        <v>6250</v>
      </c>
      <c r="W21" s="562">
        <v>6278</v>
      </c>
      <c r="X21" s="562">
        <v>6303</v>
      </c>
      <c r="Y21" s="562">
        <v>6358</v>
      </c>
      <c r="Z21" s="562">
        <v>6431</v>
      </c>
      <c r="AA21" s="562">
        <v>6451</v>
      </c>
      <c r="AB21" s="562">
        <v>6462</v>
      </c>
      <c r="AC21" s="562">
        <v>6519</v>
      </c>
      <c r="AD21" s="562">
        <f>6363+199</f>
        <v>6562</v>
      </c>
      <c r="AE21" s="562">
        <v>6739.5789999999997</v>
      </c>
      <c r="AF21" s="562">
        <v>6742.16</v>
      </c>
      <c r="AG21" s="575">
        <v>-0.76648689652981261</v>
      </c>
      <c r="AH21" s="213" t="s">
        <v>67</v>
      </c>
      <c r="AK21" s="1035">
        <f>6536.558+205.602</f>
        <v>6742.16</v>
      </c>
      <c r="AL21" s="1036" t="e">
        <f t="shared" si="0"/>
        <v>#DIV/0!</v>
      </c>
      <c r="AM21" s="97" t="s">
        <v>67</v>
      </c>
    </row>
    <row r="22" spans="1:39" ht="12.75" customHeight="1">
      <c r="A22" s="212"/>
      <c r="B22" s="221" t="s">
        <v>144</v>
      </c>
      <c r="C22" s="570"/>
      <c r="D22" s="571"/>
      <c r="E22" s="567"/>
      <c r="F22" s="567"/>
      <c r="G22" s="567"/>
      <c r="H22" s="567">
        <v>51.117000000000004</v>
      </c>
      <c r="I22" s="567">
        <v>64.438000000000002</v>
      </c>
      <c r="J22" s="567">
        <v>73.497</v>
      </c>
      <c r="K22" s="567">
        <v>94.921000000000006</v>
      </c>
      <c r="L22" s="567">
        <v>109.73400000000001</v>
      </c>
      <c r="M22" s="567">
        <v>115.768</v>
      </c>
      <c r="N22" s="567">
        <v>118.70400000000001</v>
      </c>
      <c r="O22" s="567">
        <v>122.51600000000001</v>
      </c>
      <c r="P22" s="567">
        <v>129.49700000000001</v>
      </c>
      <c r="Q22" s="567">
        <v>138.74300000000002</v>
      </c>
      <c r="R22" s="567">
        <v>148.27499999999998</v>
      </c>
      <c r="S22" s="567">
        <v>154.79</v>
      </c>
      <c r="T22" s="567">
        <v>162.87700000000001</v>
      </c>
      <c r="U22" s="567">
        <v>169.69799999999998</v>
      </c>
      <c r="V22" s="567">
        <v>176.703</v>
      </c>
      <c r="W22" s="567">
        <v>180.30100000000002</v>
      </c>
      <c r="X22" s="567">
        <v>164.761</v>
      </c>
      <c r="Y22" s="567">
        <v>157.73099999999999</v>
      </c>
      <c r="Z22" s="567">
        <v>154.88399999999999</v>
      </c>
      <c r="AA22" s="567">
        <v>141.56700000000001</v>
      </c>
      <c r="AB22" s="567">
        <v>141.49100000000001</v>
      </c>
      <c r="AC22" s="567">
        <v>143.66</v>
      </c>
      <c r="AD22" s="567">
        <v>149.006</v>
      </c>
      <c r="AE22" s="567">
        <v>156.673</v>
      </c>
      <c r="AF22" s="567">
        <v>168.05799999999999</v>
      </c>
      <c r="AG22" s="571">
        <v>5.1454303853536203</v>
      </c>
      <c r="AH22" s="221" t="s">
        <v>144</v>
      </c>
      <c r="AK22" s="1038">
        <f>156.724+11.334</f>
        <v>168.05799999999999</v>
      </c>
      <c r="AL22" s="1034" t="e">
        <f t="shared" si="0"/>
        <v>#DIV/0!</v>
      </c>
      <c r="AM22" s="767" t="s">
        <v>144</v>
      </c>
    </row>
    <row r="23" spans="1:39" ht="12.75" customHeight="1">
      <c r="A23" s="212"/>
      <c r="B23" s="221" t="s">
        <v>77</v>
      </c>
      <c r="C23" s="570"/>
      <c r="D23" s="571">
        <v>197</v>
      </c>
      <c r="E23" s="567">
        <v>262</v>
      </c>
      <c r="F23" s="567"/>
      <c r="G23" s="567"/>
      <c r="H23" s="567"/>
      <c r="I23" s="567"/>
      <c r="J23" s="582">
        <v>277.97400000000005</v>
      </c>
      <c r="K23" s="581">
        <v>282.20400000000001</v>
      </c>
      <c r="L23" s="581">
        <v>295.38299999999998</v>
      </c>
      <c r="M23" s="581">
        <v>319.779</v>
      </c>
      <c r="N23" s="581">
        <v>332.50299999999999</v>
      </c>
      <c r="O23" s="581">
        <v>352.62799999999999</v>
      </c>
      <c r="P23" s="581">
        <v>366.21300000000002</v>
      </c>
      <c r="Q23" s="581">
        <v>381.43200000000002</v>
      </c>
      <c r="R23" s="581">
        <v>392.029</v>
      </c>
      <c r="S23" s="581">
        <v>395.96200000000005</v>
      </c>
      <c r="T23" s="581">
        <v>412.92100000000005</v>
      </c>
      <c r="U23" s="581">
        <v>429.45699999999999</v>
      </c>
      <c r="V23" s="581">
        <v>444.495</v>
      </c>
      <c r="W23" s="581">
        <v>455.89100000000002</v>
      </c>
      <c r="X23" s="581">
        <v>452.52300000000002</v>
      </c>
      <c r="Y23" s="580">
        <v>451.32100000000003</v>
      </c>
      <c r="Z23" s="581">
        <f>402.501+50.262</f>
        <v>452.76299999999998</v>
      </c>
      <c r="AA23" s="581">
        <f>401.723+52.596</f>
        <v>454.31900000000002</v>
      </c>
      <c r="AB23" s="581">
        <f>406.56+56.089</f>
        <v>462.649</v>
      </c>
      <c r="AC23" s="582">
        <f>417.536+60.875</f>
        <v>478.411</v>
      </c>
      <c r="AD23" s="581">
        <f>431.795+64.442</f>
        <v>496.23700000000002</v>
      </c>
      <c r="AE23" s="581">
        <v>517.07799999999997</v>
      </c>
      <c r="AF23" s="581">
        <v>542.52699999999993</v>
      </c>
      <c r="AG23" s="571">
        <v>4.1998077531502105</v>
      </c>
      <c r="AH23" s="221" t="s">
        <v>77</v>
      </c>
      <c r="AK23" s="1040">
        <f>469.948+72.579</f>
        <v>542.52699999999993</v>
      </c>
      <c r="AL23" s="1034" t="e">
        <f t="shared" si="0"/>
        <v>#DIV/0!</v>
      </c>
      <c r="AM23" s="767" t="s">
        <v>77</v>
      </c>
    </row>
    <row r="24" spans="1:39" ht="12.75" customHeight="1">
      <c r="A24" s="212"/>
      <c r="B24" s="221" t="s">
        <v>68</v>
      </c>
      <c r="C24" s="570">
        <v>49</v>
      </c>
      <c r="D24" s="571">
        <v>65</v>
      </c>
      <c r="E24" s="567">
        <v>143.166</v>
      </c>
      <c r="F24" s="567">
        <v>148.33099999999999</v>
      </c>
      <c r="G24" s="567">
        <v>144.798</v>
      </c>
      <c r="H24" s="567">
        <v>135.22499999999999</v>
      </c>
      <c r="I24" s="567">
        <v>135.809</v>
      </c>
      <c r="J24" s="567">
        <v>141.785</v>
      </c>
      <c r="K24" s="567">
        <v>146.601</v>
      </c>
      <c r="L24" s="567">
        <v>158.15799999999999</v>
      </c>
      <c r="M24" s="567">
        <v>170.86600000000001</v>
      </c>
      <c r="N24" s="567">
        <v>188.81399999999999</v>
      </c>
      <c r="O24" s="567">
        <v>205.57499999999999</v>
      </c>
      <c r="P24" s="567">
        <v>219.51</v>
      </c>
      <c r="Q24" s="567">
        <v>233.06899999999999</v>
      </c>
      <c r="R24" s="567">
        <v>251.13</v>
      </c>
      <c r="S24" s="567">
        <v>268.08199999999999</v>
      </c>
      <c r="T24" s="567">
        <v>286.548</v>
      </c>
      <c r="U24" s="567">
        <v>318.60399999999998</v>
      </c>
      <c r="V24" s="567">
        <v>345.87400000000002</v>
      </c>
      <c r="W24" s="567">
        <v>351.30700000000002</v>
      </c>
      <c r="X24" s="567">
        <v>343.94</v>
      </c>
      <c r="Y24" s="567">
        <v>327.096</v>
      </c>
      <c r="Z24" s="567">
        <v>320.99599999999998</v>
      </c>
      <c r="AA24" s="567">
        <v>309.21899999999999</v>
      </c>
      <c r="AB24" s="567">
        <v>317.84899999999999</v>
      </c>
      <c r="AC24" s="573">
        <v>317.37799999999999</v>
      </c>
      <c r="AD24" s="574">
        <v>330.541</v>
      </c>
      <c r="AE24" s="574">
        <v>342.25900000000001</v>
      </c>
      <c r="AF24" s="574">
        <v>349.14299999999997</v>
      </c>
      <c r="AG24" s="571">
        <v>3.5450972799138327</v>
      </c>
      <c r="AH24" s="221" t="s">
        <v>68</v>
      </c>
      <c r="AK24" s="1038">
        <v>349.14299999999997</v>
      </c>
      <c r="AL24" s="1034" t="e">
        <f t="shared" si="0"/>
        <v>#DIV/0!</v>
      </c>
      <c r="AM24" s="767" t="s">
        <v>68</v>
      </c>
    </row>
    <row r="25" spans="1:39" ht="12.75" customHeight="1">
      <c r="A25" s="212"/>
      <c r="B25" s="213" t="s">
        <v>69</v>
      </c>
      <c r="C25" s="576"/>
      <c r="D25" s="575">
        <v>1290.6869999999999</v>
      </c>
      <c r="E25" s="577">
        <v>2207.9029999999998</v>
      </c>
      <c r="F25" s="577">
        <v>2292.9279999999999</v>
      </c>
      <c r="G25" s="577">
        <v>2359.8470000000002</v>
      </c>
      <c r="H25" s="577">
        <v>2389.17</v>
      </c>
      <c r="I25" s="577">
        <v>2446.3229999999999</v>
      </c>
      <c r="J25" s="577">
        <v>2509.893</v>
      </c>
      <c r="K25" s="577">
        <v>2640.1019999999999</v>
      </c>
      <c r="L25" s="577">
        <v>2719.8040000000001</v>
      </c>
      <c r="M25" s="577">
        <v>2828.0030000000002</v>
      </c>
      <c r="N25" s="577">
        <v>2946.806</v>
      </c>
      <c r="O25" s="577">
        <v>3087.0079999999998</v>
      </c>
      <c r="P25" s="577">
        <v>3234.4659999999999</v>
      </c>
      <c r="Q25" s="577">
        <v>3429.8820000000001</v>
      </c>
      <c r="R25" s="577">
        <v>3590.3049999999998</v>
      </c>
      <c r="S25" s="577">
        <v>3645.0459999999998</v>
      </c>
      <c r="T25" s="577">
        <v>3785.913</v>
      </c>
      <c r="U25" s="577">
        <v>3914.797</v>
      </c>
      <c r="V25" s="577">
        <v>3996.9070000000002</v>
      </c>
      <c r="W25" s="577">
        <v>4072.0050000000001</v>
      </c>
      <c r="X25" s="577">
        <v>4102.5889999999999</v>
      </c>
      <c r="Y25" s="577">
        <v>4141.7910000000002</v>
      </c>
      <c r="Z25" s="577">
        <v>4181.8950000000004</v>
      </c>
      <c r="AA25" s="577">
        <v>4143.7659999999996</v>
      </c>
      <c r="AB25" s="577">
        <f>3938.026+149.563</f>
        <v>4087.5889999999999</v>
      </c>
      <c r="AC25" s="577">
        <f>3930.858+150.086</f>
        <v>4080.9440000000004</v>
      </c>
      <c r="AD25" s="577">
        <f>3943.964+153.858</f>
        <v>4097.8220000000001</v>
      </c>
      <c r="AE25" s="577">
        <v>4180.8</v>
      </c>
      <c r="AF25" s="577">
        <v>4256.4049999999997</v>
      </c>
      <c r="AG25" s="575">
        <v>2.0249293405130828</v>
      </c>
      <c r="AH25" s="213" t="s">
        <v>69</v>
      </c>
      <c r="AK25" s="1039">
        <f>4083.348+173.057</f>
        <v>4256.4049999999997</v>
      </c>
      <c r="AL25" s="1036" t="e">
        <f t="shared" si="0"/>
        <v>#DIV/0!</v>
      </c>
      <c r="AM25" s="946" t="s">
        <v>69</v>
      </c>
    </row>
    <row r="26" spans="1:39" ht="12.75" customHeight="1">
      <c r="A26" s="212"/>
      <c r="B26" s="221" t="s">
        <v>73</v>
      </c>
      <c r="C26" s="570"/>
      <c r="D26" s="571">
        <v>65.7</v>
      </c>
      <c r="E26" s="567">
        <v>83</v>
      </c>
      <c r="F26" s="579">
        <f>E26+(H26-E26)*1/3</f>
        <v>88.257000000000005</v>
      </c>
      <c r="G26" s="579">
        <f>E26+(H26-E26)*2/3</f>
        <v>93.513999999999996</v>
      </c>
      <c r="H26" s="567">
        <v>98.771000000000001</v>
      </c>
      <c r="I26" s="567">
        <v>101.06</v>
      </c>
      <c r="J26" s="573">
        <v>108.89099999999999</v>
      </c>
      <c r="K26" s="567">
        <v>89.283000000000001</v>
      </c>
      <c r="L26" s="567">
        <v>93.669999999999987</v>
      </c>
      <c r="M26" s="567">
        <v>99.453999999999994</v>
      </c>
      <c r="N26" s="567">
        <v>96.575999999999993</v>
      </c>
      <c r="O26" s="567">
        <v>98.613</v>
      </c>
      <c r="P26" s="567">
        <v>100.38900000000001</v>
      </c>
      <c r="Q26" s="567">
        <v>105.545</v>
      </c>
      <c r="R26" s="567">
        <v>110.517</v>
      </c>
      <c r="S26" s="567">
        <v>115.67700000000001</v>
      </c>
      <c r="T26" s="567">
        <v>122.486</v>
      </c>
      <c r="U26" s="567">
        <v>135.54599999999999</v>
      </c>
      <c r="V26" s="567">
        <v>147.583</v>
      </c>
      <c r="W26" s="567">
        <v>150.108</v>
      </c>
      <c r="X26" s="567">
        <v>146.32500000000002</v>
      </c>
      <c r="Y26" s="567">
        <v>133.92099999999999</v>
      </c>
      <c r="Z26" s="567">
        <v>136.779</v>
      </c>
      <c r="AA26" s="567">
        <v>138.935</v>
      </c>
      <c r="AB26" s="567">
        <f>115.367+27.671</f>
        <v>143.03800000000001</v>
      </c>
      <c r="AC26" s="567">
        <f>76.169+23.51</f>
        <v>99.679000000000002</v>
      </c>
      <c r="AD26" s="567">
        <f>78.115+24.781</f>
        <v>102.89599999999999</v>
      </c>
      <c r="AE26" s="567">
        <v>109.396</v>
      </c>
      <c r="AF26" s="567">
        <v>115.5</v>
      </c>
      <c r="AG26" s="571">
        <v>6.3170580003110217</v>
      </c>
      <c r="AH26" s="221" t="s">
        <v>73</v>
      </c>
      <c r="AK26" s="1038">
        <f>84.6+30.9</f>
        <v>115.5</v>
      </c>
      <c r="AL26" s="1034" t="e">
        <f t="shared" si="0"/>
        <v>#DIV/0!</v>
      </c>
      <c r="AM26" s="767" t="s">
        <v>73</v>
      </c>
    </row>
    <row r="27" spans="1:39" ht="12.75" customHeight="1">
      <c r="A27" s="212"/>
      <c r="B27" s="213" t="s">
        <v>76</v>
      </c>
      <c r="C27" s="576">
        <v>9</v>
      </c>
      <c r="D27" s="575">
        <v>9</v>
      </c>
      <c r="E27" s="577">
        <v>11.275</v>
      </c>
      <c r="F27" s="577">
        <v>12</v>
      </c>
      <c r="G27" s="577">
        <v>13</v>
      </c>
      <c r="H27" s="577">
        <v>14.641</v>
      </c>
      <c r="I27" s="577">
        <v>15.398</v>
      </c>
      <c r="J27" s="577">
        <v>15.794</v>
      </c>
      <c r="K27" s="577">
        <v>18.380000000000003</v>
      </c>
      <c r="L27" s="577">
        <v>19.378</v>
      </c>
      <c r="M27" s="577">
        <v>20.795999999999999</v>
      </c>
      <c r="N27" s="577">
        <v>22.562999999999999</v>
      </c>
      <c r="O27" s="577">
        <v>24.667000000000002</v>
      </c>
      <c r="P27" s="577">
        <v>26.304000000000002</v>
      </c>
      <c r="Q27" s="577">
        <v>26.952999999999999</v>
      </c>
      <c r="R27" s="577">
        <v>27.928999999999998</v>
      </c>
      <c r="S27" s="577">
        <v>28.425999999999998</v>
      </c>
      <c r="T27" s="577">
        <v>29.588000000000001</v>
      </c>
      <c r="U27" s="577">
        <v>30.735000000000003</v>
      </c>
      <c r="V27" s="577">
        <v>32.519999999999996</v>
      </c>
      <c r="W27" s="577">
        <v>34.408000000000001</v>
      </c>
      <c r="X27" s="577">
        <v>34.735999999999997</v>
      </c>
      <c r="Y27" s="578">
        <v>35.628</v>
      </c>
      <c r="Z27" s="577">
        <v>36.813000000000002</v>
      </c>
      <c r="AA27" s="577">
        <f>27.046+5.339+4.934</f>
        <v>37.318999999999996</v>
      </c>
      <c r="AB27" s="577">
        <f>27.635+5.298+4.726</f>
        <v>37.658999999999999</v>
      </c>
      <c r="AC27" s="577">
        <f>28.521+5.311+4.602</f>
        <v>38.433999999999997</v>
      </c>
      <c r="AD27" s="577">
        <f>29.668+5.404+4.502</f>
        <v>39.574000000000005</v>
      </c>
      <c r="AE27" s="577">
        <v>41.247999999999998</v>
      </c>
      <c r="AF27" s="577">
        <v>43.2</v>
      </c>
      <c r="AG27" s="575">
        <v>4.2300500328498458</v>
      </c>
      <c r="AH27" s="213" t="s">
        <v>76</v>
      </c>
      <c r="AK27" s="1039">
        <v>43.2</v>
      </c>
      <c r="AL27" s="1036" t="e">
        <f t="shared" si="0"/>
        <v>#DIV/0!</v>
      </c>
      <c r="AM27" s="946" t="s">
        <v>76</v>
      </c>
    </row>
    <row r="28" spans="1:39" ht="12.75" customHeight="1">
      <c r="A28" s="212"/>
      <c r="B28" s="213" t="s">
        <v>72</v>
      </c>
      <c r="C28" s="576"/>
      <c r="D28" s="575"/>
      <c r="E28" s="577"/>
      <c r="F28" s="577"/>
      <c r="G28" s="577"/>
      <c r="H28" s="577"/>
      <c r="I28" s="577">
        <v>66.436000000000007</v>
      </c>
      <c r="J28" s="577">
        <v>68.668000000000006</v>
      </c>
      <c r="K28" s="577">
        <v>72.909000000000006</v>
      </c>
      <c r="L28" s="577">
        <v>76.771000000000001</v>
      </c>
      <c r="M28" s="577">
        <v>84.941999999999993</v>
      </c>
      <c r="N28" s="577">
        <v>90.22</v>
      </c>
      <c r="O28" s="577">
        <v>97.081000000000003</v>
      </c>
      <c r="P28" s="577">
        <v>99.707999999999998</v>
      </c>
      <c r="Q28" s="577">
        <v>102.73399999999999</v>
      </c>
      <c r="R28" s="577">
        <v>104.626</v>
      </c>
      <c r="S28" s="577">
        <v>107.553</v>
      </c>
      <c r="T28" s="577">
        <v>113.113</v>
      </c>
      <c r="U28" s="577">
        <v>121.12</v>
      </c>
      <c r="V28" s="577">
        <v>129.614</v>
      </c>
      <c r="W28" s="577">
        <v>129.80500000000001</v>
      </c>
      <c r="X28" s="577">
        <v>120.571</v>
      </c>
      <c r="Y28" s="577">
        <v>71.575000000000003</v>
      </c>
      <c r="Z28" s="577">
        <v>72.622</v>
      </c>
      <c r="AA28" s="577">
        <v>76.302999999999997</v>
      </c>
      <c r="AB28" s="577">
        <v>79.899000000000001</v>
      </c>
      <c r="AC28" s="577">
        <v>83.204999999999998</v>
      </c>
      <c r="AD28" s="577">
        <v>85.998000000000005</v>
      </c>
      <c r="AE28" s="577">
        <v>84.066999999999993</v>
      </c>
      <c r="AF28" s="577">
        <v>87.1</v>
      </c>
      <c r="AG28" s="575">
        <v>-2.2454010558385278</v>
      </c>
      <c r="AH28" s="213" t="s">
        <v>72</v>
      </c>
      <c r="AK28" s="1039">
        <v>87.1</v>
      </c>
      <c r="AL28" s="1036" t="e">
        <f t="shared" si="0"/>
        <v>#DIV/0!</v>
      </c>
      <c r="AM28" s="946" t="s">
        <v>72</v>
      </c>
    </row>
    <row r="29" spans="1:39" ht="12.75" customHeight="1">
      <c r="A29" s="212"/>
      <c r="B29" s="213" t="s">
        <v>78</v>
      </c>
      <c r="C29" s="576"/>
      <c r="D29" s="575" t="s">
        <v>203</v>
      </c>
      <c r="E29" s="577" t="s">
        <v>203</v>
      </c>
      <c r="F29" s="577"/>
      <c r="G29" s="577"/>
      <c r="H29" s="577">
        <v>34.024000000000001</v>
      </c>
      <c r="I29" s="577">
        <v>37.600999999999999</v>
      </c>
      <c r="J29" s="577">
        <v>40.835000000000001</v>
      </c>
      <c r="K29" s="577">
        <v>38.430999999999997</v>
      </c>
      <c r="L29" s="577">
        <v>46.311999999999998</v>
      </c>
      <c r="M29" s="577">
        <v>48.402999999999999</v>
      </c>
      <c r="N29" s="577">
        <v>50.046999999999997</v>
      </c>
      <c r="O29" s="577">
        <v>51.463000000000001</v>
      </c>
      <c r="P29" s="583">
        <v>43.662999999999997</v>
      </c>
      <c r="Q29" s="577">
        <v>43.852000000000004</v>
      </c>
      <c r="R29" s="577">
        <v>44.656999999999996</v>
      </c>
      <c r="S29" s="577">
        <v>44.575000000000003</v>
      </c>
      <c r="T29" s="577">
        <v>44.371000000000002</v>
      </c>
      <c r="U29" s="577">
        <v>45.505000000000003</v>
      </c>
      <c r="V29" s="577">
        <v>46.853000000000002</v>
      </c>
      <c r="W29" s="577">
        <v>48.21</v>
      </c>
      <c r="X29" s="577">
        <v>47.212000000000003</v>
      </c>
      <c r="Y29" s="577">
        <f>41.257+1.197</f>
        <v>42.454000000000001</v>
      </c>
      <c r="Z29" s="577">
        <f>41.391+1.148</f>
        <v>42.539000000000001</v>
      </c>
      <c r="AA29" s="577">
        <f>41.155+1.09</f>
        <v>42.245000000000005</v>
      </c>
      <c r="AB29" s="577">
        <f>41.72+1.13</f>
        <v>42.85</v>
      </c>
      <c r="AC29" s="577">
        <f>42.177+1.157</f>
        <v>43.334000000000003</v>
      </c>
      <c r="AD29" s="577">
        <f>43.026+1.125</f>
        <v>44.151000000000003</v>
      </c>
      <c r="AE29" s="577">
        <v>45.338000000000001</v>
      </c>
      <c r="AF29" s="577">
        <v>47.070999999999998</v>
      </c>
      <c r="AG29" s="575">
        <v>2.0988154753862176</v>
      </c>
      <c r="AH29" s="213" t="s">
        <v>78</v>
      </c>
      <c r="AK29" s="1039">
        <f>45.94+1.131</f>
        <v>47.070999999999998</v>
      </c>
      <c r="AL29" s="1036" t="e">
        <f t="shared" si="0"/>
        <v>#DIV/0!</v>
      </c>
      <c r="AM29" s="946" t="s">
        <v>78</v>
      </c>
    </row>
    <row r="30" spans="1:39" ht="12.75" customHeight="1">
      <c r="A30" s="212"/>
      <c r="B30" s="221" t="s">
        <v>16</v>
      </c>
      <c r="C30" s="570">
        <v>286</v>
      </c>
      <c r="D30" s="571">
        <v>314</v>
      </c>
      <c r="E30" s="567">
        <v>553</v>
      </c>
      <c r="F30" s="567">
        <v>578</v>
      </c>
      <c r="G30" s="567">
        <v>619</v>
      </c>
      <c r="H30" s="567">
        <v>641</v>
      </c>
      <c r="I30" s="567">
        <v>644</v>
      </c>
      <c r="J30" s="567">
        <v>654</v>
      </c>
      <c r="K30" s="567">
        <v>684</v>
      </c>
      <c r="L30" s="567">
        <v>727</v>
      </c>
      <c r="M30" s="567">
        <v>795</v>
      </c>
      <c r="N30" s="567">
        <v>836.04700000000003</v>
      </c>
      <c r="O30" s="567">
        <v>898.99799999999993</v>
      </c>
      <c r="P30" s="567">
        <v>942.3130000000001</v>
      </c>
      <c r="Q30" s="567">
        <v>980.26700000000005</v>
      </c>
      <c r="R30" s="567">
        <v>1009.6420000000001</v>
      </c>
      <c r="S30" s="567">
        <v>1035.5930000000001</v>
      </c>
      <c r="T30" s="567">
        <v>1004.5060000000001</v>
      </c>
      <c r="U30" s="567">
        <v>995.73299999999995</v>
      </c>
      <c r="V30" s="567">
        <v>1010.402</v>
      </c>
      <c r="W30" s="567">
        <v>1025.9059999999999</v>
      </c>
      <c r="X30" s="567">
        <v>1017.2829999999999</v>
      </c>
      <c r="Y30" s="567">
        <v>1003.9649999999999</v>
      </c>
      <c r="Z30" s="567">
        <v>990.69799999999998</v>
      </c>
      <c r="AA30" s="567">
        <v>969.63900000000001</v>
      </c>
      <c r="AB30" s="567">
        <f>815.169+65.046+71.063</f>
        <v>951.27800000000002</v>
      </c>
      <c r="AC30" s="567">
        <f>814.954+63.356+70.533</f>
        <v>948.84299999999996</v>
      </c>
      <c r="AD30" s="567">
        <f>828.383+62.436+72.245</f>
        <v>963.06400000000008</v>
      </c>
      <c r="AE30" s="567">
        <v>989.00499999999988</v>
      </c>
      <c r="AF30" s="567">
        <v>1023.0060000000001</v>
      </c>
      <c r="AG30" s="571">
        <v>2.6935904571243157</v>
      </c>
      <c r="AH30" s="221" t="s">
        <v>16</v>
      </c>
      <c r="AK30" s="1038">
        <f>883.35+62.581+77.075</f>
        <v>1023.0060000000001</v>
      </c>
      <c r="AL30" s="1034" t="e">
        <f t="shared" si="0"/>
        <v>#DIV/0!</v>
      </c>
      <c r="AM30" s="767" t="s">
        <v>16</v>
      </c>
    </row>
    <row r="31" spans="1:39" ht="12.75" customHeight="1">
      <c r="A31" s="212"/>
      <c r="B31" s="221" t="s">
        <v>80</v>
      </c>
      <c r="C31" s="570"/>
      <c r="D31" s="571" t="s">
        <v>203</v>
      </c>
      <c r="E31" s="567" t="s">
        <v>203</v>
      </c>
      <c r="F31" s="567"/>
      <c r="G31" s="567"/>
      <c r="H31" s="572">
        <v>999.84500000000003</v>
      </c>
      <c r="I31" s="567">
        <v>1053.979</v>
      </c>
      <c r="J31" s="567">
        <v>1354.0989999999999</v>
      </c>
      <c r="K31" s="567">
        <v>1431.357</v>
      </c>
      <c r="L31" s="567">
        <v>1487.4389999999999</v>
      </c>
      <c r="M31" s="567">
        <v>1562.8140000000001</v>
      </c>
      <c r="N31" s="567">
        <v>1682.8869999999999</v>
      </c>
      <c r="O31" s="567">
        <v>1879.068</v>
      </c>
      <c r="P31" s="567">
        <v>1979.2929999999999</v>
      </c>
      <c r="Q31" s="567">
        <v>2162.614</v>
      </c>
      <c r="R31" s="567">
        <v>2313.4190000000003</v>
      </c>
      <c r="S31" s="567">
        <v>2391.605</v>
      </c>
      <c r="T31" s="567">
        <v>2304.5050000000001</v>
      </c>
      <c r="U31" s="567">
        <v>2392.6579999999999</v>
      </c>
      <c r="V31" s="567">
        <v>2520.5480000000002</v>
      </c>
      <c r="W31" s="567">
        <v>2709.6970000000001</v>
      </c>
      <c r="X31" s="567">
        <v>2796.7670000000003</v>
      </c>
      <c r="Y31" s="567">
        <v>2981.616</v>
      </c>
      <c r="Z31" s="567">
        <v>3130.7289999999998</v>
      </c>
      <c r="AA31" s="567">
        <v>3178.0050000000001</v>
      </c>
      <c r="AB31" s="567">
        <f>2962.064+280.42</f>
        <v>3242.4839999999999</v>
      </c>
      <c r="AC31" s="567">
        <f>3037.427+303.189</f>
        <v>3340.616</v>
      </c>
      <c r="AD31" s="567">
        <f>3098.376+329.589</f>
        <v>3427.9650000000001</v>
      </c>
      <c r="AE31" s="567">
        <v>3542.2790000000005</v>
      </c>
      <c r="AF31" s="567">
        <v>3640</v>
      </c>
      <c r="AG31" s="571">
        <v>3.3347481669153751</v>
      </c>
      <c r="AH31" s="221" t="s">
        <v>80</v>
      </c>
      <c r="AK31" s="1038">
        <v>3640</v>
      </c>
      <c r="AL31" s="1034" t="e">
        <f t="shared" si="0"/>
        <v>#DIV/0!</v>
      </c>
      <c r="AM31" s="767" t="s">
        <v>80</v>
      </c>
    </row>
    <row r="32" spans="1:39" ht="12.75" customHeight="1">
      <c r="A32" s="212"/>
      <c r="B32" s="213" t="s">
        <v>92</v>
      </c>
      <c r="C32" s="576">
        <v>157</v>
      </c>
      <c r="D32" s="575">
        <v>350</v>
      </c>
      <c r="E32" s="577">
        <v>781</v>
      </c>
      <c r="F32" s="577">
        <v>847</v>
      </c>
      <c r="G32" s="577">
        <v>928</v>
      </c>
      <c r="H32" s="577">
        <v>1011</v>
      </c>
      <c r="I32" s="577">
        <v>868.24599999999998</v>
      </c>
      <c r="J32" s="577">
        <v>912.29</v>
      </c>
      <c r="K32" s="577">
        <v>969.69899999999996</v>
      </c>
      <c r="L32" s="577">
        <v>1076.556</v>
      </c>
      <c r="M32" s="577">
        <v>1105.287</v>
      </c>
      <c r="N32" s="577">
        <v>1232.3119999999999</v>
      </c>
      <c r="O32" s="577">
        <v>1313.223</v>
      </c>
      <c r="P32" s="577">
        <v>1401.3050000000001</v>
      </c>
      <c r="Q32" s="577">
        <v>1377.335</v>
      </c>
      <c r="R32" s="577">
        <v>1256.8579999999999</v>
      </c>
      <c r="S32" s="584">
        <v>1300</v>
      </c>
      <c r="T32" s="584">
        <v>1308</v>
      </c>
      <c r="U32" s="583">
        <v>1320</v>
      </c>
      <c r="V32" s="577">
        <v>1333</v>
      </c>
      <c r="W32" s="584">
        <v>1335</v>
      </c>
      <c r="X32" s="577">
        <v>1337</v>
      </c>
      <c r="Y32" s="577">
        <v>1337</v>
      </c>
      <c r="Z32" s="577">
        <v>1335.5</v>
      </c>
      <c r="AA32" s="577">
        <f>1170+125</f>
        <v>1295</v>
      </c>
      <c r="AB32" s="577">
        <v>1258.3999999999999</v>
      </c>
      <c r="AC32" s="577">
        <f>1118+119</f>
        <v>1237</v>
      </c>
      <c r="AD32" s="577">
        <f>1110+119</f>
        <v>1229</v>
      </c>
      <c r="AE32" s="577">
        <v>1310.4739999999999</v>
      </c>
      <c r="AF32" s="577">
        <v>1336.8</v>
      </c>
      <c r="AG32" s="575">
        <v>-0.20902834942229731</v>
      </c>
      <c r="AH32" s="213" t="s">
        <v>92</v>
      </c>
      <c r="AK32" s="1039">
        <v>1336.8</v>
      </c>
      <c r="AL32" s="1036" t="e">
        <f t="shared" si="0"/>
        <v>#DIV/0!</v>
      </c>
      <c r="AM32" s="946" t="s">
        <v>92</v>
      </c>
    </row>
    <row r="33" spans="1:39" ht="12.75" customHeight="1">
      <c r="A33" s="212"/>
      <c r="B33" s="221" t="s">
        <v>101</v>
      </c>
      <c r="C33" s="570"/>
      <c r="D33" s="571">
        <v>250</v>
      </c>
      <c r="E33" s="567">
        <v>258.70100000000002</v>
      </c>
      <c r="F33" s="572">
        <v>259.56599999999997</v>
      </c>
      <c r="G33" s="567">
        <v>275.48700000000002</v>
      </c>
      <c r="H33" s="567">
        <v>298.31799999999998</v>
      </c>
      <c r="I33" s="567">
        <v>322.41699999999997</v>
      </c>
      <c r="J33" s="567">
        <v>343.06400000000002</v>
      </c>
      <c r="K33" s="567">
        <v>376.81700000000001</v>
      </c>
      <c r="L33" s="567">
        <v>390.18099999999998</v>
      </c>
      <c r="M33" s="567">
        <v>405.74299999999999</v>
      </c>
      <c r="N33" s="567">
        <v>417.78</v>
      </c>
      <c r="O33" s="567">
        <v>427.15199999999999</v>
      </c>
      <c r="P33" s="567">
        <v>437.96800000000002</v>
      </c>
      <c r="Q33" s="567">
        <v>447.29899999999998</v>
      </c>
      <c r="R33" s="567">
        <v>463.09899999999999</v>
      </c>
      <c r="S33" s="567">
        <v>482.42500000000001</v>
      </c>
      <c r="T33" s="567">
        <v>493.82100000000003</v>
      </c>
      <c r="U33" s="567">
        <v>545.29999999999995</v>
      </c>
      <c r="V33" s="567">
        <v>501.95699999999999</v>
      </c>
      <c r="W33" s="567">
        <v>645.34</v>
      </c>
      <c r="X33" s="567">
        <v>661.9</v>
      </c>
      <c r="Y33" s="567">
        <v>667.21900000000005</v>
      </c>
      <c r="Z33" s="567">
        <v>696.26</v>
      </c>
      <c r="AA33" s="567">
        <v>719.92600000000004</v>
      </c>
      <c r="AB33" s="567">
        <v>761.55399999999997</v>
      </c>
      <c r="AC33" s="567">
        <f>712.317+94.206</f>
        <v>806.52300000000002</v>
      </c>
      <c r="AD33" s="567">
        <f>750.497+105.76</f>
        <v>856.25699999999995</v>
      </c>
      <c r="AE33" s="567">
        <v>912.79</v>
      </c>
      <c r="AF33" s="567">
        <v>975.2</v>
      </c>
      <c r="AG33" s="571">
        <v>6.6023401852481243</v>
      </c>
      <c r="AH33" s="221" t="s">
        <v>101</v>
      </c>
      <c r="AK33" s="1038">
        <v>975.2</v>
      </c>
      <c r="AL33" s="1034" t="e">
        <f t="shared" si="0"/>
        <v>#DIV/0!</v>
      </c>
      <c r="AM33" s="767" t="s">
        <v>101</v>
      </c>
    </row>
    <row r="34" spans="1:39" ht="12.75" customHeight="1">
      <c r="A34" s="212"/>
      <c r="B34" s="221" t="s">
        <v>88</v>
      </c>
      <c r="C34" s="570">
        <v>145</v>
      </c>
      <c r="D34" s="571">
        <v>181.57</v>
      </c>
      <c r="E34" s="567">
        <v>309.52</v>
      </c>
      <c r="F34" s="567">
        <v>309.81</v>
      </c>
      <c r="G34" s="567">
        <v>304.99</v>
      </c>
      <c r="H34" s="567">
        <v>305.68600000000004</v>
      </c>
      <c r="I34" s="567">
        <v>307.916</v>
      </c>
      <c r="J34" s="567">
        <v>307.709</v>
      </c>
      <c r="K34" s="567">
        <v>311.75099999999998</v>
      </c>
      <c r="L34" s="567">
        <v>321.31</v>
      </c>
      <c r="M34" s="567">
        <v>337.97300000000001</v>
      </c>
      <c r="N34" s="567">
        <v>354.29300000000001</v>
      </c>
      <c r="O34" s="567">
        <v>374.22199999999998</v>
      </c>
      <c r="P34" s="567">
        <v>395.69299999999998</v>
      </c>
      <c r="Q34" s="567">
        <v>408.94</v>
      </c>
      <c r="R34" s="567">
        <v>421.56099999999998</v>
      </c>
      <c r="S34" s="567">
        <v>439.98500000000001</v>
      </c>
      <c r="T34" s="567">
        <v>461.161</v>
      </c>
      <c r="U34" s="567">
        <v>479.79399999999998</v>
      </c>
      <c r="V34" s="567">
        <v>504.08499999999998</v>
      </c>
      <c r="W34" s="567">
        <v>510.19900000000001</v>
      </c>
      <c r="X34" s="567">
        <v>514.57600000000002</v>
      </c>
      <c r="Y34" s="567">
        <v>526.44100000000003</v>
      </c>
      <c r="Z34" s="567">
        <v>548.27200000000005</v>
      </c>
      <c r="AA34" s="567">
        <v>556.82100000000003</v>
      </c>
      <c r="AB34" s="567">
        <v>565.18200000000002</v>
      </c>
      <c r="AC34" s="567">
        <v>581.20500000000004</v>
      </c>
      <c r="AD34" s="567">
        <v>596.21400000000006</v>
      </c>
      <c r="AE34" s="567">
        <v>616.178</v>
      </c>
      <c r="AF34" s="567">
        <v>632.5</v>
      </c>
      <c r="AG34" s="571">
        <v>3.3484621293696506</v>
      </c>
      <c r="AH34" s="221" t="s">
        <v>88</v>
      </c>
      <c r="AK34" s="1038">
        <v>632.5</v>
      </c>
      <c r="AL34" s="1034" t="e">
        <f t="shared" si="0"/>
        <v>#DIV/0!</v>
      </c>
      <c r="AM34" s="767" t="s">
        <v>88</v>
      </c>
    </row>
    <row r="35" spans="1:39" ht="12.75" customHeight="1">
      <c r="A35" s="212"/>
      <c r="B35" s="213" t="s">
        <v>83</v>
      </c>
      <c r="C35" s="576">
        <v>15.946</v>
      </c>
      <c r="D35" s="575">
        <v>28.454999999999998</v>
      </c>
      <c r="E35" s="577">
        <v>30.766999999999999</v>
      </c>
      <c r="F35" s="577">
        <v>30.771999999999998</v>
      </c>
      <c r="G35" s="577">
        <v>34.535000000000004</v>
      </c>
      <c r="H35" s="577">
        <v>36.976000000000006</v>
      </c>
      <c r="I35" s="577">
        <v>38.852000000000004</v>
      </c>
      <c r="J35" s="577">
        <v>42.866999999999997</v>
      </c>
      <c r="K35" s="577">
        <v>45.588999999999999</v>
      </c>
      <c r="L35" s="577">
        <v>47.88</v>
      </c>
      <c r="M35" s="577">
        <v>49.513000000000005</v>
      </c>
      <c r="N35" s="577">
        <v>51.741</v>
      </c>
      <c r="O35" s="577">
        <v>54.262999999999998</v>
      </c>
      <c r="P35" s="577">
        <v>56.114999999999995</v>
      </c>
      <c r="Q35" s="577">
        <v>57.9</v>
      </c>
      <c r="R35" s="577">
        <v>59.801000000000002</v>
      </c>
      <c r="S35" s="577">
        <v>63.177999999999997</v>
      </c>
      <c r="T35" s="577">
        <v>66.447000000000003</v>
      </c>
      <c r="U35" s="577">
        <v>70.132000000000005</v>
      </c>
      <c r="V35" s="577">
        <v>77.567999999999998</v>
      </c>
      <c r="W35" s="577">
        <v>83.909000000000006</v>
      </c>
      <c r="X35" s="577">
        <v>83.632999999999996</v>
      </c>
      <c r="Y35" s="577">
        <v>84.106999999999999</v>
      </c>
      <c r="Z35" s="577">
        <v>84.644000000000005</v>
      </c>
      <c r="AA35" s="577">
        <v>84.408000000000001</v>
      </c>
      <c r="AB35" s="585">
        <f>68.264+9.638+7.036</f>
        <v>84.938000000000002</v>
      </c>
      <c r="AC35" s="577">
        <f>77.103+10.162</f>
        <v>87.265000000000001</v>
      </c>
      <c r="AD35" s="577">
        <f>79.95+11.326</f>
        <v>91.27600000000001</v>
      </c>
      <c r="AE35" s="577">
        <v>96.891999999999996</v>
      </c>
      <c r="AF35" s="577">
        <v>103.3</v>
      </c>
      <c r="AG35" s="575">
        <v>6.1527674306498739</v>
      </c>
      <c r="AH35" s="213" t="s">
        <v>83</v>
      </c>
      <c r="AK35" s="1039">
        <v>103.3</v>
      </c>
      <c r="AL35" s="1036" t="e">
        <f t="shared" si="0"/>
        <v>#DIV/0!</v>
      </c>
      <c r="AM35" s="946" t="s">
        <v>83</v>
      </c>
    </row>
    <row r="36" spans="1:39" ht="12.75" customHeight="1">
      <c r="A36" s="212"/>
      <c r="B36" s="221" t="s">
        <v>85</v>
      </c>
      <c r="C36" s="564"/>
      <c r="D36" s="565"/>
      <c r="E36" s="566">
        <v>91.994</v>
      </c>
      <c r="F36" s="567">
        <v>95.335999999999999</v>
      </c>
      <c r="G36" s="567">
        <v>102.295</v>
      </c>
      <c r="H36" s="567">
        <v>101.55200000000001</v>
      </c>
      <c r="I36" s="567">
        <v>102.47</v>
      </c>
      <c r="J36" s="567">
        <v>102.634</v>
      </c>
      <c r="K36" s="567">
        <v>97.078000000000003</v>
      </c>
      <c r="L36" s="567">
        <v>103.68</v>
      </c>
      <c r="M36" s="567">
        <v>112.80200000000001</v>
      </c>
      <c r="N36" s="567">
        <v>118.28699999999999</v>
      </c>
      <c r="O36" s="567">
        <v>113.995</v>
      </c>
      <c r="P36" s="567">
        <v>125.393</v>
      </c>
      <c r="Q36" s="567">
        <v>137.17099999999999</v>
      </c>
      <c r="R36" s="567">
        <v>150.99099999999999</v>
      </c>
      <c r="S36" s="567">
        <v>151.83000000000001</v>
      </c>
      <c r="T36" s="567">
        <v>174.23</v>
      </c>
      <c r="U36" s="567">
        <v>189.256</v>
      </c>
      <c r="V36" s="567">
        <v>215.697</v>
      </c>
      <c r="W36" s="567">
        <v>248.66199999999998</v>
      </c>
      <c r="X36" s="567">
        <v>269.322</v>
      </c>
      <c r="Y36" s="567">
        <v>276.04900000000004</v>
      </c>
      <c r="Z36" s="567">
        <v>281.81100000000004</v>
      </c>
      <c r="AA36" s="567">
        <v>285.97800000000001</v>
      </c>
      <c r="AB36" s="567">
        <f>261.84+27.561</f>
        <v>289.40099999999995</v>
      </c>
      <c r="AC36" s="567">
        <f>265.424+28.429</f>
        <v>293.85299999999995</v>
      </c>
      <c r="AD36" s="567">
        <f>272.955+29.928</f>
        <v>302.88299999999998</v>
      </c>
      <c r="AE36" s="567">
        <v>309.29000000000002</v>
      </c>
      <c r="AF36" s="567">
        <v>316.7</v>
      </c>
      <c r="AG36" s="571">
        <v>2.1153382659310864</v>
      </c>
      <c r="AH36" s="221" t="s">
        <v>85</v>
      </c>
      <c r="AK36" s="1038">
        <v>316.7</v>
      </c>
      <c r="AL36" s="1034" t="e">
        <f t="shared" si="0"/>
        <v>#DIV/0!</v>
      </c>
      <c r="AM36" s="767" t="s">
        <v>85</v>
      </c>
    </row>
    <row r="37" spans="1:39" ht="12.75" customHeight="1">
      <c r="A37" s="212"/>
      <c r="B37" s="217" t="s">
        <v>13</v>
      </c>
      <c r="C37" s="587">
        <v>1749</v>
      </c>
      <c r="D37" s="588">
        <v>1828</v>
      </c>
      <c r="E37" s="589">
        <v>2706</v>
      </c>
      <c r="F37" s="589">
        <v>2640</v>
      </c>
      <c r="G37" s="589">
        <v>2639</v>
      </c>
      <c r="H37" s="589">
        <v>2589</v>
      </c>
      <c r="I37" s="589">
        <v>2585</v>
      </c>
      <c r="J37" s="589">
        <v>2565</v>
      </c>
      <c r="K37" s="589">
        <v>2618</v>
      </c>
      <c r="L37" s="590">
        <v>2679</v>
      </c>
      <c r="M37" s="589">
        <v>2789</v>
      </c>
      <c r="N37" s="589">
        <v>2872.7</v>
      </c>
      <c r="O37" s="589">
        <v>2928.3</v>
      </c>
      <c r="P37" s="589">
        <v>3019.6</v>
      </c>
      <c r="Q37" s="589">
        <v>3111.9</v>
      </c>
      <c r="R37" s="589">
        <v>3236.6</v>
      </c>
      <c r="S37" s="589">
        <v>3425.2</v>
      </c>
      <c r="T37" s="589">
        <v>3552.4</v>
      </c>
      <c r="U37" s="589">
        <v>3641.1</v>
      </c>
      <c r="V37" s="589">
        <v>3778.7000000000003</v>
      </c>
      <c r="W37" s="589">
        <v>3805.8</v>
      </c>
      <c r="X37" s="589">
        <v>3782.07</v>
      </c>
      <c r="Y37" s="589">
        <v>3796.8630000000003</v>
      </c>
      <c r="Z37" s="589">
        <v>3833.2350000000001</v>
      </c>
      <c r="AA37" s="589">
        <f>3280.6+460.6+97.087+22.384</f>
        <v>3860.6709999999998</v>
      </c>
      <c r="AB37" s="589">
        <f>3353.9+468.9+117.498</f>
        <v>3940.2980000000002</v>
      </c>
      <c r="AC37" s="589">
        <f>3569.6+496.8</f>
        <v>4066.4</v>
      </c>
      <c r="AD37" s="589">
        <f>3736.036+506.211</f>
        <v>4242.2470000000003</v>
      </c>
      <c r="AE37" s="589">
        <v>4406.8</v>
      </c>
      <c r="AF37" s="589">
        <v>4534.6000000000004</v>
      </c>
      <c r="AG37" s="588">
        <v>3.8789113410888234</v>
      </c>
      <c r="AH37" s="217" t="s">
        <v>13</v>
      </c>
      <c r="AK37" s="1041">
        <f>4011.3+523.3</f>
        <v>4534.6000000000004</v>
      </c>
      <c r="AL37" s="1042" t="e">
        <f t="shared" si="0"/>
        <v>#DIV/0!</v>
      </c>
      <c r="AM37" s="956" t="s">
        <v>13</v>
      </c>
    </row>
    <row r="38" spans="1:39" ht="12.75" customHeight="1">
      <c r="A38" s="212"/>
      <c r="B38" s="251" t="s">
        <v>270</v>
      </c>
      <c r="C38" s="591"/>
      <c r="D38" s="559"/>
      <c r="E38" s="567"/>
      <c r="F38" s="567"/>
      <c r="G38" s="567"/>
      <c r="H38" s="567">
        <v>39.335000000000001</v>
      </c>
      <c r="I38" s="567">
        <v>51.113</v>
      </c>
      <c r="J38" s="567">
        <v>29.123999999999999</v>
      </c>
      <c r="K38" s="567">
        <v>30.612000000000002</v>
      </c>
      <c r="L38" s="567">
        <v>33.256</v>
      </c>
      <c r="M38" s="567">
        <v>37.109000000000002</v>
      </c>
      <c r="N38" s="567">
        <v>37.125999999999998</v>
      </c>
      <c r="O38" s="567">
        <v>45.575000000000003</v>
      </c>
      <c r="P38" s="567">
        <v>52.320999999999998</v>
      </c>
      <c r="Q38" s="567">
        <v>54.63</v>
      </c>
      <c r="R38" s="567">
        <v>56.856999999999999</v>
      </c>
      <c r="S38" s="567">
        <v>48.774999999999999</v>
      </c>
      <c r="T38" s="567">
        <v>47.332999999999998</v>
      </c>
      <c r="U38" s="567">
        <v>41.318000000000005</v>
      </c>
      <c r="V38" s="567">
        <v>61.621000000000002</v>
      </c>
      <c r="W38" s="567">
        <v>79.054000000000002</v>
      </c>
      <c r="X38" s="567">
        <v>79.307000000000002</v>
      </c>
      <c r="Y38" s="567">
        <v>83.718999999999994</v>
      </c>
      <c r="Z38" s="567">
        <v>71.209000000000003</v>
      </c>
      <c r="AA38" s="567">
        <v>60</v>
      </c>
      <c r="AB38" s="567">
        <v>65.260000000000005</v>
      </c>
      <c r="AC38" s="567">
        <v>68.676000000000002</v>
      </c>
      <c r="AD38" s="567">
        <v>71.010999999999996</v>
      </c>
      <c r="AE38" s="567"/>
      <c r="AF38" s="567"/>
      <c r="AG38" s="571">
        <f t="shared" ref="AG38:AG46" si="1">AD38/AC38*100-100</f>
        <v>3.4000232978041822</v>
      </c>
      <c r="AH38" s="221" t="s">
        <v>270</v>
      </c>
    </row>
    <row r="39" spans="1:39" ht="12.75" customHeight="1">
      <c r="A39" s="212"/>
      <c r="B39" s="213" t="s">
        <v>223</v>
      </c>
      <c r="C39" s="576"/>
      <c r="D39" s="575"/>
      <c r="E39" s="577"/>
      <c r="F39" s="577"/>
      <c r="G39" s="577"/>
      <c r="H39" s="577"/>
      <c r="I39" s="577"/>
      <c r="J39" s="577"/>
      <c r="K39" s="577"/>
      <c r="L39" s="577"/>
      <c r="M39" s="577"/>
      <c r="N39" s="577"/>
      <c r="O39" s="577"/>
      <c r="P39" s="577"/>
      <c r="Q39" s="577"/>
      <c r="R39" s="577"/>
      <c r="S39" s="577"/>
      <c r="T39" s="577"/>
      <c r="U39" s="577"/>
      <c r="V39" s="577"/>
      <c r="W39" s="577"/>
      <c r="X39" s="577"/>
      <c r="Y39" s="577"/>
      <c r="Z39" s="577">
        <f>12.394+1.095</f>
        <v>13.489000000000001</v>
      </c>
      <c r="AA39" s="577">
        <f>1.03+12.638</f>
        <v>13.667999999999999</v>
      </c>
      <c r="AB39" s="577">
        <f>12.848+0.959</f>
        <v>13.807</v>
      </c>
      <c r="AC39" s="577">
        <f>11.992+0.769+1.069</f>
        <v>13.830000000000002</v>
      </c>
      <c r="AD39" s="577">
        <f>12.517+0.661+1.163</f>
        <v>14.340999999999999</v>
      </c>
      <c r="AE39" s="577"/>
      <c r="AF39" s="577"/>
      <c r="AG39" s="575">
        <f t="shared" si="1"/>
        <v>3.6948662328271809</v>
      </c>
      <c r="AH39" s="213" t="s">
        <v>223</v>
      </c>
    </row>
    <row r="40" spans="1:39" ht="12.75" customHeight="1">
      <c r="A40" s="212"/>
      <c r="B40" s="221" t="s">
        <v>145</v>
      </c>
      <c r="C40" s="570"/>
      <c r="D40" s="571"/>
      <c r="E40" s="567"/>
      <c r="F40" s="567"/>
      <c r="G40" s="567"/>
      <c r="H40" s="567">
        <v>20.103999999999999</v>
      </c>
      <c r="I40" s="567">
        <v>20.026</v>
      </c>
      <c r="J40" s="567">
        <v>22.558</v>
      </c>
      <c r="K40" s="567">
        <v>21.937000000000001</v>
      </c>
      <c r="L40" s="567">
        <v>23.286000000000001</v>
      </c>
      <c r="M40" s="567">
        <v>23.44</v>
      </c>
      <c r="N40" s="567">
        <v>23.47</v>
      </c>
      <c r="O40" s="567">
        <v>24.628</v>
      </c>
      <c r="P40" s="567">
        <v>25.896000000000001</v>
      </c>
      <c r="Q40" s="567">
        <v>24.318000000000001</v>
      </c>
      <c r="R40" s="567">
        <f>19.042+3.952</f>
        <v>22.994</v>
      </c>
      <c r="S40" s="567">
        <f>15.196+3.194</f>
        <v>18.39</v>
      </c>
      <c r="T40" s="567">
        <f>14.702+3.339</f>
        <v>18.041</v>
      </c>
      <c r="U40" s="567">
        <f>13.545+3.411</f>
        <v>16.956</v>
      </c>
      <c r="V40" s="567">
        <f>12.981+3.575</f>
        <v>16.556000000000001</v>
      </c>
      <c r="W40" s="567">
        <f>13.325+3.94</f>
        <v>17.265000000000001</v>
      </c>
      <c r="X40" s="573">
        <f>27.771+4.263</f>
        <v>32.033999999999999</v>
      </c>
      <c r="Y40" s="567">
        <f>28.795+4.505</f>
        <v>33.300000000000004</v>
      </c>
      <c r="Z40" s="567">
        <f>27.917+4.636</f>
        <v>32.553000000000004</v>
      </c>
      <c r="AA40" s="567">
        <f>26.542+4.219</f>
        <v>30.761000000000003</v>
      </c>
      <c r="AB40" s="567">
        <f>30.167+4.934</f>
        <v>35.100999999999999</v>
      </c>
      <c r="AC40" s="567">
        <f>32.123+5.248</f>
        <v>37.370999999999995</v>
      </c>
      <c r="AD40" s="567">
        <f>33.237+5.451</f>
        <v>38.688000000000002</v>
      </c>
      <c r="AE40" s="567"/>
      <c r="AF40" s="567"/>
      <c r="AG40" s="571">
        <f t="shared" si="1"/>
        <v>3.5241229830617442</v>
      </c>
      <c r="AH40" s="221" t="s">
        <v>145</v>
      </c>
    </row>
    <row r="41" spans="1:39" ht="12.75" customHeight="1">
      <c r="A41" s="212"/>
      <c r="B41" s="213" t="s">
        <v>224</v>
      </c>
      <c r="C41" s="576"/>
      <c r="D41" s="575"/>
      <c r="E41" s="577"/>
      <c r="F41" s="577"/>
      <c r="G41" s="577"/>
      <c r="H41" s="577"/>
      <c r="I41" s="577"/>
      <c r="J41" s="577"/>
      <c r="K41" s="577"/>
      <c r="L41" s="577"/>
      <c r="M41" s="577"/>
      <c r="N41" s="577"/>
      <c r="O41" s="577"/>
      <c r="P41" s="577">
        <v>100.724</v>
      </c>
      <c r="Q41" s="577">
        <v>98.242000000000004</v>
      </c>
      <c r="R41" s="577">
        <v>102.916</v>
      </c>
      <c r="S41" s="577">
        <v>110.91200000000001</v>
      </c>
      <c r="T41" s="577">
        <v>118.259</v>
      </c>
      <c r="U41" s="577">
        <v>127.90900000000001</v>
      </c>
      <c r="V41" s="577">
        <v>131.459</v>
      </c>
      <c r="W41" s="577">
        <v>140.92099999999999</v>
      </c>
      <c r="X41" s="577">
        <v>149.68899999999999</v>
      </c>
      <c r="Y41" s="578">
        <v>151.68700000000001</v>
      </c>
      <c r="Z41" s="577">
        <v>159.45500000000001</v>
      </c>
      <c r="AA41" s="577">
        <v>144.07499999999999</v>
      </c>
      <c r="AB41" s="577">
        <v>140.85400000000001</v>
      </c>
      <c r="AC41" s="577">
        <v>139.22</v>
      </c>
      <c r="AD41" s="577">
        <v>139.886</v>
      </c>
      <c r="AE41" s="577"/>
      <c r="AF41" s="577"/>
      <c r="AG41" s="575">
        <f t="shared" si="1"/>
        <v>0.47837954316906917</v>
      </c>
      <c r="AH41" s="213" t="s">
        <v>224</v>
      </c>
    </row>
    <row r="42" spans="1:39" ht="12.75" customHeight="1">
      <c r="A42" s="212"/>
      <c r="B42" s="256" t="s">
        <v>146</v>
      </c>
      <c r="C42" s="592"/>
      <c r="D42" s="593" t="s">
        <v>203</v>
      </c>
      <c r="E42" s="594" t="s">
        <v>203</v>
      </c>
      <c r="F42" s="594"/>
      <c r="G42" s="594">
        <f>308.18+379.41</f>
        <v>687.59</v>
      </c>
      <c r="H42" s="594">
        <f>354.29+406.398</f>
        <v>760.6880000000001</v>
      </c>
      <c r="I42" s="594">
        <f>374.473+419.374</f>
        <v>793.84699999999998</v>
      </c>
      <c r="J42" s="594">
        <f>397.743+432.216</f>
        <v>829.95900000000006</v>
      </c>
      <c r="K42" s="594">
        <f>442.788+453.796</f>
        <v>896.58400000000006</v>
      </c>
      <c r="L42" s="594">
        <f>529.838+489.071</f>
        <v>1018.909</v>
      </c>
      <c r="M42" s="594">
        <f>626.004+519.749</f>
        <v>1145.7530000000002</v>
      </c>
      <c r="N42" s="594">
        <f>692.935+531.69</f>
        <v>1224.625</v>
      </c>
      <c r="O42" s="594">
        <f>794.459+557.295</f>
        <v>1351.7539999999999</v>
      </c>
      <c r="P42" s="594">
        <f>833.175+562.063</f>
        <v>1395.2379999999998</v>
      </c>
      <c r="Q42" s="594">
        <f>875.381+567.152</f>
        <v>1442.5329999999999</v>
      </c>
      <c r="R42" s="594">
        <f>973.457+579.01</f>
        <v>1552.4670000000001</v>
      </c>
      <c r="S42" s="594">
        <f>1259.867+647.42</f>
        <v>1907.2869999999998</v>
      </c>
      <c r="T42" s="594">
        <f>1475.057+676.929</f>
        <v>2151.9859999999999</v>
      </c>
      <c r="U42" s="594">
        <f>1695.624+709.535</f>
        <v>2405.1590000000001</v>
      </c>
      <c r="V42" s="594">
        <f>1890.459+729.202</f>
        <v>2619.6610000000001</v>
      </c>
      <c r="W42" s="594">
        <f>2066.007+744.217</f>
        <v>2810.2240000000002</v>
      </c>
      <c r="X42" s="594">
        <f>2204.951+727.302</f>
        <v>2932.2530000000002</v>
      </c>
      <c r="Y42" s="594">
        <f>2399.038+726.359</f>
        <v>3125.3969999999999</v>
      </c>
      <c r="Z42" s="594">
        <f>2611.104+728.458</f>
        <v>3339.5619999999999</v>
      </c>
      <c r="AA42" s="594">
        <f>2794.606+751.65</f>
        <v>3546.2560000000003</v>
      </c>
      <c r="AB42" s="594">
        <f>2933.05+755.95</f>
        <v>3689</v>
      </c>
      <c r="AC42" s="594">
        <f>3638.989+197.218</f>
        <v>3836.2069999999999</v>
      </c>
      <c r="AD42" s="594">
        <f>3844.725+214.893</f>
        <v>4059.6179999999999</v>
      </c>
      <c r="AE42" s="594"/>
      <c r="AF42" s="594"/>
      <c r="AG42" s="593">
        <f t="shared" si="1"/>
        <v>5.823747258685458</v>
      </c>
      <c r="AH42" s="256" t="s">
        <v>146</v>
      </c>
    </row>
    <row r="43" spans="1:39" ht="12.75" customHeight="1">
      <c r="A43" s="212"/>
      <c r="B43" s="378" t="s">
        <v>147</v>
      </c>
      <c r="C43" s="595"/>
      <c r="D43" s="596" t="s">
        <v>203</v>
      </c>
      <c r="E43" s="597">
        <f>7.707+5.415</f>
        <v>13.122</v>
      </c>
      <c r="F43" s="597">
        <f>7.615+7.008</f>
        <v>14.623000000000001</v>
      </c>
      <c r="G43" s="597">
        <f>6.777+8.068</f>
        <v>14.844999999999999</v>
      </c>
      <c r="H43" s="597">
        <f>6.506+7.945</f>
        <v>14.451000000000001</v>
      </c>
      <c r="I43" s="597">
        <f>6.392+7.956</f>
        <v>14.348000000000001</v>
      </c>
      <c r="J43" s="597">
        <f>6.445+8.312</f>
        <v>14.757</v>
      </c>
      <c r="K43" s="597">
        <f>6.594+8.666</f>
        <v>15.260000000000002</v>
      </c>
      <c r="L43" s="597">
        <f>6.812+9.216</f>
        <v>16.027999999999999</v>
      </c>
      <c r="M43" s="597">
        <f>6.76+9.79</f>
        <v>16.549999999999997</v>
      </c>
      <c r="N43" s="597">
        <f>7.028+10.779</f>
        <v>17.806999999999999</v>
      </c>
      <c r="O43" s="597">
        <f>7.466+11.966</f>
        <v>19.431999999999999</v>
      </c>
      <c r="P43" s="597">
        <f>7.618+12.372</f>
        <v>19.990000000000002</v>
      </c>
      <c r="Q43" s="597">
        <f>7.664+12.614</f>
        <v>20.277999999999999</v>
      </c>
      <c r="R43" s="597">
        <f>8.04+13.195</f>
        <v>21.234999999999999</v>
      </c>
      <c r="S43" s="597">
        <v>23.035</v>
      </c>
      <c r="T43" s="597">
        <f>9.508+16.036</f>
        <v>25.544</v>
      </c>
      <c r="U43" s="597">
        <v>28.087</v>
      </c>
      <c r="V43" s="597">
        <v>31.094999999999999</v>
      </c>
      <c r="W43" s="597">
        <v>31.818999999999999</v>
      </c>
      <c r="X43" s="597">
        <f>10.458+20.465</f>
        <v>30.923000000000002</v>
      </c>
      <c r="Y43" s="597">
        <v>30.437000000000001</v>
      </c>
      <c r="Z43" s="597">
        <v>30.209</v>
      </c>
      <c r="AA43" s="597">
        <v>30.338000000000001</v>
      </c>
      <c r="AB43" s="597">
        <v>30.657</v>
      </c>
      <c r="AC43" s="597">
        <v>31.364000000000001</v>
      </c>
      <c r="AD43" s="597">
        <v>33.023000000000003</v>
      </c>
      <c r="AE43" s="597"/>
      <c r="AF43" s="597"/>
      <c r="AG43" s="596">
        <f t="shared" si="1"/>
        <v>5.2895038898099784</v>
      </c>
      <c r="AH43" s="378" t="s">
        <v>147</v>
      </c>
    </row>
    <row r="44" spans="1:39" ht="12.75" customHeight="1">
      <c r="A44" s="212"/>
      <c r="B44" s="221" t="s">
        <v>148</v>
      </c>
      <c r="C44" s="570"/>
      <c r="D44" s="571" t="s">
        <v>203</v>
      </c>
      <c r="E44" s="567">
        <v>308.29899999999998</v>
      </c>
      <c r="F44" s="567">
        <v>311.06299999999999</v>
      </c>
      <c r="G44" s="567">
        <v>314.88200000000001</v>
      </c>
      <c r="H44" s="567">
        <v>323.387</v>
      </c>
      <c r="I44" s="567">
        <v>335.779</v>
      </c>
      <c r="J44" s="567">
        <v>349.50400000000002</v>
      </c>
      <c r="K44" s="567">
        <v>358.12799999999999</v>
      </c>
      <c r="L44" s="567">
        <v>377.01200000000006</v>
      </c>
      <c r="M44" s="567">
        <v>390.82900000000001</v>
      </c>
      <c r="N44" s="567">
        <v>403.03899999999999</v>
      </c>
      <c r="O44" s="567">
        <v>414.34</v>
      </c>
      <c r="P44" s="567">
        <v>426.97699999999998</v>
      </c>
      <c r="Q44" s="567">
        <v>431.02800000000002</v>
      </c>
      <c r="R44" s="567">
        <v>438.28200000000004</v>
      </c>
      <c r="S44" s="567">
        <v>449.80099999999999</v>
      </c>
      <c r="T44" s="567">
        <f>302.956+82.778+79.705</f>
        <v>465.43900000000002</v>
      </c>
      <c r="U44" s="567">
        <f>331.052+73.904+83.609</f>
        <v>488.565</v>
      </c>
      <c r="V44" s="567">
        <f>361.911+84.742+67.02</f>
        <v>513.673</v>
      </c>
      <c r="W44" s="567">
        <f>379.343+84.35+59.657</f>
        <v>523.35</v>
      </c>
      <c r="X44" s="567">
        <f>387.546+53.911+82.694</f>
        <v>524.15099999999995</v>
      </c>
      <c r="Y44" s="567">
        <f>397.279+48.432+81.33</f>
        <v>527.04100000000005</v>
      </c>
      <c r="Z44" s="567">
        <f>410.73+43.371+80.16</f>
        <v>534.26099999999997</v>
      </c>
      <c r="AA44" s="567">
        <v>542.52800000000002</v>
      </c>
      <c r="AB44" s="567">
        <f>434.636+79.437+34.232</f>
        <v>548.30499999999995</v>
      </c>
      <c r="AC44" s="567">
        <f>441.967+78.668+30.247</f>
        <v>550.88199999999995</v>
      </c>
      <c r="AD44" s="567">
        <f>450.385+77.12+26.605</f>
        <v>554.11</v>
      </c>
      <c r="AE44" s="567"/>
      <c r="AF44" s="567"/>
      <c r="AG44" s="571">
        <f t="shared" si="1"/>
        <v>0.58596940905675865</v>
      </c>
      <c r="AH44" s="221" t="s">
        <v>148</v>
      </c>
    </row>
    <row r="45" spans="1:39" ht="12.75" customHeight="1">
      <c r="A45" s="212"/>
      <c r="B45" s="213" t="s">
        <v>149</v>
      </c>
      <c r="C45" s="576">
        <v>106.997</v>
      </c>
      <c r="D45" s="575">
        <v>169.40199999999999</v>
      </c>
      <c r="E45" s="577">
        <v>252.136</v>
      </c>
      <c r="F45" s="577">
        <v>257.64600000000002</v>
      </c>
      <c r="G45" s="577">
        <v>256.61099999999999</v>
      </c>
      <c r="H45" s="577">
        <v>253.46100000000001</v>
      </c>
      <c r="I45" s="577">
        <v>256.28500000000003</v>
      </c>
      <c r="J45" s="577">
        <v>262.35199999999998</v>
      </c>
      <c r="K45" s="577">
        <v>263.02</v>
      </c>
      <c r="L45" s="577">
        <v>264.2</v>
      </c>
      <c r="M45" s="577">
        <v>267.38</v>
      </c>
      <c r="N45" s="577">
        <v>273.95400000000001</v>
      </c>
      <c r="O45" s="577">
        <v>278.51799999999997</v>
      </c>
      <c r="P45" s="577">
        <v>285.24599999999998</v>
      </c>
      <c r="Q45" s="577">
        <v>290.142</v>
      </c>
      <c r="R45" s="577">
        <v>292.32900000000001</v>
      </c>
      <c r="S45" s="577">
        <v>298.19299999999998</v>
      </c>
      <c r="T45" s="577">
        <v>307.161</v>
      </c>
      <c r="U45" s="577">
        <v>314.04000000000002</v>
      </c>
      <c r="V45" s="577">
        <v>324.15300000000002</v>
      </c>
      <c r="W45" s="577">
        <v>326.23200000000003</v>
      </c>
      <c r="X45" s="577">
        <f>327.808</f>
        <v>327.80799999999999</v>
      </c>
      <c r="Y45" s="577">
        <v>335.2</v>
      </c>
      <c r="Z45" s="577">
        <v>348.553</v>
      </c>
      <c r="AA45" s="577">
        <v>361.92599999999999</v>
      </c>
      <c r="AB45" s="577">
        <v>371.36099999999999</v>
      </c>
      <c r="AC45" s="577">
        <v>382.28100000000001</v>
      </c>
      <c r="AD45" s="577">
        <v>393.59800000000001</v>
      </c>
      <c r="AE45" s="577"/>
      <c r="AF45" s="577"/>
      <c r="AG45" s="575">
        <f t="shared" si="1"/>
        <v>2.9603877775772389</v>
      </c>
      <c r="AH45" s="213" t="s">
        <v>149</v>
      </c>
    </row>
    <row r="46" spans="1:39" ht="12.75" customHeight="1">
      <c r="A46" s="212"/>
      <c r="B46" s="256" t="s">
        <v>199</v>
      </c>
      <c r="C46" s="592"/>
      <c r="D46" s="593"/>
      <c r="E46" s="594"/>
      <c r="F46" s="594"/>
      <c r="G46" s="594"/>
      <c r="H46" s="594"/>
      <c r="I46" s="594"/>
      <c r="J46" s="594"/>
      <c r="K46" s="594"/>
      <c r="L46" s="594"/>
      <c r="M46" s="594"/>
      <c r="N46" s="594">
        <v>2.8839999999999999</v>
      </c>
      <c r="O46" s="594">
        <v>2.46</v>
      </c>
      <c r="P46" s="594">
        <v>2.6</v>
      </c>
      <c r="Q46" s="594">
        <v>2.665</v>
      </c>
      <c r="R46" s="594">
        <v>2.56</v>
      </c>
      <c r="S46" s="594">
        <v>2.5910000000000002</v>
      </c>
      <c r="T46" s="594">
        <v>2.5790000000000002</v>
      </c>
      <c r="U46" s="594">
        <v>2.5249999999999999</v>
      </c>
      <c r="V46" s="594">
        <v>2.5659999999999998</v>
      </c>
      <c r="W46" s="594">
        <v>2.6960000000000002</v>
      </c>
      <c r="X46" s="594">
        <f>2.712</f>
        <v>2.7120000000000002</v>
      </c>
      <c r="Y46" s="594">
        <v>2.7909999999999999</v>
      </c>
      <c r="Z46" s="594">
        <v>2.89</v>
      </c>
      <c r="AA46" s="594">
        <v>3.0219999999999998</v>
      </c>
      <c r="AB46" s="594">
        <v>3.0859999999999999</v>
      </c>
      <c r="AC46" s="598">
        <f>2.846+0.263</f>
        <v>3.109</v>
      </c>
      <c r="AD46" s="594">
        <v>3.1829999999999998</v>
      </c>
      <c r="AE46" s="594"/>
      <c r="AF46" s="594"/>
      <c r="AG46" s="593">
        <f t="shared" si="1"/>
        <v>2.3801865551624388</v>
      </c>
      <c r="AH46" s="256" t="s">
        <v>199</v>
      </c>
    </row>
    <row r="47" spans="1:39" ht="30" customHeight="1">
      <c r="B47" s="1154" t="s">
        <v>246</v>
      </c>
      <c r="C47" s="1154"/>
      <c r="D47" s="1154"/>
      <c r="E47" s="1154"/>
      <c r="F47" s="1154"/>
      <c r="G47" s="1154"/>
      <c r="H47" s="1154"/>
      <c r="I47" s="1154"/>
      <c r="J47" s="1154"/>
      <c r="K47" s="1154"/>
      <c r="L47" s="1154"/>
      <c r="M47" s="1154"/>
      <c r="N47" s="1154"/>
      <c r="O47" s="1154"/>
      <c r="P47" s="1154"/>
      <c r="Q47" s="1154"/>
      <c r="R47" s="1154"/>
      <c r="S47" s="1154"/>
      <c r="T47" s="1154"/>
      <c r="U47" s="1175"/>
      <c r="V47" s="1175"/>
      <c r="W47" s="1175"/>
      <c r="X47" s="1175"/>
      <c r="Y47" s="1175"/>
      <c r="Z47" s="1175"/>
      <c r="AA47" s="1175"/>
      <c r="AB47" s="1175"/>
      <c r="AC47" s="1175"/>
      <c r="AD47" s="1175"/>
      <c r="AE47" s="1175"/>
      <c r="AF47" s="1175"/>
      <c r="AG47" s="1175"/>
      <c r="AH47" s="1175"/>
    </row>
    <row r="48" spans="1:39" ht="12.75" customHeight="1">
      <c r="B48" s="1171" t="s">
        <v>247</v>
      </c>
      <c r="C48" s="1172"/>
      <c r="D48" s="1172"/>
      <c r="E48" s="1172"/>
      <c r="F48" s="1172"/>
      <c r="G48" s="1172"/>
      <c r="H48" s="1172"/>
      <c r="I48" s="1172"/>
      <c r="J48" s="1172"/>
      <c r="K48" s="1172"/>
      <c r="L48" s="1172"/>
      <c r="M48" s="1172"/>
      <c r="N48" s="1172"/>
      <c r="O48" s="1172"/>
      <c r="P48" s="1172"/>
      <c r="Q48" s="1172"/>
      <c r="R48" s="1172"/>
      <c r="S48" s="1172"/>
      <c r="T48" s="1172"/>
      <c r="U48" s="1172"/>
      <c r="V48" s="1172"/>
      <c r="W48" s="1172"/>
      <c r="X48" s="1172"/>
      <c r="Y48" s="1172"/>
      <c r="Z48" s="1172"/>
      <c r="AA48" s="1172"/>
      <c r="AB48" s="1172"/>
      <c r="AC48" s="1172"/>
      <c r="AD48" s="1172"/>
      <c r="AE48" s="1172"/>
      <c r="AF48" s="1172"/>
      <c r="AG48" s="1172"/>
      <c r="AH48" s="1172"/>
    </row>
    <row r="49" spans="2:34" ht="12.75" customHeight="1">
      <c r="B49" s="1173" t="s">
        <v>248</v>
      </c>
      <c r="C49" s="1173"/>
      <c r="D49" s="1173"/>
      <c r="E49" s="1173"/>
      <c r="F49" s="1173"/>
      <c r="G49" s="1173"/>
      <c r="H49" s="1173"/>
      <c r="I49" s="1173"/>
      <c r="J49" s="1173"/>
      <c r="K49" s="1173"/>
      <c r="L49" s="1173"/>
      <c r="M49" s="1173"/>
      <c r="N49" s="1173"/>
      <c r="O49" s="1173"/>
      <c r="P49" s="1173"/>
      <c r="Q49" s="1173"/>
      <c r="R49" s="1173"/>
      <c r="S49" s="1173"/>
      <c r="T49" s="1173"/>
      <c r="U49" s="1173"/>
      <c r="V49" s="1173"/>
      <c r="W49" s="1173"/>
      <c r="X49" s="1173"/>
      <c r="Y49" s="1173"/>
      <c r="Z49" s="1173"/>
      <c r="AA49" s="1173"/>
      <c r="AB49" s="1173"/>
      <c r="AC49" s="1173"/>
      <c r="AD49" s="1173"/>
      <c r="AE49" s="1173"/>
      <c r="AF49" s="1173"/>
      <c r="AG49" s="1173"/>
      <c r="AH49" s="1173"/>
    </row>
    <row r="50" spans="2:34" ht="12" customHeight="1">
      <c r="B50" s="1173" t="s">
        <v>249</v>
      </c>
      <c r="C50" s="1173"/>
      <c r="D50" s="1173"/>
      <c r="E50" s="1173"/>
      <c r="F50" s="1173"/>
      <c r="G50" s="1173"/>
      <c r="H50" s="1173"/>
      <c r="I50" s="1173"/>
      <c r="J50" s="1173"/>
      <c r="K50" s="1173"/>
      <c r="L50" s="1173"/>
      <c r="M50" s="1173"/>
      <c r="N50" s="1173"/>
      <c r="O50" s="1173"/>
      <c r="P50" s="1173"/>
      <c r="Q50" s="1173"/>
      <c r="R50" s="1173"/>
      <c r="S50" s="1173"/>
      <c r="T50" s="1173"/>
      <c r="U50" s="1173"/>
      <c r="V50" s="1173"/>
      <c r="W50" s="1173"/>
      <c r="X50" s="1173"/>
      <c r="Y50" s="1173"/>
      <c r="Z50" s="1173"/>
      <c r="AA50" s="1173"/>
      <c r="AB50" s="1173"/>
      <c r="AC50" s="1173"/>
      <c r="AD50" s="1173"/>
      <c r="AE50" s="1173"/>
      <c r="AF50" s="1173"/>
      <c r="AG50" s="1173"/>
      <c r="AH50" s="1173"/>
    </row>
    <row r="51" spans="2:34">
      <c r="B51" s="190" t="s">
        <v>250</v>
      </c>
      <c r="U51" s="599"/>
      <c r="V51" s="599"/>
      <c r="W51" s="599"/>
      <c r="X51" s="599"/>
      <c r="Y51" s="599"/>
      <c r="Z51" s="599"/>
      <c r="AA51" s="599"/>
      <c r="AB51" s="599"/>
      <c r="AC51" s="600"/>
      <c r="AD51" s="599"/>
      <c r="AE51" s="599"/>
      <c r="AF51" s="599"/>
    </row>
    <row r="52" spans="2:34">
      <c r="B52" s="190" t="s">
        <v>294</v>
      </c>
      <c r="J52" s="599"/>
      <c r="K52" s="599"/>
      <c r="L52" s="599"/>
      <c r="M52" s="599"/>
      <c r="N52" s="599"/>
      <c r="O52" s="599"/>
      <c r="P52" s="599"/>
      <c r="Q52" s="599"/>
      <c r="R52" s="599"/>
      <c r="S52" s="599"/>
      <c r="T52" s="599"/>
      <c r="U52" s="599"/>
      <c r="V52" s="599"/>
      <c r="W52" s="599"/>
      <c r="X52" s="599"/>
      <c r="Y52" s="599"/>
      <c r="Z52" s="599"/>
      <c r="AA52" s="599"/>
      <c r="AB52" s="599"/>
      <c r="AC52" s="601"/>
      <c r="AD52" s="599"/>
      <c r="AE52" s="599"/>
      <c r="AF52" s="599"/>
    </row>
    <row r="53" spans="2:34">
      <c r="E53" s="602"/>
      <c r="X53" s="599"/>
      <c r="AC53" s="601"/>
    </row>
    <row r="54" spans="2:34" ht="14.25">
      <c r="E54" s="602"/>
      <c r="K54" s="158"/>
      <c r="L54" s="159"/>
      <c r="M54" s="159"/>
      <c r="N54" s="159"/>
      <c r="O54" s="159"/>
      <c r="P54" s="159"/>
      <c r="Q54" s="159"/>
      <c r="X54" s="599"/>
      <c r="AC54" s="601"/>
    </row>
  </sheetData>
  <mergeCells count="7">
    <mergeCell ref="B50:AH50"/>
    <mergeCell ref="B1:C1"/>
    <mergeCell ref="B2:AH2"/>
    <mergeCell ref="B3:AH3"/>
    <mergeCell ref="B47:AH47"/>
    <mergeCell ref="B48:AH48"/>
    <mergeCell ref="B49:AH49"/>
  </mergeCells>
  <printOptions horizontalCentered="1"/>
  <pageMargins left="0.6692913385826772" right="0.6692913385826772" top="0.51181102362204722" bottom="0.27559055118110237" header="0" footer="0"/>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03"/>
  <sheetViews>
    <sheetView zoomScaleNormal="100" workbookViewId="0">
      <selection activeCell="Y7" sqref="Y7:Y8"/>
    </sheetView>
  </sheetViews>
  <sheetFormatPr defaultRowHeight="12.75"/>
  <cols>
    <col min="1" max="1" width="3.7109375" style="333" customWidth="1"/>
    <col min="2" max="2" width="4" style="333" customWidth="1"/>
    <col min="3" max="7" width="7.28515625" style="607" hidden="1" customWidth="1"/>
    <col min="8" max="13" width="7.28515625" style="333" hidden="1" customWidth="1"/>
    <col min="14" max="21" width="7.7109375" style="333" customWidth="1"/>
    <col min="22" max="22" width="7.7109375" style="607" customWidth="1"/>
    <col min="23" max="25" width="7.7109375" style="333" customWidth="1"/>
    <col min="26" max="26" width="6.7109375" style="333" customWidth="1"/>
    <col min="27" max="27" width="7.5703125" style="333" customWidth="1"/>
    <col min="28" max="16384" width="9.140625" style="333"/>
  </cols>
  <sheetData>
    <row r="1" spans="1:32" ht="14.25" customHeight="1">
      <c r="B1" s="437"/>
      <c r="C1" s="543"/>
      <c r="D1" s="543"/>
      <c r="E1" s="543"/>
      <c r="F1" s="543"/>
      <c r="G1" s="543"/>
      <c r="H1" s="337"/>
      <c r="I1" s="337"/>
      <c r="AA1" s="191" t="s">
        <v>204</v>
      </c>
    </row>
    <row r="2" spans="1:32" s="608" customFormat="1" ht="30" customHeight="1">
      <c r="B2" s="1177" t="s">
        <v>205</v>
      </c>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32" ht="15" customHeight="1">
      <c r="B3" s="1178" t="s">
        <v>197</v>
      </c>
      <c r="C3" s="1178"/>
      <c r="D3" s="1178"/>
      <c r="E3" s="1178"/>
      <c r="F3" s="1178"/>
      <c r="G3" s="1178"/>
      <c r="H3" s="1178"/>
      <c r="I3" s="1178"/>
      <c r="J3" s="1178"/>
      <c r="K3" s="1178"/>
      <c r="L3" s="1178"/>
      <c r="M3" s="1178"/>
      <c r="N3" s="1178"/>
      <c r="O3" s="1178"/>
      <c r="P3" s="1178"/>
      <c r="Q3" s="1178"/>
      <c r="R3" s="1178"/>
      <c r="S3" s="1178"/>
      <c r="T3" s="1178"/>
      <c r="U3" s="1178"/>
      <c r="V3" s="1178"/>
      <c r="W3" s="1178"/>
      <c r="X3" s="1178"/>
      <c r="Y3" s="1178"/>
      <c r="Z3" s="1178"/>
      <c r="AA3" s="1178"/>
    </row>
    <row r="4" spans="1:32" ht="12.75" customHeight="1">
      <c r="B4" s="202"/>
      <c r="C4" s="202"/>
      <c r="D4" s="202"/>
      <c r="E4" s="202"/>
      <c r="F4" s="202"/>
      <c r="G4" s="202"/>
      <c r="H4" s="435"/>
      <c r="P4" s="546"/>
      <c r="Q4" s="546" t="s">
        <v>198</v>
      </c>
      <c r="R4" s="195"/>
      <c r="S4" s="195"/>
      <c r="T4" s="195"/>
      <c r="U4" s="195"/>
      <c r="V4" s="195"/>
      <c r="W4" s="195"/>
      <c r="X4" s="195"/>
      <c r="Y4" s="195"/>
      <c r="AA4" s="195"/>
    </row>
    <row r="5" spans="1:32" ht="20.100000000000001" customHeight="1">
      <c r="B5" s="202"/>
      <c r="C5" s="458">
        <v>1995</v>
      </c>
      <c r="D5" s="200">
        <v>1996</v>
      </c>
      <c r="E5" s="200">
        <v>1997</v>
      </c>
      <c r="F5" s="200">
        <v>1998</v>
      </c>
      <c r="G5" s="200">
        <v>1999</v>
      </c>
      <c r="H5" s="200">
        <v>2000</v>
      </c>
      <c r="I5" s="200">
        <v>2001</v>
      </c>
      <c r="J5" s="200">
        <v>2002</v>
      </c>
      <c r="K5" s="200">
        <v>2003</v>
      </c>
      <c r="L5" s="200">
        <v>2004</v>
      </c>
      <c r="M5" s="200">
        <v>2005</v>
      </c>
      <c r="N5" s="200">
        <v>2006</v>
      </c>
      <c r="O5" s="200">
        <v>2007</v>
      </c>
      <c r="P5" s="200">
        <v>2008</v>
      </c>
      <c r="Q5" s="200">
        <v>2009</v>
      </c>
      <c r="R5" s="200">
        <v>2010</v>
      </c>
      <c r="S5" s="200">
        <v>2011</v>
      </c>
      <c r="T5" s="200">
        <v>2012</v>
      </c>
      <c r="U5" s="200">
        <v>2013</v>
      </c>
      <c r="V5" s="200">
        <v>2014</v>
      </c>
      <c r="W5" s="200">
        <v>2015</v>
      </c>
      <c r="X5" s="200">
        <v>2016</v>
      </c>
      <c r="Y5" s="200">
        <v>2017</v>
      </c>
      <c r="Z5" s="514" t="s">
        <v>323</v>
      </c>
      <c r="AA5" s="272"/>
    </row>
    <row r="6" spans="1:32" ht="9.9499999999999993" customHeight="1">
      <c r="B6" s="202"/>
      <c r="C6" s="459"/>
      <c r="D6" s="205"/>
      <c r="E6" s="205"/>
      <c r="F6" s="205"/>
      <c r="G6" s="205"/>
      <c r="H6" s="205"/>
      <c r="I6" s="205"/>
      <c r="J6" s="205"/>
      <c r="K6" s="205"/>
      <c r="L6" s="205"/>
      <c r="M6" s="205"/>
      <c r="N6" s="205"/>
      <c r="O6" s="205"/>
      <c r="P6" s="205"/>
      <c r="Q6" s="205"/>
      <c r="R6" s="205"/>
      <c r="S6" s="205"/>
      <c r="T6" s="205"/>
      <c r="U6" s="205"/>
      <c r="V6" s="205"/>
      <c r="W6" s="205"/>
      <c r="X6" s="205"/>
      <c r="Y6" s="205"/>
      <c r="Z6" s="207" t="s">
        <v>143</v>
      </c>
      <c r="AA6" s="272"/>
    </row>
    <row r="7" spans="1:32" ht="12.75" customHeight="1">
      <c r="B7" s="208" t="s">
        <v>237</v>
      </c>
      <c r="C7" s="609"/>
      <c r="D7" s="610"/>
      <c r="E7" s="610"/>
      <c r="F7" s="610"/>
      <c r="G7" s="610"/>
      <c r="H7" s="551">
        <v>23389.220999999994</v>
      </c>
      <c r="I7" s="551">
        <v>26129.616000000005</v>
      </c>
      <c r="J7" s="551">
        <v>27147.539000000012</v>
      </c>
      <c r="K7" s="551">
        <v>28044.076999999994</v>
      </c>
      <c r="L7" s="551">
        <v>28563.183000000005</v>
      </c>
      <c r="M7" s="551">
        <v>29831.85</v>
      </c>
      <c r="N7" s="551">
        <v>30867.71899999999</v>
      </c>
      <c r="O7" s="551">
        <v>32959.480000000003</v>
      </c>
      <c r="P7" s="551">
        <v>34177.416999999994</v>
      </c>
      <c r="Q7" s="551">
        <v>34228.703000000001</v>
      </c>
      <c r="R7" s="551">
        <v>34401.266099999993</v>
      </c>
      <c r="S7" s="551">
        <v>34928.882000000005</v>
      </c>
      <c r="T7" s="551">
        <v>34500.324000000001</v>
      </c>
      <c r="U7" s="551">
        <v>34697.132999999994</v>
      </c>
      <c r="V7" s="551">
        <v>35202.606999999996</v>
      </c>
      <c r="W7" s="551">
        <v>35509.137999999999</v>
      </c>
      <c r="X7" s="551">
        <v>33788.93</v>
      </c>
      <c r="Y7" s="551">
        <v>35117.593000000008</v>
      </c>
      <c r="Z7" s="346">
        <v>0.82574092556006917</v>
      </c>
      <c r="AA7" s="208" t="s">
        <v>237</v>
      </c>
      <c r="AD7" s="780">
        <v>2017</v>
      </c>
      <c r="AE7" s="782" t="s">
        <v>335</v>
      </c>
      <c r="AF7" s="775"/>
    </row>
    <row r="8" spans="1:32" ht="12.75" customHeight="1">
      <c r="A8" s="190"/>
      <c r="B8" s="213" t="s">
        <v>89</v>
      </c>
      <c r="C8" s="611"/>
      <c r="D8" s="612"/>
      <c r="E8" s="612"/>
      <c r="F8" s="612"/>
      <c r="G8" s="612"/>
      <c r="H8" s="612">
        <v>20805.456999999999</v>
      </c>
      <c r="I8" s="612">
        <v>23530.213</v>
      </c>
      <c r="J8" s="612">
        <v>24366.145000000008</v>
      </c>
      <c r="K8" s="612">
        <v>25275.67</v>
      </c>
      <c r="L8" s="612">
        <v>26163.246000000003</v>
      </c>
      <c r="M8" s="612">
        <v>27127.553999999996</v>
      </c>
      <c r="N8" s="612">
        <v>28072.128999999997</v>
      </c>
      <c r="O8" s="612">
        <v>30019.300000000003</v>
      </c>
      <c r="P8" s="612">
        <v>30848.743999999999</v>
      </c>
      <c r="Q8" s="612">
        <v>30669.734</v>
      </c>
      <c r="R8" s="612">
        <v>30693.581000000002</v>
      </c>
      <c r="S8" s="612">
        <v>31004.857999999997</v>
      </c>
      <c r="T8" s="612">
        <v>30413.528000000002</v>
      </c>
      <c r="U8" s="612">
        <v>30467.446999999996</v>
      </c>
      <c r="V8" s="612">
        <v>30863.113000000001</v>
      </c>
      <c r="W8" s="612">
        <v>30959.996999999996</v>
      </c>
      <c r="X8" s="612">
        <f>X10+X11+X16+X20+X21+X15+X18+X24+X25+X27+X30+X32+X19+X34+X37</f>
        <v>29061.397000000001</v>
      </c>
      <c r="Y8" s="612">
        <f>Y10+Y11+Y16+Y20+Y21+Y15+Y18+Y24+Y25+Y27+Y30+Y32+Y19+Y34+Y37</f>
        <v>30161.281999999999</v>
      </c>
      <c r="Z8" s="351">
        <f>X8/W8*100-100</f>
        <v>-6.1324295347961311</v>
      </c>
      <c r="AA8" s="213" t="s">
        <v>89</v>
      </c>
      <c r="AD8" s="778"/>
      <c r="AE8" s="777" t="s">
        <v>143</v>
      </c>
      <c r="AF8" s="775"/>
    </row>
    <row r="9" spans="1:32" ht="12.75" customHeight="1">
      <c r="A9" s="190"/>
      <c r="B9" s="217" t="s">
        <v>238</v>
      </c>
      <c r="C9" s="613"/>
      <c r="D9" s="614"/>
      <c r="E9" s="614"/>
      <c r="F9" s="614"/>
      <c r="G9" s="614"/>
      <c r="H9" s="614">
        <v>2583.7639999999956</v>
      </c>
      <c r="I9" s="614">
        <v>2599.4030000000057</v>
      </c>
      <c r="J9" s="614">
        <v>2781.3940000000039</v>
      </c>
      <c r="K9" s="614">
        <v>2768.4069999999956</v>
      </c>
      <c r="L9" s="614">
        <v>2399.9370000000017</v>
      </c>
      <c r="M9" s="614">
        <v>2704.2960000000021</v>
      </c>
      <c r="N9" s="614">
        <v>2795.5899999999929</v>
      </c>
      <c r="O9" s="614">
        <v>2940.1800000000003</v>
      </c>
      <c r="P9" s="614">
        <v>3328.6729999999952</v>
      </c>
      <c r="Q9" s="614">
        <v>3558.969000000001</v>
      </c>
      <c r="R9" s="614">
        <v>3707.6850999999915</v>
      </c>
      <c r="S9" s="614">
        <v>3924.0240000000085</v>
      </c>
      <c r="T9" s="614">
        <v>4086.7959999999985</v>
      </c>
      <c r="U9" s="614">
        <v>4229.6859999999979</v>
      </c>
      <c r="V9" s="614">
        <v>4339.4939999999951</v>
      </c>
      <c r="W9" s="614">
        <v>4549.1410000000033</v>
      </c>
      <c r="X9" s="614"/>
      <c r="Y9" s="614"/>
      <c r="Z9" s="615">
        <v>4.8311392987294965</v>
      </c>
      <c r="AA9" s="217" t="s">
        <v>238</v>
      </c>
      <c r="AD9" s="1032">
        <f>SUM(AD10:AD37)</f>
        <v>35117.593000000008</v>
      </c>
      <c r="AE9" s="829" t="e">
        <f>AD9/AC11*100-100</f>
        <v>#DIV/0!</v>
      </c>
      <c r="AF9" s="96" t="s">
        <v>237</v>
      </c>
    </row>
    <row r="10" spans="1:32" ht="12.75" customHeight="1">
      <c r="A10" s="212"/>
      <c r="B10" s="378" t="s">
        <v>81</v>
      </c>
      <c r="C10" s="595">
        <f>371.505+174.907</f>
        <v>546.41200000000003</v>
      </c>
      <c r="D10" s="597">
        <f>366.506+193.685</f>
        <v>560.19100000000003</v>
      </c>
      <c r="E10" s="597">
        <f>362.953+212.767</f>
        <v>575.72</v>
      </c>
      <c r="F10" s="597">
        <f>362.964+237.767</f>
        <v>600.73099999999999</v>
      </c>
      <c r="G10" s="597">
        <f>359.63+263.297</f>
        <v>622.92700000000002</v>
      </c>
      <c r="H10" s="597">
        <f>352.984+279.728</f>
        <v>632.71199999999999</v>
      </c>
      <c r="I10" s="597">
        <f>346.591+294.843</f>
        <v>641.43399999999997</v>
      </c>
      <c r="J10" s="597">
        <f>304.255+292.569</f>
        <v>596.82400000000007</v>
      </c>
      <c r="K10" s="597">
        <f>301.387+305.481</f>
        <v>606.86799999999994</v>
      </c>
      <c r="L10" s="597">
        <f>296.522+315.638</f>
        <v>612.16</v>
      </c>
      <c r="M10" s="597">
        <f>301.425+326.286</f>
        <v>627.71100000000001</v>
      </c>
      <c r="N10" s="597">
        <f>306.592+338.721</f>
        <v>645.31299999999999</v>
      </c>
      <c r="O10" s="604">
        <f>312.658+354.919</f>
        <v>667.577</v>
      </c>
      <c r="P10" s="597">
        <v>691.24299999999994</v>
      </c>
      <c r="Q10" s="597">
        <f>218.135+158.745+305.042+1.234+12.694+16.242</f>
        <v>712.09199999999998</v>
      </c>
      <c r="R10" s="597">
        <f>224.717+168.089+303.908+1.247+14.016+15.875</f>
        <v>727.85199999999998</v>
      </c>
      <c r="S10" s="597">
        <f>301.65+1.31+179.279+230.396+14.106+1.298+0.578+14.812</f>
        <v>743.42899999999997</v>
      </c>
      <c r="T10" s="597">
        <f>299.586+1.458+192.577+236.807+15.522+1.441+0.623+14.378</f>
        <v>762.39200000000017</v>
      </c>
      <c r="U10" s="597">
        <f>743.648+16.572+1.582+0.674+13.861</f>
        <v>776.33699999999999</v>
      </c>
      <c r="V10" s="597">
        <f>754.739+17.566+1.809+0.708+13.362</f>
        <v>788.18399999999997</v>
      </c>
      <c r="W10" s="597">
        <f>765.576+18.67+1.985+0.744+12.931</f>
        <v>799.90600000000006</v>
      </c>
      <c r="X10" s="597">
        <v>816.47699999999998</v>
      </c>
      <c r="Y10" s="597">
        <v>832.2</v>
      </c>
      <c r="Z10" s="263">
        <v>2.0716184151637691</v>
      </c>
      <c r="AA10" s="619" t="s">
        <v>81</v>
      </c>
      <c r="AD10" s="1050">
        <v>832.2</v>
      </c>
      <c r="AE10" s="1045" t="e">
        <f>AD10/AC12*100-100</f>
        <v>#DIV/0!</v>
      </c>
      <c r="AF10" s="1051" t="s">
        <v>81</v>
      </c>
    </row>
    <row r="11" spans="1:32" ht="12.75" customHeight="1">
      <c r="A11" s="212"/>
      <c r="B11" s="221" t="s">
        <v>60</v>
      </c>
      <c r="C11" s="570"/>
      <c r="D11" s="567">
        <v>212.43199999999999</v>
      </c>
      <c r="E11" s="567">
        <v>225.31700000000001</v>
      </c>
      <c r="F11" s="567">
        <v>241.11</v>
      </c>
      <c r="G11" s="567">
        <v>260.56700000000001</v>
      </c>
      <c r="H11" s="567">
        <v>277.83800000000002</v>
      </c>
      <c r="I11" s="567">
        <v>293.63</v>
      </c>
      <c r="J11" s="567">
        <v>305.51</v>
      </c>
      <c r="K11" s="572">
        <v>319.48</v>
      </c>
      <c r="L11" s="567">
        <v>322.762</v>
      </c>
      <c r="M11" s="572">
        <v>346.29300000000001</v>
      </c>
      <c r="N11" s="567">
        <v>359.76400000000001</v>
      </c>
      <c r="O11" s="567">
        <v>374</v>
      </c>
      <c r="P11" s="567">
        <v>388</v>
      </c>
      <c r="Q11" s="567">
        <v>404</v>
      </c>
      <c r="R11" s="567">
        <v>419</v>
      </c>
      <c r="S11" s="567">
        <v>434</v>
      </c>
      <c r="T11" s="567">
        <v>441</v>
      </c>
      <c r="U11" s="567">
        <v>450.79300000000001</v>
      </c>
      <c r="V11" s="567">
        <v>456.512</v>
      </c>
      <c r="W11" s="567">
        <v>465.786</v>
      </c>
      <c r="X11" s="567">
        <v>471.76600000000002</v>
      </c>
      <c r="Y11" s="567">
        <v>630.65300000000002</v>
      </c>
      <c r="Z11" s="239">
        <v>2.1529893487331861</v>
      </c>
      <c r="AA11" s="408" t="s">
        <v>60</v>
      </c>
      <c r="AD11" s="1038">
        <f>478.711+151.942</f>
        <v>630.65300000000002</v>
      </c>
      <c r="AE11" s="1044" t="s">
        <v>358</v>
      </c>
      <c r="AF11" s="1047" t="s">
        <v>60</v>
      </c>
    </row>
    <row r="12" spans="1:32" ht="12.75" customHeight="1">
      <c r="A12" s="212"/>
      <c r="B12" s="213" t="s">
        <v>100</v>
      </c>
      <c r="C12" s="560">
        <v>519.29999999999995</v>
      </c>
      <c r="D12" s="562">
        <v>521.70000000000005</v>
      </c>
      <c r="E12" s="562">
        <v>525</v>
      </c>
      <c r="F12" s="563">
        <v>515.70000000000005</v>
      </c>
      <c r="G12" s="562">
        <v>519.20000000000005</v>
      </c>
      <c r="H12" s="562">
        <v>520.5</v>
      </c>
      <c r="I12" s="562">
        <v>524.1</v>
      </c>
      <c r="J12" s="562">
        <v>528.29999999999995</v>
      </c>
      <c r="K12" s="562">
        <v>533.70000000000005</v>
      </c>
      <c r="L12" s="562">
        <v>137.69999999999999</v>
      </c>
      <c r="M12" s="562">
        <v>146.5</v>
      </c>
      <c r="N12" s="562">
        <v>76.254000000000005</v>
      </c>
      <c r="O12" s="562">
        <v>90.317999999999998</v>
      </c>
      <c r="P12" s="562">
        <v>106.911</v>
      </c>
      <c r="Q12" s="562">
        <f>117.595</f>
        <v>117.595</v>
      </c>
      <c r="R12" s="562">
        <v>125.4</v>
      </c>
      <c r="S12" s="562">
        <v>131.80000000000001</v>
      </c>
      <c r="T12" s="562">
        <v>139.80000000000001</v>
      </c>
      <c r="U12" s="562">
        <v>147.9</v>
      </c>
      <c r="V12" s="562">
        <v>154.80000000000001</v>
      </c>
      <c r="W12" s="562">
        <v>163.30000000000001</v>
      </c>
      <c r="X12" s="562">
        <v>171.7</v>
      </c>
      <c r="Y12" s="562">
        <v>180.9</v>
      </c>
      <c r="Z12" s="244">
        <v>5.1439069197795249</v>
      </c>
      <c r="AA12" s="314" t="s">
        <v>100</v>
      </c>
      <c r="AD12" s="1035">
        <v>180.9</v>
      </c>
      <c r="AE12" s="1045" t="e">
        <f t="shared" ref="AE12:AE37" si="0">AD12/AC14*100-100</f>
        <v>#DIV/0!</v>
      </c>
      <c r="AF12" s="1046" t="s">
        <v>100</v>
      </c>
    </row>
    <row r="13" spans="1:32" ht="12.75" customHeight="1">
      <c r="A13" s="212"/>
      <c r="B13" s="221" t="s">
        <v>71</v>
      </c>
      <c r="C13" s="570">
        <v>50.393000000000001</v>
      </c>
      <c r="D13" s="567"/>
      <c r="E13" s="567"/>
      <c r="F13" s="567">
        <v>44.337000000000003</v>
      </c>
      <c r="G13" s="567">
        <v>44.756</v>
      </c>
      <c r="H13" s="567">
        <v>43.314999999999998</v>
      </c>
      <c r="I13" s="567">
        <v>41.984999999999999</v>
      </c>
      <c r="J13" s="567">
        <v>40.276000000000003</v>
      </c>
      <c r="K13" s="567">
        <v>41.515999999999998</v>
      </c>
      <c r="L13" s="567">
        <v>41.396000000000001</v>
      </c>
      <c r="M13" s="572">
        <v>40.381</v>
      </c>
      <c r="N13" s="567">
        <v>40.359000000000002</v>
      </c>
      <c r="O13" s="567">
        <v>41.210999999999999</v>
      </c>
      <c r="P13" s="567">
        <v>43.219000000000001</v>
      </c>
      <c r="Q13" s="567">
        <f>23.473+19.217</f>
        <v>42.69</v>
      </c>
      <c r="R13" s="567">
        <f>23.677+17.05</f>
        <v>40.727000000000004</v>
      </c>
      <c r="S13" s="567">
        <f>23.864+15.939</f>
        <v>39.802999999999997</v>
      </c>
      <c r="T13" s="567">
        <f>25.293+15.812</f>
        <v>41.104999999999997</v>
      </c>
      <c r="U13" s="616">
        <f>14.745+25.224</f>
        <v>39.969000000000001</v>
      </c>
      <c r="V13" s="567">
        <f>14.392+26.578</f>
        <v>40.97</v>
      </c>
      <c r="W13" s="567">
        <f>13.48+25.802</f>
        <v>39.281999999999996</v>
      </c>
      <c r="X13" s="567">
        <v>39.242000000000004</v>
      </c>
      <c r="Y13" s="567">
        <v>39.4</v>
      </c>
      <c r="Z13" s="239">
        <v>-0.10182780917466516</v>
      </c>
      <c r="AA13" s="408" t="s">
        <v>71</v>
      </c>
      <c r="AD13" s="1038">
        <v>39.4</v>
      </c>
      <c r="AE13" s="1044" t="e">
        <f t="shared" si="0"/>
        <v>#DIV/0!</v>
      </c>
      <c r="AF13" s="1047" t="s">
        <v>71</v>
      </c>
    </row>
    <row r="14" spans="1:32" ht="12.75" customHeight="1">
      <c r="A14" s="212"/>
      <c r="B14" s="221" t="s">
        <v>61</v>
      </c>
      <c r="C14" s="570">
        <v>915.22900000000004</v>
      </c>
      <c r="D14" s="572">
        <v>918.15899999999999</v>
      </c>
      <c r="E14" s="567">
        <v>929.62699999999995</v>
      </c>
      <c r="F14" s="567">
        <v>927.08</v>
      </c>
      <c r="G14" s="567">
        <v>799.64700000000005</v>
      </c>
      <c r="H14" s="567">
        <v>748.14</v>
      </c>
      <c r="I14" s="567">
        <v>755.48199999999997</v>
      </c>
      <c r="J14" s="567">
        <v>760.21900000000005</v>
      </c>
      <c r="K14" s="567">
        <v>751.63400000000001</v>
      </c>
      <c r="L14" s="567">
        <v>756.55899999999997</v>
      </c>
      <c r="M14" s="567">
        <v>794</v>
      </c>
      <c r="N14" s="567">
        <v>822.70299999999997</v>
      </c>
      <c r="O14" s="567">
        <v>860.13099999999997</v>
      </c>
      <c r="P14" s="567">
        <v>892.79600000000005</v>
      </c>
      <c r="Q14" s="567">
        <v>903.346</v>
      </c>
      <c r="R14" s="567">
        <v>924.29100000000005</v>
      </c>
      <c r="S14" s="567">
        <v>944.17100000000005</v>
      </c>
      <c r="T14" s="567">
        <v>976.91099999999994</v>
      </c>
      <c r="U14" s="567">
        <v>977.197</v>
      </c>
      <c r="V14" s="567">
        <v>998.81600000000003</v>
      </c>
      <c r="W14" s="567">
        <v>1046.4670000000001</v>
      </c>
      <c r="X14" s="567">
        <v>1074.8800000000001</v>
      </c>
      <c r="Y14" s="567">
        <v>1102.4000000000001</v>
      </c>
      <c r="Z14" s="239">
        <v>2.7151357854571643</v>
      </c>
      <c r="AA14" s="408" t="s">
        <v>61</v>
      </c>
      <c r="AD14" s="1038">
        <v>1102.4000000000001</v>
      </c>
      <c r="AE14" s="1044" t="e">
        <f t="shared" si="0"/>
        <v>#DIV/0!</v>
      </c>
      <c r="AF14" s="1047" t="s">
        <v>61</v>
      </c>
    </row>
    <row r="15" spans="1:32" ht="12.75" customHeight="1">
      <c r="A15" s="212"/>
      <c r="B15" s="221" t="s">
        <v>63</v>
      </c>
      <c r="C15" s="570">
        <f>1728.057+2267.428</f>
        <v>3995.4849999999997</v>
      </c>
      <c r="D15" s="567">
        <f>1666.995+2470.451</f>
        <v>4137.4459999999999</v>
      </c>
      <c r="E15" s="567">
        <f>1634.083+2096.673</f>
        <v>3730.7559999999999</v>
      </c>
      <c r="F15" s="567">
        <f>1747.139+2427.207</f>
        <v>4174.3459999999995</v>
      </c>
      <c r="G15" s="567">
        <f>1742.704+2646.497</f>
        <v>4389.201</v>
      </c>
      <c r="H15" s="567">
        <f>1594.749+2843.333</f>
        <v>4438.0820000000003</v>
      </c>
      <c r="I15" s="567">
        <f>1682.523+2984.626</f>
        <v>4667.1490000000003</v>
      </c>
      <c r="J15" s="567">
        <f>1583.917+3093.968</f>
        <v>4677.8850000000002</v>
      </c>
      <c r="K15" s="567">
        <f>1662.765+3201.042</f>
        <v>4863.8069999999998</v>
      </c>
      <c r="L15" s="567">
        <f>1785.62+3292.362</f>
        <v>5077.982</v>
      </c>
      <c r="M15" s="567">
        <f>1818.629+3384.272</f>
        <v>5202.9009999999998</v>
      </c>
      <c r="N15" s="567">
        <f>1930.185+3475.715</f>
        <v>5405.9</v>
      </c>
      <c r="O15" s="567">
        <f>1983.845+3566.122</f>
        <v>5549.9669999999996</v>
      </c>
      <c r="P15" s="567">
        <v>5852.2830000000004</v>
      </c>
      <c r="Q15" s="567">
        <f>3762.561+2104.204</f>
        <v>5866.7650000000003</v>
      </c>
      <c r="R15" s="567">
        <f>2042.996+3827.894</f>
        <v>5870.8899999999994</v>
      </c>
      <c r="S15" s="573">
        <f>2096.161+3908.072</f>
        <v>6004.2330000000002</v>
      </c>
      <c r="T15" s="567">
        <f>2088.623+3982.978</f>
        <v>6071.6010000000006</v>
      </c>
      <c r="U15" s="567">
        <f>4054.946+2044.104</f>
        <v>6099.05</v>
      </c>
      <c r="V15" s="567">
        <f>4145.392+2036.352</f>
        <v>6181.7439999999997</v>
      </c>
      <c r="W15" s="574">
        <f>4228.238+2020.36</f>
        <v>6248.598</v>
      </c>
      <c r="X15" s="574">
        <v>4314.4930000000004</v>
      </c>
      <c r="Y15" s="574">
        <v>4372.9780000000001</v>
      </c>
      <c r="Z15" s="239">
        <v>2.0399750439781315</v>
      </c>
      <c r="AA15" s="408" t="s">
        <v>63</v>
      </c>
      <c r="AD15" s="1038">
        <v>4372.9780000000001</v>
      </c>
      <c r="AE15" s="1044" t="e">
        <f t="shared" si="0"/>
        <v>#DIV/0!</v>
      </c>
      <c r="AF15" s="1047" t="s">
        <v>63</v>
      </c>
    </row>
    <row r="16" spans="1:32" ht="12.75" customHeight="1">
      <c r="A16" s="212"/>
      <c r="B16" s="213" t="s">
        <v>14</v>
      </c>
      <c r="C16" s="560">
        <v>58.014000000000003</v>
      </c>
      <c r="D16" s="562">
        <v>73.849999999999994</v>
      </c>
      <c r="E16" s="562">
        <v>93.875</v>
      </c>
      <c r="F16" s="562">
        <v>112.12</v>
      </c>
      <c r="G16" s="562">
        <v>126.938</v>
      </c>
      <c r="H16" s="562">
        <v>138.31</v>
      </c>
      <c r="I16" s="562">
        <v>146.36500000000001</v>
      </c>
      <c r="J16" s="562">
        <v>151.322</v>
      </c>
      <c r="K16" s="562">
        <v>155.74</v>
      </c>
      <c r="L16" s="562">
        <v>162.12799999999999</v>
      </c>
      <c r="M16" s="562">
        <f>105.264+66.653</f>
        <v>171.917</v>
      </c>
      <c r="N16" s="562">
        <f>118.752+65.284</f>
        <v>184.036</v>
      </c>
      <c r="O16" s="562">
        <f>133.914+63.263</f>
        <v>197.17699999999999</v>
      </c>
      <c r="P16" s="562">
        <v>204.76999999999998</v>
      </c>
      <c r="Q16" s="562">
        <f>147.373+57.866</f>
        <v>205.23899999999998</v>
      </c>
      <c r="R16" s="562">
        <f>148.766+54.842</f>
        <v>203.608</v>
      </c>
      <c r="S16" s="562">
        <v>200.59700000000001</v>
      </c>
      <c r="T16" s="562">
        <v>199.24299999999999</v>
      </c>
      <c r="U16" s="562">
        <v>198.07599999999999</v>
      </c>
      <c r="V16" s="562">
        <f>151.542+45.97</f>
        <v>197.512</v>
      </c>
      <c r="W16" s="562">
        <f>153.411+44.624</f>
        <v>198.035</v>
      </c>
      <c r="X16" s="562">
        <v>199.422</v>
      </c>
      <c r="Y16" s="562">
        <v>198</v>
      </c>
      <c r="Z16" s="244">
        <v>0.70038124573939342</v>
      </c>
      <c r="AA16" s="314" t="s">
        <v>14</v>
      </c>
      <c r="AD16" s="1035">
        <v>198</v>
      </c>
      <c r="AE16" s="1045" t="e">
        <f t="shared" si="0"/>
        <v>#DIV/0!</v>
      </c>
      <c r="AF16" s="1046" t="s">
        <v>14</v>
      </c>
    </row>
    <row r="17" spans="1:32" ht="12.75" customHeight="1">
      <c r="A17" s="212"/>
      <c r="B17" s="213" t="s">
        <v>64</v>
      </c>
      <c r="C17" s="560">
        <v>3.3</v>
      </c>
      <c r="D17" s="562">
        <v>4.7</v>
      </c>
      <c r="E17" s="562">
        <v>5.3</v>
      </c>
      <c r="F17" s="562">
        <v>6.1</v>
      </c>
      <c r="G17" s="562">
        <v>6.7</v>
      </c>
      <c r="H17" s="562">
        <v>6.7</v>
      </c>
      <c r="I17" s="562">
        <v>6.8</v>
      </c>
      <c r="J17" s="562">
        <v>7.3</v>
      </c>
      <c r="K17" s="562">
        <v>8.1</v>
      </c>
      <c r="L17" s="562">
        <v>9.1</v>
      </c>
      <c r="M17" s="562">
        <v>10.234</v>
      </c>
      <c r="N17" s="562">
        <v>12.593999999999999</v>
      </c>
      <c r="O17" s="562">
        <v>14.78</v>
      </c>
      <c r="P17" s="562">
        <v>17.622</v>
      </c>
      <c r="Q17" s="562">
        <f>18.6</f>
        <v>18.600000000000001</v>
      </c>
      <c r="R17" s="562">
        <v>19.7</v>
      </c>
      <c r="S17" s="562">
        <v>23.216999999999999</v>
      </c>
      <c r="T17" s="562">
        <v>35.273000000000003</v>
      </c>
      <c r="U17" s="562">
        <f>24.8+13.9</f>
        <v>38.700000000000003</v>
      </c>
      <c r="V17" s="562">
        <f>27+15.3</f>
        <v>42.3</v>
      </c>
      <c r="W17" s="562">
        <f>16.5+29</f>
        <v>45.5</v>
      </c>
      <c r="X17" s="562">
        <v>48.8</v>
      </c>
      <c r="Y17" s="562">
        <v>51.7</v>
      </c>
      <c r="Z17" s="244">
        <v>7.2527472527472554</v>
      </c>
      <c r="AA17" s="314" t="s">
        <v>64</v>
      </c>
      <c r="AD17" s="1035">
        <v>51.7</v>
      </c>
      <c r="AE17" s="1045" t="e">
        <f t="shared" si="0"/>
        <v>#DIV/0!</v>
      </c>
      <c r="AF17" s="1046" t="s">
        <v>64</v>
      </c>
    </row>
    <row r="18" spans="1:32" ht="12.75" customHeight="1">
      <c r="A18" s="212"/>
      <c r="B18" s="213" t="s">
        <v>15</v>
      </c>
      <c r="C18" s="560"/>
      <c r="D18" s="562"/>
      <c r="E18" s="562"/>
      <c r="F18" s="562"/>
      <c r="G18" s="562"/>
      <c r="H18" s="563">
        <v>781.36099999999999</v>
      </c>
      <c r="I18" s="562">
        <v>853.36599999999999</v>
      </c>
      <c r="J18" s="562">
        <v>910.55499999999995</v>
      </c>
      <c r="K18" s="562">
        <v>969.89499999999998</v>
      </c>
      <c r="L18" s="562">
        <v>1042.605</v>
      </c>
      <c r="M18" s="562">
        <v>1124.172</v>
      </c>
      <c r="N18" s="562">
        <v>1205.816</v>
      </c>
      <c r="O18" s="562">
        <v>1298.6880000000001</v>
      </c>
      <c r="P18" s="562">
        <v>1388.607</v>
      </c>
      <c r="Q18" s="562">
        <v>1448.8510000000001</v>
      </c>
      <c r="R18" s="562">
        <v>1499.133</v>
      </c>
      <c r="S18" s="562">
        <v>1534.902</v>
      </c>
      <c r="T18" s="562">
        <v>1556.4349999999999</v>
      </c>
      <c r="U18" s="562">
        <f>1568.596</f>
        <v>1568.596</v>
      </c>
      <c r="V18" s="562">
        <v>1619.6210000000001</v>
      </c>
      <c r="W18" s="562">
        <v>1653.528</v>
      </c>
      <c r="X18" s="562">
        <v>1656.6569999999999</v>
      </c>
      <c r="Y18" s="562">
        <v>1583.491</v>
      </c>
      <c r="Z18" s="244">
        <v>0.18923175174533924</v>
      </c>
      <c r="AA18" s="314" t="s">
        <v>15</v>
      </c>
      <c r="AD18" s="1035">
        <v>1583.491</v>
      </c>
      <c r="AE18" s="1045" t="e">
        <f t="shared" si="0"/>
        <v>#DIV/0!</v>
      </c>
      <c r="AF18" s="1046" t="s">
        <v>15</v>
      </c>
    </row>
    <row r="19" spans="1:32" ht="12.75" customHeight="1">
      <c r="A19" s="212"/>
      <c r="B19" s="221" t="s">
        <v>66</v>
      </c>
      <c r="C19" s="570">
        <v>1301.18</v>
      </c>
      <c r="D19" s="567">
        <v>1308.2080000000001</v>
      </c>
      <c r="E19" s="567">
        <v>1326.3330000000001</v>
      </c>
      <c r="F19" s="567">
        <v>1361.155</v>
      </c>
      <c r="G19" s="567">
        <v>1403.771</v>
      </c>
      <c r="H19" s="567">
        <v>1445.644</v>
      </c>
      <c r="I19" s="567">
        <f>1483.442+1806.758</f>
        <v>3290.2</v>
      </c>
      <c r="J19" s="567">
        <f>1517.208+2044.242</f>
        <v>3561.45</v>
      </c>
      <c r="K19" s="567">
        <f>1513.526+2143.593</f>
        <v>3657.1189999999997</v>
      </c>
      <c r="L19" s="567">
        <f>1612.082+2242.046</f>
        <v>3854.1279999999997</v>
      </c>
      <c r="M19" s="567">
        <f>1805.827+2311.773</f>
        <v>4117.6000000000004</v>
      </c>
      <c r="N19" s="567">
        <f>2058.022+2343.124</f>
        <v>4401.1459999999997</v>
      </c>
      <c r="O19" s="573">
        <f>2311.346+2430.414</f>
        <v>4741.76</v>
      </c>
      <c r="P19" s="567">
        <f>2500.819+2410.685</f>
        <v>4911.5039999999999</v>
      </c>
      <c r="Q19" s="567">
        <f>2352.205+2606.674</f>
        <v>4958.8789999999999</v>
      </c>
      <c r="R19" s="567">
        <f>2290.207+2707.482</f>
        <v>4997.6890000000003</v>
      </c>
      <c r="S19" s="567">
        <f>2229.418+2798.043</f>
        <v>5027.4610000000002</v>
      </c>
      <c r="T19" s="567">
        <f>2852.297+2169.668</f>
        <v>5021.9650000000001</v>
      </c>
      <c r="U19" s="567">
        <f>2107.116+2891.204</f>
        <v>4998.32</v>
      </c>
      <c r="V19" s="567">
        <f>2061.044+2972.165</f>
        <v>5033.2089999999998</v>
      </c>
      <c r="W19" s="567">
        <f>3079.463+2023.211</f>
        <v>5102.674</v>
      </c>
      <c r="X19" s="567">
        <v>5199.0119999999997</v>
      </c>
      <c r="Y19" s="567">
        <v>5284.8040000000001</v>
      </c>
      <c r="Z19" s="239">
        <v>1.8879904928278677</v>
      </c>
      <c r="AA19" s="408" t="s">
        <v>66</v>
      </c>
      <c r="AD19" s="1038">
        <f>3327.048+1957.756</f>
        <v>5284.8040000000001</v>
      </c>
      <c r="AE19" s="1044" t="e">
        <f t="shared" si="0"/>
        <v>#DIV/0!</v>
      </c>
      <c r="AF19" s="1047" t="s">
        <v>66</v>
      </c>
    </row>
    <row r="20" spans="1:32" ht="12.75" customHeight="1">
      <c r="A20" s="212"/>
      <c r="B20" s="213" t="s">
        <v>87</v>
      </c>
      <c r="C20" s="577">
        <f>65.095+94.43</f>
        <v>159.52500000000001</v>
      </c>
      <c r="D20" s="577">
        <f>66.468+96.32</f>
        <v>162.78800000000001</v>
      </c>
      <c r="E20" s="577">
        <f>68.552+98.062</f>
        <v>166.614</v>
      </c>
      <c r="F20" s="577">
        <f>72.704+100.621</f>
        <v>173.32499999999999</v>
      </c>
      <c r="G20" s="577">
        <f>80.178+103.01</f>
        <v>183.18799999999999</v>
      </c>
      <c r="H20" s="577">
        <f>90.877+102.545</f>
        <v>193.422</v>
      </c>
      <c r="I20" s="583">
        <f>102.811+103.424</f>
        <v>206.23500000000001</v>
      </c>
      <c r="J20" s="577">
        <f>116.021+107.556</f>
        <v>223.577</v>
      </c>
      <c r="K20" s="577">
        <f>129.67+115.712</f>
        <v>245.38200000000001</v>
      </c>
      <c r="L20" s="577">
        <f>142.703+129.017</f>
        <v>271.72000000000003</v>
      </c>
      <c r="M20" s="577">
        <f>156.487+145.318</f>
        <v>301.80500000000001</v>
      </c>
      <c r="N20" s="577">
        <f>172.283+166.16</f>
        <v>338.44299999999998</v>
      </c>
      <c r="O20" s="577">
        <f>188.144+188.388</f>
        <v>376.53200000000004</v>
      </c>
      <c r="P20" s="577">
        <v>421.54399999999998</v>
      </c>
      <c r="Q20" s="577">
        <f>216.443+239.754</f>
        <v>456.197</v>
      </c>
      <c r="R20" s="577">
        <f>226.877+259.889</f>
        <v>486.76600000000002</v>
      </c>
      <c r="S20" s="577">
        <f>279+237</f>
        <v>516</v>
      </c>
      <c r="T20" s="577">
        <f>244.968+293.051</f>
        <v>538.01900000000001</v>
      </c>
      <c r="U20" s="577">
        <f>302.727+251.525</f>
        <v>554.25199999999995</v>
      </c>
      <c r="V20" s="577">
        <f>257.094+311.097</f>
        <v>568.19100000000003</v>
      </c>
      <c r="W20" s="577">
        <f>261.826+319.321</f>
        <v>581.14700000000005</v>
      </c>
      <c r="X20" s="577">
        <v>591.79499999999996</v>
      </c>
      <c r="Y20" s="577">
        <v>603.79999999999995</v>
      </c>
      <c r="Z20" s="244">
        <v>1.832238659065581</v>
      </c>
      <c r="AA20" s="405" t="s">
        <v>87</v>
      </c>
      <c r="AD20" s="1039">
        <v>603.79999999999995</v>
      </c>
      <c r="AE20" s="1045" t="e">
        <f t="shared" si="0"/>
        <v>#DIV/0!</v>
      </c>
      <c r="AF20" s="1049" t="s">
        <v>87</v>
      </c>
    </row>
    <row r="21" spans="1:32" ht="12.75" customHeight="1">
      <c r="A21" s="212"/>
      <c r="B21" s="213" t="s">
        <v>67</v>
      </c>
      <c r="C21" s="560">
        <f>1562+727</f>
        <v>2289</v>
      </c>
      <c r="D21" s="562">
        <f>1540+738</f>
        <v>2278</v>
      </c>
      <c r="E21" s="562">
        <f>1518+780</f>
        <v>2298</v>
      </c>
      <c r="F21" s="562">
        <f>1482+839</f>
        <v>2321</v>
      </c>
      <c r="G21" s="562">
        <f>1461+912</f>
        <v>2373</v>
      </c>
      <c r="H21" s="562">
        <f>1442+968</f>
        <v>2410</v>
      </c>
      <c r="I21" s="562">
        <f>1421+1019</f>
        <v>2440</v>
      </c>
      <c r="J21" s="562">
        <f>1387+1054</f>
        <v>2441</v>
      </c>
      <c r="K21" s="562">
        <f>1357+1091</f>
        <v>2448</v>
      </c>
      <c r="L21" s="562">
        <f>1331+1131</f>
        <v>2462</v>
      </c>
      <c r="M21" s="562">
        <f>1297.698+1177.608</f>
        <v>2475.306</v>
      </c>
      <c r="N21" s="562">
        <f>1295.316+1248.245</f>
        <v>2543.5609999999997</v>
      </c>
      <c r="O21" s="562">
        <f>1939+1801</f>
        <v>3740</v>
      </c>
      <c r="P21" s="562">
        <v>3857</v>
      </c>
      <c r="Q21" s="562">
        <f>1748+1784</f>
        <v>3532</v>
      </c>
      <c r="R21" s="562">
        <f>1713+1847.951</f>
        <v>3560.951</v>
      </c>
      <c r="S21" s="562">
        <f>1591.636+1847.781</f>
        <v>3439.4169999999999</v>
      </c>
      <c r="T21" s="562">
        <v>3089.125</v>
      </c>
      <c r="U21" s="562">
        <f>1343.411+1592.882</f>
        <v>2936.2930000000001</v>
      </c>
      <c r="V21" s="562">
        <f>1272.214+1542.88</f>
        <v>2815.0940000000001</v>
      </c>
      <c r="W21" s="562">
        <f>1197.031+1497.135</f>
        <v>2694.1660000000002</v>
      </c>
      <c r="X21" s="562">
        <v>2357.2709999999997</v>
      </c>
      <c r="Y21" s="562">
        <v>3034</v>
      </c>
      <c r="Z21" s="244">
        <v>-12.504611816792305</v>
      </c>
      <c r="AA21" s="314" t="s">
        <v>67</v>
      </c>
      <c r="AD21" s="1048">
        <v>3034</v>
      </c>
      <c r="AE21" s="1045" t="e">
        <f t="shared" si="0"/>
        <v>#DIV/0!</v>
      </c>
      <c r="AF21" s="1046" t="s">
        <v>67</v>
      </c>
    </row>
    <row r="22" spans="1:32" ht="12.75" customHeight="1">
      <c r="A22" s="212"/>
      <c r="B22" s="221" t="s">
        <v>144</v>
      </c>
      <c r="C22" s="570">
        <v>9.9329999999999998</v>
      </c>
      <c r="D22" s="567">
        <v>14.128</v>
      </c>
      <c r="E22" s="567">
        <v>17.401</v>
      </c>
      <c r="F22" s="567">
        <v>18.957000000000001</v>
      </c>
      <c r="G22" s="567">
        <v>20.498999999999999</v>
      </c>
      <c r="H22" s="567">
        <v>21.867999999999999</v>
      </c>
      <c r="I22" s="567">
        <v>24.305</v>
      </c>
      <c r="J22" s="567">
        <v>85.216999999999999</v>
      </c>
      <c r="K22" s="567">
        <v>99.137</v>
      </c>
      <c r="L22" s="567">
        <v>112.907</v>
      </c>
      <c r="M22" s="567">
        <v>128.38200000000001</v>
      </c>
      <c r="N22" s="567">
        <v>143.48599999999999</v>
      </c>
      <c r="O22" s="567">
        <f>56.401+106.343</f>
        <v>162.744</v>
      </c>
      <c r="P22" s="567">
        <v>183.81399999999999</v>
      </c>
      <c r="Q22" s="567">
        <f>63.691+120.792</f>
        <v>184.483</v>
      </c>
      <c r="R22" s="567">
        <f>62.21+114.563</f>
        <v>176.773</v>
      </c>
      <c r="S22" s="567">
        <f>112.166+62.876</f>
        <v>175.042</v>
      </c>
      <c r="T22" s="567">
        <v>156.98099999999999</v>
      </c>
      <c r="U22" s="567">
        <v>154.78200000000001</v>
      </c>
      <c r="V22" s="567">
        <v>153.053</v>
      </c>
      <c r="W22" s="567">
        <v>151.27699999999999</v>
      </c>
      <c r="X22" s="567">
        <v>152.87299999999999</v>
      </c>
      <c r="Y22" s="567">
        <v>154.26900000000001</v>
      </c>
      <c r="Z22" s="239">
        <v>1.0550182777289336</v>
      </c>
      <c r="AA22" s="408" t="s">
        <v>144</v>
      </c>
      <c r="AD22" s="1038">
        <f>85.121+69.148</f>
        <v>154.26900000000001</v>
      </c>
      <c r="AE22" s="1044" t="e">
        <f t="shared" si="0"/>
        <v>#DIV/0!</v>
      </c>
      <c r="AF22" s="1047" t="s">
        <v>144</v>
      </c>
    </row>
    <row r="23" spans="1:32" ht="12.75" customHeight="1">
      <c r="A23" s="212"/>
      <c r="B23" s="221" t="s">
        <v>77</v>
      </c>
      <c r="C23" s="570"/>
      <c r="D23" s="567"/>
      <c r="E23" s="567"/>
      <c r="F23" s="567"/>
      <c r="G23" s="567">
        <v>87.572999999999993</v>
      </c>
      <c r="H23" s="572">
        <v>91.192999999999998</v>
      </c>
      <c r="I23" s="567">
        <v>93.087999999999994</v>
      </c>
      <c r="J23" s="567">
        <v>97.593000000000004</v>
      </c>
      <c r="K23" s="572">
        <v>103.49299999999999</v>
      </c>
      <c r="L23" s="567">
        <v>114.038</v>
      </c>
      <c r="M23" s="567">
        <v>122.705</v>
      </c>
      <c r="N23" s="567">
        <v>130.18799999999999</v>
      </c>
      <c r="O23" s="567">
        <v>135.86500000000001</v>
      </c>
      <c r="P23" s="567">
        <v>141.54</v>
      </c>
      <c r="Q23" s="567">
        <f>141.956</f>
        <v>141.95599999999999</v>
      </c>
      <c r="R23" s="573">
        <v>142.251</v>
      </c>
      <c r="S23" s="567">
        <f>147.382</f>
        <v>147.38200000000001</v>
      </c>
      <c r="T23" s="567">
        <f>151.405</f>
        <v>151.405</v>
      </c>
      <c r="U23" s="567">
        <f>157.178</f>
        <v>157.178</v>
      </c>
      <c r="V23" s="567">
        <v>161.54</v>
      </c>
      <c r="W23" s="567">
        <v>162.828</v>
      </c>
      <c r="X23" s="567">
        <v>162.148</v>
      </c>
      <c r="Y23" s="567">
        <v>167.4</v>
      </c>
      <c r="Z23" s="239">
        <v>-0.41761859139705848</v>
      </c>
      <c r="AA23" s="408" t="s">
        <v>77</v>
      </c>
      <c r="AD23" s="1038">
        <v>167.4</v>
      </c>
      <c r="AE23" s="1044" t="e">
        <f t="shared" si="0"/>
        <v>#DIV/0!</v>
      </c>
      <c r="AF23" s="1047" t="s">
        <v>77</v>
      </c>
    </row>
    <row r="24" spans="1:32" ht="12.75" customHeight="1">
      <c r="A24" s="212"/>
      <c r="B24" s="221" t="s">
        <v>68</v>
      </c>
      <c r="C24" s="570">
        <v>23.452000000000002</v>
      </c>
      <c r="D24" s="567">
        <v>23.847000000000001</v>
      </c>
      <c r="E24" s="567">
        <v>24.423999999999999</v>
      </c>
      <c r="F24" s="567">
        <v>24.398</v>
      </c>
      <c r="G24" s="567">
        <v>26.677</v>
      </c>
      <c r="H24" s="567">
        <v>30.638000000000002</v>
      </c>
      <c r="I24" s="567">
        <v>32.912999999999997</v>
      </c>
      <c r="J24" s="567">
        <v>33.146999999999998</v>
      </c>
      <c r="K24" s="567">
        <v>35.094000000000001</v>
      </c>
      <c r="L24" s="567">
        <v>34.853999999999999</v>
      </c>
      <c r="M24" s="567">
        <v>34.299999999999997</v>
      </c>
      <c r="N24" s="572">
        <v>34.927</v>
      </c>
      <c r="O24" s="573">
        <v>37.177999999999997</v>
      </c>
      <c r="P24" s="567">
        <v>39.408999999999999</v>
      </c>
      <c r="Q24" s="567">
        <v>39.552</v>
      </c>
      <c r="R24" s="567">
        <f>38.145</f>
        <v>38.145000000000003</v>
      </c>
      <c r="S24" s="567">
        <v>36.582000000000001</v>
      </c>
      <c r="T24" s="567">
        <v>35.106000000000002</v>
      </c>
      <c r="U24" s="567">
        <v>36.622999999999998</v>
      </c>
      <c r="V24" s="573">
        <v>36.573</v>
      </c>
      <c r="W24" s="574">
        <v>36.973999999999997</v>
      </c>
      <c r="X24" s="574">
        <v>38.023000000000003</v>
      </c>
      <c r="Y24" s="574">
        <v>39.872999999999998</v>
      </c>
      <c r="Z24" s="239">
        <v>2.8371287932060625</v>
      </c>
      <c r="AA24" s="408" t="s">
        <v>68</v>
      </c>
      <c r="AD24" s="1038">
        <v>39.872999999999998</v>
      </c>
      <c r="AE24" s="1044" t="e">
        <f t="shared" si="0"/>
        <v>#DIV/0!</v>
      </c>
      <c r="AF24" s="1047" t="s">
        <v>68</v>
      </c>
    </row>
    <row r="25" spans="1:32" ht="12.75" customHeight="1">
      <c r="A25" s="212"/>
      <c r="B25" s="213" t="s">
        <v>69</v>
      </c>
      <c r="C25" s="576">
        <f>2530.75+3697.545</f>
        <v>6228.2950000000001</v>
      </c>
      <c r="D25" s="577">
        <f>2572.926+3818.309</f>
        <v>6391.2350000000006</v>
      </c>
      <c r="E25" s="577">
        <f>2597.857+3831.657</f>
        <v>6429.5140000000001</v>
      </c>
      <c r="F25" s="577">
        <f>2723.002+4100.321</f>
        <v>6823.3230000000003</v>
      </c>
      <c r="G25" s="577">
        <f>2975.651+4431.146</f>
        <v>7406.7969999999996</v>
      </c>
      <c r="H25" s="577">
        <f>3375.782+4451.124</f>
        <v>7826.9059999999999</v>
      </c>
      <c r="I25" s="577">
        <f>3732.306+4495.813</f>
        <v>8228.1190000000006</v>
      </c>
      <c r="J25" s="577">
        <f>4037.48+4540.906</f>
        <v>8578.3860000000004</v>
      </c>
      <c r="K25" s="577">
        <f>4375.947+4586.452</f>
        <v>8962.3990000000013</v>
      </c>
      <c r="L25" s="577">
        <f>4632.399+4574.644</f>
        <v>9207.0430000000015</v>
      </c>
      <c r="M25" s="577">
        <f>4360+4938.359</f>
        <v>9298.3590000000004</v>
      </c>
      <c r="N25" s="577">
        <f>4050+5288.818</f>
        <v>9338.8179999999993</v>
      </c>
      <c r="O25" s="577">
        <f>3690+5590.259</f>
        <v>9280.259</v>
      </c>
      <c r="P25" s="577">
        <v>9180.094000000001</v>
      </c>
      <c r="Q25" s="577">
        <f>6118.098+2900</f>
        <v>9018.098</v>
      </c>
      <c r="R25" s="577">
        <f>6305.032+2550</f>
        <v>8855.0319999999992</v>
      </c>
      <c r="S25" s="577">
        <f>6428.476+2550</f>
        <v>8978.4759999999987</v>
      </c>
      <c r="T25" s="577">
        <f>6428.796+2153.454</f>
        <v>8582.25</v>
      </c>
      <c r="U25" s="578">
        <f>6481.77+2256.078</f>
        <v>8737.848</v>
      </c>
      <c r="V25" s="577">
        <f>6505.62+2516.612</f>
        <v>9022.232</v>
      </c>
      <c r="W25" s="618">
        <f>6543.612+2421.947</f>
        <v>8965.5590000000011</v>
      </c>
      <c r="X25" s="618">
        <v>9083.6630000000005</v>
      </c>
      <c r="Y25" s="618">
        <v>9218.33</v>
      </c>
      <c r="Z25" s="244">
        <v>1.3173077105398363</v>
      </c>
      <c r="AA25" s="405" t="s">
        <v>69</v>
      </c>
      <c r="AD25" s="1039">
        <f>6689.911+2528.419</f>
        <v>9218.33</v>
      </c>
      <c r="AE25" s="1045" t="e">
        <f t="shared" si="0"/>
        <v>#DIV/0!</v>
      </c>
      <c r="AF25" s="1049" t="s">
        <v>69</v>
      </c>
    </row>
    <row r="26" spans="1:32" ht="12.75" customHeight="1">
      <c r="A26" s="212"/>
      <c r="B26" s="221" t="s">
        <v>73</v>
      </c>
      <c r="C26" s="570">
        <v>20.033000000000001</v>
      </c>
      <c r="D26" s="567">
        <v>19.402000000000001</v>
      </c>
      <c r="E26" s="567">
        <v>19.128</v>
      </c>
      <c r="F26" s="567">
        <v>19.265999999999998</v>
      </c>
      <c r="G26" s="567">
        <v>19.515000000000001</v>
      </c>
      <c r="H26" s="567">
        <v>19.841999999999999</v>
      </c>
      <c r="I26" s="567">
        <v>20.244</v>
      </c>
      <c r="J26" s="567">
        <v>21.016999999999999</v>
      </c>
      <c r="K26" s="567">
        <v>21.873000000000001</v>
      </c>
      <c r="L26" s="567">
        <v>22.861000000000001</v>
      </c>
      <c r="M26" s="567">
        <v>24.027000000000001</v>
      </c>
      <c r="N26" s="567">
        <v>25.478000000000002</v>
      </c>
      <c r="O26" s="567">
        <f>28.826+6.444</f>
        <v>35.270000000000003</v>
      </c>
      <c r="P26" s="567">
        <v>45.617000000000004</v>
      </c>
      <c r="Q26" s="567">
        <f>14.81+36.562</f>
        <v>51.372</v>
      </c>
      <c r="R26" s="567">
        <f>38.995+17.276</f>
        <v>56.271000000000001</v>
      </c>
      <c r="S26" s="567">
        <f>41.349+18.775</f>
        <v>60.123999999999995</v>
      </c>
      <c r="T26" s="567">
        <v>64.248999999999995</v>
      </c>
      <c r="U26" s="567">
        <f>22.169+45.983</f>
        <v>68.152000000000001</v>
      </c>
      <c r="V26" s="567">
        <f>23.374+9.789</f>
        <v>33.162999999999997</v>
      </c>
      <c r="W26" s="567">
        <f>26.651+11.102</f>
        <v>37.753</v>
      </c>
      <c r="X26" s="567">
        <v>39.713000000000001</v>
      </c>
      <c r="Y26" s="567">
        <v>42.1</v>
      </c>
      <c r="Z26" s="239">
        <v>5.1916403994384694</v>
      </c>
      <c r="AA26" s="408" t="s">
        <v>73</v>
      </c>
      <c r="AD26" s="1038">
        <f>11+31.1</f>
        <v>42.1</v>
      </c>
      <c r="AE26" s="1044" t="e">
        <f t="shared" si="0"/>
        <v>#DIV/0!</v>
      </c>
      <c r="AF26" s="1047" t="s">
        <v>73</v>
      </c>
    </row>
    <row r="27" spans="1:32" ht="12.75" customHeight="1">
      <c r="A27" s="212"/>
      <c r="B27" s="213" t="s">
        <v>76</v>
      </c>
      <c r="C27" s="617">
        <f>8.405+20</f>
        <v>28.405000000000001</v>
      </c>
      <c r="D27" s="577">
        <f>8.716+20.185</f>
        <v>28.900999999999996</v>
      </c>
      <c r="E27" s="577">
        <f>9.297+20.377</f>
        <v>29.673999999999999</v>
      </c>
      <c r="F27" s="577">
        <f>9.947+20.641</f>
        <v>30.587999999999997</v>
      </c>
      <c r="G27" s="577">
        <f>10.819+20.943</f>
        <v>31.762</v>
      </c>
      <c r="H27" s="577">
        <f>11.488+21.286</f>
        <v>32.774000000000001</v>
      </c>
      <c r="I27" s="577">
        <f>11.961+21.615</f>
        <v>33.576000000000001</v>
      </c>
      <c r="J27" s="577">
        <f>12.671+22.03</f>
        <v>34.701000000000001</v>
      </c>
      <c r="K27" s="577">
        <f>13.38+22.579</f>
        <v>35.959000000000003</v>
      </c>
      <c r="L27" s="577">
        <f>13.901+23.008</f>
        <v>36.908999999999999</v>
      </c>
      <c r="M27" s="577">
        <f>23.471+14.268</f>
        <v>37.739000000000004</v>
      </c>
      <c r="N27" s="577">
        <f>24.029+14.609</f>
        <v>38.637999999999998</v>
      </c>
      <c r="O27" s="577">
        <f>24.532+14.947</f>
        <v>39.478999999999999</v>
      </c>
      <c r="P27" s="577">
        <v>40.284999999999997</v>
      </c>
      <c r="Q27" s="577">
        <f>25.7+15.551</f>
        <v>41.250999999999998</v>
      </c>
      <c r="R27" s="578">
        <f>26.34+15.753</f>
        <v>42.093000000000004</v>
      </c>
      <c r="S27" s="577">
        <f>27.11+16.225</f>
        <v>43.335000000000001</v>
      </c>
      <c r="T27" s="577">
        <v>44.526000000000003</v>
      </c>
      <c r="U27" s="577">
        <f>8.527+17.226</f>
        <v>25.753</v>
      </c>
      <c r="V27" s="577">
        <f>9.385+17.89</f>
        <v>27.274999999999999</v>
      </c>
      <c r="W27" s="577">
        <f>18.569+9.69</f>
        <v>28.259</v>
      </c>
      <c r="X27" s="577">
        <v>29.253</v>
      </c>
      <c r="Y27" s="577">
        <v>30.3</v>
      </c>
      <c r="Z27" s="244">
        <v>3.5174634629675552</v>
      </c>
      <c r="AA27" s="405" t="s">
        <v>76</v>
      </c>
      <c r="AD27" s="1039">
        <v>30.3</v>
      </c>
      <c r="AE27" s="1045" t="e">
        <f t="shared" si="0"/>
        <v>#DIV/0!</v>
      </c>
      <c r="AF27" s="1049" t="s">
        <v>76</v>
      </c>
    </row>
    <row r="28" spans="1:32" ht="12.75" customHeight="1">
      <c r="A28" s="212"/>
      <c r="B28" s="213" t="s">
        <v>72</v>
      </c>
      <c r="C28" s="576">
        <v>15.792</v>
      </c>
      <c r="D28" s="577">
        <v>18.443999999999999</v>
      </c>
      <c r="E28" s="577">
        <v>19.266999999999999</v>
      </c>
      <c r="F28" s="577">
        <v>19.408999999999999</v>
      </c>
      <c r="G28" s="577">
        <v>20.056999999999999</v>
      </c>
      <c r="H28" s="577">
        <v>20.731999999999999</v>
      </c>
      <c r="I28" s="577">
        <v>21.37</v>
      </c>
      <c r="J28" s="577">
        <v>22.16</v>
      </c>
      <c r="K28" s="577">
        <v>22.88</v>
      </c>
      <c r="L28" s="577">
        <f>23.982+5.943</f>
        <v>29.924999999999997</v>
      </c>
      <c r="M28" s="577">
        <f>25.193+7.284</f>
        <v>32.477000000000004</v>
      </c>
      <c r="N28" s="577">
        <f>27.21+9.664</f>
        <v>36.874000000000002</v>
      </c>
      <c r="O28" s="577">
        <f>30.87+13.542</f>
        <v>44.411999999999999</v>
      </c>
      <c r="P28" s="577">
        <v>51.284000000000006</v>
      </c>
      <c r="Q28" s="577">
        <f>18.373+33.59</f>
        <v>51.963000000000008</v>
      </c>
      <c r="R28" s="577">
        <f>19.486+17.188</f>
        <v>36.673999999999999</v>
      </c>
      <c r="S28" s="577">
        <f>21.238+17.385</f>
        <v>38.623000000000005</v>
      </c>
      <c r="T28" s="577">
        <v>41.088000000000001</v>
      </c>
      <c r="U28" s="577">
        <v>43.588000000000001</v>
      </c>
      <c r="V28" s="577">
        <v>46.421999999999997</v>
      </c>
      <c r="W28" s="577">
        <v>49.287999999999997</v>
      </c>
      <c r="X28" s="577">
        <v>49.581000000000003</v>
      </c>
      <c r="Y28" s="577">
        <v>52.8</v>
      </c>
      <c r="Z28" s="244">
        <v>0.59446518422335259</v>
      </c>
      <c r="AA28" s="405" t="s">
        <v>72</v>
      </c>
      <c r="AD28" s="1039">
        <v>52.8</v>
      </c>
      <c r="AE28" s="1045" t="e">
        <f t="shared" si="0"/>
        <v>#DIV/0!</v>
      </c>
      <c r="AF28" s="1049" t="s">
        <v>72</v>
      </c>
    </row>
    <row r="29" spans="1:32" ht="12.75" customHeight="1">
      <c r="A29" s="212"/>
      <c r="B29" s="213" t="s">
        <v>78</v>
      </c>
      <c r="C29" s="576">
        <v>17.411000000000001</v>
      </c>
      <c r="D29" s="577">
        <v>11.663</v>
      </c>
      <c r="E29" s="577">
        <v>13.881</v>
      </c>
      <c r="F29" s="577">
        <v>14.847</v>
      </c>
      <c r="G29" s="577">
        <v>11.87</v>
      </c>
      <c r="H29" s="577">
        <v>12.401999999999999</v>
      </c>
      <c r="I29" s="583">
        <v>12.83</v>
      </c>
      <c r="J29" s="577">
        <v>13.324</v>
      </c>
      <c r="K29" s="577">
        <v>13.667</v>
      </c>
      <c r="L29" s="577">
        <f>12.639+0.143</f>
        <v>12.782</v>
      </c>
      <c r="M29" s="577">
        <f>11.905+0.088</f>
        <v>11.992999999999999</v>
      </c>
      <c r="N29" s="577">
        <f>12.192+0.094</f>
        <v>12.286</v>
      </c>
      <c r="O29" s="577">
        <v>12.791</v>
      </c>
      <c r="P29" s="577">
        <v>14.413000000000002</v>
      </c>
      <c r="Q29" s="577">
        <f>14.301+0.005+0.074</f>
        <v>14.38</v>
      </c>
      <c r="R29" s="577">
        <f>14.635+0.067+0.0141</f>
        <v>14.716099999999999</v>
      </c>
      <c r="S29" s="577">
        <f>15.314+0.068+0.181</f>
        <v>15.562999999999999</v>
      </c>
      <c r="T29" s="577">
        <f>15.568+0.062+0.185</f>
        <v>15.815</v>
      </c>
      <c r="U29" s="577">
        <f>16.62+0.231+0.05</f>
        <v>16.901000000000003</v>
      </c>
      <c r="V29" s="577">
        <f>0.036+0.276+18.088</f>
        <v>18.400000000000002</v>
      </c>
      <c r="W29" s="577">
        <v>20.088000000000001</v>
      </c>
      <c r="X29" s="577">
        <v>22.285999999999998</v>
      </c>
      <c r="Y29" s="577">
        <v>24.606000000000002</v>
      </c>
      <c r="Z29" s="244">
        <v>16.03665521191293</v>
      </c>
      <c r="AA29" s="405" t="s">
        <v>78</v>
      </c>
      <c r="AD29" s="1039">
        <f>0.011+0.464+24.131</f>
        <v>24.606000000000002</v>
      </c>
      <c r="AE29" s="1045" t="e">
        <f t="shared" si="0"/>
        <v>#DIV/0!</v>
      </c>
      <c r="AF29" s="1049" t="s">
        <v>78</v>
      </c>
    </row>
    <row r="30" spans="1:32" ht="12.75" customHeight="1">
      <c r="A30" s="212"/>
      <c r="B30" s="221" t="s">
        <v>16</v>
      </c>
      <c r="C30" s="570">
        <f>307.993+547</f>
        <v>854.99299999999994</v>
      </c>
      <c r="D30" s="567">
        <f>335+553</f>
        <v>888</v>
      </c>
      <c r="E30" s="567">
        <f>373+543</f>
        <v>916</v>
      </c>
      <c r="F30" s="567">
        <f>451.425+546</f>
        <v>997.42499999999995</v>
      </c>
      <c r="G30" s="567">
        <f>413.989+520</f>
        <v>933.98900000000003</v>
      </c>
      <c r="H30" s="572">
        <f>437.798+533</f>
        <v>970.798</v>
      </c>
      <c r="I30" s="567">
        <f>460.822+504</f>
        <v>964.822</v>
      </c>
      <c r="J30" s="567">
        <f>494.45+508</f>
        <v>1002.45</v>
      </c>
      <c r="K30" s="567">
        <f>516.567+499</f>
        <v>1015.567</v>
      </c>
      <c r="L30" s="572">
        <f>536.934+502</f>
        <v>1038.934</v>
      </c>
      <c r="M30" s="567">
        <f>552.949+560</f>
        <v>1112.9490000000001</v>
      </c>
      <c r="N30" s="567">
        <f>567.911+711.792</f>
        <v>1279.703</v>
      </c>
      <c r="O30" s="567">
        <f>585.204+786.409</f>
        <v>1371.6129999999998</v>
      </c>
      <c r="P30" s="567">
        <v>1479.4760000000001</v>
      </c>
      <c r="Q30" s="567">
        <f>623.442+951.452</f>
        <v>1574.894</v>
      </c>
      <c r="R30" s="567">
        <f>636.199+1023.582</f>
        <v>1659.7809999999999</v>
      </c>
      <c r="S30" s="567">
        <f>1057.1+646.995</f>
        <v>1704.0949999999998</v>
      </c>
      <c r="T30" s="567">
        <f>1080.514+653.245</f>
        <v>1733.759</v>
      </c>
      <c r="U30" s="567">
        <f>653.991+1097.18</f>
        <v>1751.171</v>
      </c>
      <c r="V30" s="567">
        <f>652.336+1119.877</f>
        <v>1772.213</v>
      </c>
      <c r="W30" s="567">
        <f>652.544+1145.603</f>
        <v>1798.1469999999999</v>
      </c>
      <c r="X30" s="567">
        <v>1834.2909999999999</v>
      </c>
      <c r="Y30" s="567">
        <v>1873.1610000000001</v>
      </c>
      <c r="Z30" s="239">
        <v>1.7142283615683169</v>
      </c>
      <c r="AA30" s="408" t="s">
        <v>16</v>
      </c>
      <c r="AD30" s="1038">
        <f>661.639+1211.522</f>
        <v>1873.1610000000001</v>
      </c>
      <c r="AE30" s="1044" t="e">
        <f t="shared" si="0"/>
        <v>#DIV/0!</v>
      </c>
      <c r="AF30" s="1047" t="s">
        <v>16</v>
      </c>
    </row>
    <row r="31" spans="1:32" ht="12.75" customHeight="1">
      <c r="A31" s="212"/>
      <c r="B31" s="221" t="s">
        <v>80</v>
      </c>
      <c r="C31" s="570">
        <v>929</v>
      </c>
      <c r="D31" s="567"/>
      <c r="E31" s="567"/>
      <c r="F31" s="567">
        <v>820</v>
      </c>
      <c r="G31" s="567">
        <v>804</v>
      </c>
      <c r="H31" s="567">
        <v>803</v>
      </c>
      <c r="I31" s="567">
        <v>803</v>
      </c>
      <c r="J31" s="567">
        <v>869</v>
      </c>
      <c r="K31" s="567">
        <v>845.45600000000002</v>
      </c>
      <c r="L31" s="572">
        <v>835.79</v>
      </c>
      <c r="M31" s="567">
        <f>753.648+337.511</f>
        <v>1091.1590000000001</v>
      </c>
      <c r="N31" s="567">
        <f>784.176+405.917</f>
        <v>1190.0930000000001</v>
      </c>
      <c r="O31" s="567">
        <f>825.305+525.484</f>
        <v>1350.789</v>
      </c>
      <c r="P31" s="567">
        <v>1607.316</v>
      </c>
      <c r="Q31" s="567">
        <f>974.906+833.817</f>
        <v>1808.723</v>
      </c>
      <c r="R31" s="567">
        <f>1013.014+922.126</f>
        <v>1935.1399999999999</v>
      </c>
      <c r="S31" s="567">
        <f>1069.195+1032.98</f>
        <v>2102.1750000000002</v>
      </c>
      <c r="T31" s="567">
        <v>2207.556</v>
      </c>
      <c r="U31" s="567">
        <f>1153.169+1163.441</f>
        <v>2316.61</v>
      </c>
      <c r="V31" s="567">
        <f>1189.527+1216.578</f>
        <v>2406.105</v>
      </c>
      <c r="W31" s="567">
        <f>1272.333+1259.187</f>
        <v>2531.52</v>
      </c>
      <c r="X31" s="567">
        <v>2647.8249999999998</v>
      </c>
      <c r="Y31" s="567">
        <v>2755</v>
      </c>
      <c r="Z31" s="239">
        <v>4.594275376058647</v>
      </c>
      <c r="AA31" s="408" t="s">
        <v>80</v>
      </c>
      <c r="AD31" s="1038">
        <v>2755</v>
      </c>
      <c r="AE31" s="1044" t="e">
        <f t="shared" si="0"/>
        <v>#DIV/0!</v>
      </c>
      <c r="AF31" s="1047" t="s">
        <v>80</v>
      </c>
    </row>
    <row r="32" spans="1:32" ht="12.75" customHeight="1">
      <c r="A32" s="212"/>
      <c r="B32" s="213" t="s">
        <v>92</v>
      </c>
      <c r="C32" s="576">
        <v>216.29599999999999</v>
      </c>
      <c r="D32" s="577">
        <v>240.946</v>
      </c>
      <c r="E32" s="577">
        <v>271.70800000000003</v>
      </c>
      <c r="F32" s="577">
        <v>301.04500000000002</v>
      </c>
      <c r="G32" s="577">
        <v>323.85399999999998</v>
      </c>
      <c r="H32" s="577">
        <v>345.90300000000002</v>
      </c>
      <c r="I32" s="577">
        <v>368.06299999999999</v>
      </c>
      <c r="J32" s="577">
        <v>386.96899999999999</v>
      </c>
      <c r="K32" s="577">
        <v>402.75900000000001</v>
      </c>
      <c r="L32" s="577">
        <v>418.70400000000001</v>
      </c>
      <c r="M32" s="577">
        <v>588.41999999999996</v>
      </c>
      <c r="N32" s="583">
        <f>401+157.72</f>
        <v>558.72</v>
      </c>
      <c r="O32" s="578">
        <f>377+159.645</f>
        <v>536.64499999999998</v>
      </c>
      <c r="P32" s="577">
        <v>535</v>
      </c>
      <c r="Q32" s="577">
        <f>199.27+334</f>
        <v>533.27</v>
      </c>
      <c r="R32" s="577">
        <f>292+206</f>
        <v>498</v>
      </c>
      <c r="S32" s="577">
        <f>287+210</f>
        <v>497</v>
      </c>
      <c r="T32" s="577">
        <f>280+212.5</f>
        <v>492.5</v>
      </c>
      <c r="U32" s="577">
        <f>272.5+212.5</f>
        <v>485</v>
      </c>
      <c r="V32" s="577">
        <f>272.5+213.5</f>
        <v>486</v>
      </c>
      <c r="W32" s="577">
        <f>271.5+230</f>
        <v>501.5</v>
      </c>
      <c r="X32" s="577">
        <v>550.09199999999998</v>
      </c>
      <c r="Y32" s="577">
        <v>592.51700000000005</v>
      </c>
      <c r="Z32" s="244">
        <v>4.8707160328133341</v>
      </c>
      <c r="AA32" s="405" t="s">
        <v>92</v>
      </c>
      <c r="AD32" s="1039">
        <v>592.51700000000005</v>
      </c>
      <c r="AE32" s="1045" t="e">
        <f t="shared" si="0"/>
        <v>#DIV/0!</v>
      </c>
      <c r="AF32" s="1049" t="s">
        <v>92</v>
      </c>
    </row>
    <row r="33" spans="1:32" ht="12.75" customHeight="1">
      <c r="A33" s="212"/>
      <c r="B33" s="221" t="s">
        <v>101</v>
      </c>
      <c r="C33" s="570">
        <f>205.032+122.692</f>
        <v>327.72399999999999</v>
      </c>
      <c r="D33" s="567">
        <f>160.073+94.923</f>
        <v>254.99600000000001</v>
      </c>
      <c r="E33" s="567">
        <f>153.768+96.742</f>
        <v>250.51</v>
      </c>
      <c r="F33" s="567">
        <f>146.725+98.994</f>
        <v>245.71899999999999</v>
      </c>
      <c r="G33" s="567">
        <f>141.49+101.093</f>
        <v>242.58300000000003</v>
      </c>
      <c r="H33" s="572">
        <f>137.103+102.105</f>
        <v>239.20800000000003</v>
      </c>
      <c r="I33" s="572">
        <f>134.152+103.749</f>
        <v>237.90099999999998</v>
      </c>
      <c r="J33" s="567">
        <f>132.955+105.525</f>
        <v>238.48000000000002</v>
      </c>
      <c r="K33" s="567">
        <f>132.88+102.97</f>
        <v>235.85</v>
      </c>
      <c r="L33" s="567">
        <f>130.193+104.509</f>
        <v>234.702</v>
      </c>
      <c r="M33" s="567">
        <f>103.556+93.845</f>
        <v>197.40100000000001</v>
      </c>
      <c r="N33" s="567">
        <f>101.474+92.507</f>
        <v>193.98099999999999</v>
      </c>
      <c r="O33" s="567">
        <f>29.403+27.076</f>
        <v>56.478999999999999</v>
      </c>
      <c r="P33" s="567">
        <v>71.826999999999998</v>
      </c>
      <c r="Q33" s="567">
        <f>79.99</f>
        <v>79.989999999999995</v>
      </c>
      <c r="R33" s="567">
        <f>85.171</f>
        <v>85.171000000000006</v>
      </c>
      <c r="S33" s="567">
        <v>90.081999999999994</v>
      </c>
      <c r="T33" s="567">
        <v>95.45</v>
      </c>
      <c r="U33" s="567">
        <v>101.622</v>
      </c>
      <c r="V33" s="567">
        <v>107.33799999999999</v>
      </c>
      <c r="W33" s="567">
        <v>112.866</v>
      </c>
      <c r="X33" s="567">
        <v>119.53400000000001</v>
      </c>
      <c r="Y33" s="567">
        <v>127.3</v>
      </c>
      <c r="Z33" s="239">
        <v>5.9078907731292105</v>
      </c>
      <c r="AA33" s="408" t="s">
        <v>101</v>
      </c>
      <c r="AD33" s="1038">
        <v>127.3</v>
      </c>
      <c r="AE33" s="1044" t="e">
        <f t="shared" si="0"/>
        <v>#DIV/0!</v>
      </c>
      <c r="AF33" s="1047" t="s">
        <v>101</v>
      </c>
    </row>
    <row r="34" spans="1:32" ht="12.75" customHeight="1">
      <c r="A34" s="212"/>
      <c r="B34" s="221" t="s">
        <v>88</v>
      </c>
      <c r="C34" s="570">
        <f>117.387+146.793</f>
        <v>264.18</v>
      </c>
      <c r="D34" s="567">
        <f>121.95+150.765</f>
        <v>272.71499999999997</v>
      </c>
      <c r="E34" s="567">
        <f>130.041+149.38</f>
        <v>279.42099999999999</v>
      </c>
      <c r="F34" s="572">
        <f>137.466+148.454</f>
        <v>285.92</v>
      </c>
      <c r="G34" s="567">
        <f>149.97+150.49</f>
        <v>300.46000000000004</v>
      </c>
      <c r="H34" s="567">
        <f>167.346+142.723</f>
        <v>310.06900000000002</v>
      </c>
      <c r="I34" s="567">
        <f>190.607+145.734</f>
        <v>336.34100000000001</v>
      </c>
      <c r="J34" s="567">
        <f>220.75+151.619</f>
        <v>372.36900000000003</v>
      </c>
      <c r="K34" s="567">
        <f>247.129+148.472</f>
        <v>395.601</v>
      </c>
      <c r="L34" s="567">
        <f>205.567+155.754+41.996</f>
        <v>403.31700000000001</v>
      </c>
      <c r="M34" s="567">
        <f>225.038+169.574+58.47</f>
        <v>453.08199999999999</v>
      </c>
      <c r="N34" s="567">
        <f>245.039+177.306+75.399</f>
        <v>497.74400000000003</v>
      </c>
      <c r="O34" s="567">
        <f>259.017+184.231+84.877</f>
        <v>528.125</v>
      </c>
      <c r="P34" s="567">
        <v>553.92899999999997</v>
      </c>
      <c r="Q34" s="567">
        <f>277.626+91.677+202.587</f>
        <v>571.89</v>
      </c>
      <c r="R34" s="567">
        <f>277.745+78.348+214.147</f>
        <v>570.24</v>
      </c>
      <c r="S34" s="567">
        <f>280.562+222.764+75.169</f>
        <v>578.495</v>
      </c>
      <c r="T34" s="567">
        <f>236.704+73.163+283.942</f>
        <v>593.80899999999997</v>
      </c>
      <c r="U34" s="567">
        <f>284.969+73.176+247.445</f>
        <v>605.58999999999992</v>
      </c>
      <c r="V34" s="567">
        <f>288.629+75.211+254.713</f>
        <v>618.553</v>
      </c>
      <c r="W34" s="567">
        <f>292.368+75.678+264.572</f>
        <v>632.61799999999994</v>
      </c>
      <c r="X34" s="567">
        <v>648.98199999999997</v>
      </c>
      <c r="Y34" s="567">
        <v>611.31500000000005</v>
      </c>
      <c r="Z34" s="239">
        <v>2.5867110957955788</v>
      </c>
      <c r="AA34" s="408" t="s">
        <v>88</v>
      </c>
      <c r="AD34" s="1038">
        <f>244.505+83.079+283.731</f>
        <v>611.31500000000005</v>
      </c>
      <c r="AE34" s="1044" t="e">
        <f t="shared" si="0"/>
        <v>#DIV/0!</v>
      </c>
      <c r="AF34" s="1047" t="s">
        <v>88</v>
      </c>
    </row>
    <row r="35" spans="1:32" ht="12.75" customHeight="1">
      <c r="A35" s="212"/>
      <c r="B35" s="213" t="s">
        <v>83</v>
      </c>
      <c r="C35" s="576">
        <v>8.5459999999999994</v>
      </c>
      <c r="D35" s="577">
        <v>8.173</v>
      </c>
      <c r="E35" s="577">
        <v>8.2829999999999995</v>
      </c>
      <c r="F35" s="577">
        <v>9.14</v>
      </c>
      <c r="G35" s="577">
        <v>9.9060000000000006</v>
      </c>
      <c r="H35" s="577">
        <v>11.217000000000001</v>
      </c>
      <c r="I35" s="577">
        <v>11.622</v>
      </c>
      <c r="J35" s="577">
        <f>11.93+38.678</f>
        <v>50.607999999999997</v>
      </c>
      <c r="K35" s="577">
        <f>12.048+30.344</f>
        <v>42.392000000000003</v>
      </c>
      <c r="L35" s="577">
        <f>11.574+28.626</f>
        <v>40.200000000000003</v>
      </c>
      <c r="M35" s="577">
        <f>14.473+34.198</f>
        <v>48.670999999999999</v>
      </c>
      <c r="N35" s="577">
        <f>18.801+34.392</f>
        <v>53.192999999999998</v>
      </c>
      <c r="O35" s="577">
        <f>34.162+37.331</f>
        <v>71.492999999999995</v>
      </c>
      <c r="P35" s="577">
        <v>81.996000000000009</v>
      </c>
      <c r="Q35" s="577">
        <f>46.185+42.243</f>
        <v>88.427999999999997</v>
      </c>
      <c r="R35" s="577">
        <f>48.686+42.322</f>
        <v>91.00800000000001</v>
      </c>
      <c r="S35" s="577">
        <f>49.887+42.296</f>
        <v>92.182999999999993</v>
      </c>
      <c r="T35" s="577">
        <v>93.1</v>
      </c>
      <c r="U35" s="577">
        <f>41.05+51.936</f>
        <v>92.98599999999999</v>
      </c>
      <c r="V35" s="577">
        <f>41.165+54.631</f>
        <v>95.795999999999992</v>
      </c>
      <c r="W35" s="577">
        <v>100.32</v>
      </c>
      <c r="X35" s="577">
        <v>103.684</v>
      </c>
      <c r="Y35" s="577">
        <v>125.127</v>
      </c>
      <c r="Z35" s="244">
        <v>3.3532695374800738</v>
      </c>
      <c r="AA35" s="405" t="s">
        <v>83</v>
      </c>
      <c r="AD35" s="1039">
        <v>125.127</v>
      </c>
      <c r="AE35" s="1045" t="e">
        <f t="shared" si="0"/>
        <v>#DIV/0!</v>
      </c>
      <c r="AF35" s="1049" t="s">
        <v>83</v>
      </c>
    </row>
    <row r="36" spans="1:32" ht="12.75" customHeight="1">
      <c r="A36" s="212"/>
      <c r="B36" s="221" t="s">
        <v>85</v>
      </c>
      <c r="C36" s="570">
        <v>81.846999999999994</v>
      </c>
      <c r="D36" s="567">
        <v>79.478999999999999</v>
      </c>
      <c r="E36" s="567">
        <v>81.061999999999998</v>
      </c>
      <c r="F36" s="567">
        <v>100.89100000000001</v>
      </c>
      <c r="G36" s="567">
        <v>44.215000000000003</v>
      </c>
      <c r="H36" s="567">
        <v>45.646999999999998</v>
      </c>
      <c r="I36" s="567">
        <v>46.676000000000002</v>
      </c>
      <c r="J36" s="567">
        <v>47.9</v>
      </c>
      <c r="K36" s="567">
        <v>48.709000000000003</v>
      </c>
      <c r="L36" s="567">
        <v>51.976999999999997</v>
      </c>
      <c r="M36" s="567">
        <v>56.366</v>
      </c>
      <c r="N36" s="567">
        <v>58.100999999999999</v>
      </c>
      <c r="O36" s="567">
        <v>63.896999999999998</v>
      </c>
      <c r="P36" s="567">
        <v>70.317999999999998</v>
      </c>
      <c r="Q36" s="567">
        <v>55.442999999999998</v>
      </c>
      <c r="R36" s="567">
        <f>59.563</f>
        <v>59.563000000000002</v>
      </c>
      <c r="S36" s="567">
        <f>63.859</f>
        <v>63.859000000000002</v>
      </c>
      <c r="T36" s="567">
        <v>68.063000000000002</v>
      </c>
      <c r="U36" s="567">
        <f>74.101</f>
        <v>74.100999999999999</v>
      </c>
      <c r="V36" s="567">
        <v>80.790999999999997</v>
      </c>
      <c r="W36" s="567">
        <v>88.652000000000001</v>
      </c>
      <c r="X36" s="567">
        <v>95.266999999999996</v>
      </c>
      <c r="Y36" s="567">
        <v>133.309</v>
      </c>
      <c r="Z36" s="239">
        <v>7.4617605919776082</v>
      </c>
      <c r="AA36" s="408" t="s">
        <v>85</v>
      </c>
      <c r="AD36" s="1038">
        <v>133.309</v>
      </c>
      <c r="AE36" s="1044" t="e">
        <f t="shared" si="0"/>
        <v>#DIV/0!</v>
      </c>
      <c r="AF36" s="1047" t="s">
        <v>85</v>
      </c>
    </row>
    <row r="37" spans="1:32" ht="12.75" customHeight="1">
      <c r="A37" s="212"/>
      <c r="B37" s="217" t="s">
        <v>13</v>
      </c>
      <c r="C37" s="587">
        <v>714</v>
      </c>
      <c r="D37" s="589">
        <v>752</v>
      </c>
      <c r="E37" s="589">
        <v>766</v>
      </c>
      <c r="F37" s="589">
        <v>828</v>
      </c>
      <c r="G37" s="589">
        <v>905</v>
      </c>
      <c r="H37" s="589">
        <v>971</v>
      </c>
      <c r="I37" s="589">
        <v>1028</v>
      </c>
      <c r="J37" s="589">
        <v>1090</v>
      </c>
      <c r="K37" s="589">
        <v>1162</v>
      </c>
      <c r="L37" s="589">
        <v>1218</v>
      </c>
      <c r="M37" s="589">
        <v>1235</v>
      </c>
      <c r="N37" s="589">
        <f>1209.6+30</f>
        <v>1239.5999999999999</v>
      </c>
      <c r="O37" s="589">
        <f>1248.3+32</f>
        <v>1280.3</v>
      </c>
      <c r="P37" s="589">
        <v>1305.5999999999999</v>
      </c>
      <c r="Q37" s="589">
        <f>1275.6+31.156</f>
        <v>1306.7559999999999</v>
      </c>
      <c r="R37" s="589">
        <f>30.001+1234.4</f>
        <v>1264.4010000000001</v>
      </c>
      <c r="S37" s="589">
        <f>1238.3+28.536</f>
        <v>1266.836</v>
      </c>
      <c r="T37" s="589">
        <f>1224.8+26.998</f>
        <v>1251.798</v>
      </c>
      <c r="U37" s="589">
        <f>1219.4+24.345</f>
        <v>1243.7450000000001</v>
      </c>
      <c r="V37" s="589">
        <v>1240.2</v>
      </c>
      <c r="W37" s="589">
        <v>1253.0999999999999</v>
      </c>
      <c r="X37" s="589">
        <v>1270.2</v>
      </c>
      <c r="Y37" s="589">
        <v>1255.8599999999999</v>
      </c>
      <c r="Z37" s="264">
        <v>1.3646157529327354</v>
      </c>
      <c r="AA37" s="385" t="s">
        <v>13</v>
      </c>
      <c r="AD37" s="1041">
        <v>1255.8599999999999</v>
      </c>
      <c r="AE37" s="1042" t="e">
        <f t="shared" si="0"/>
        <v>#DIV/0!</v>
      </c>
      <c r="AF37" s="956" t="s">
        <v>13</v>
      </c>
    </row>
    <row r="38" spans="1:32" ht="12.75" customHeight="1">
      <c r="A38" s="212"/>
      <c r="B38" s="221" t="s">
        <v>270</v>
      </c>
      <c r="C38" s="567">
        <v>6.9459999999999997</v>
      </c>
      <c r="D38" s="567">
        <v>5.5410000000000004</v>
      </c>
      <c r="E38" s="567">
        <v>3.645</v>
      </c>
      <c r="F38" s="567">
        <v>4.109</v>
      </c>
      <c r="G38" s="567">
        <v>3.214</v>
      </c>
      <c r="H38" s="567">
        <v>3.8079999999999998</v>
      </c>
      <c r="I38" s="567">
        <v>3.4470000000000001</v>
      </c>
      <c r="J38" s="567">
        <v>3.4</v>
      </c>
      <c r="K38" s="567">
        <v>3.8959999999999999</v>
      </c>
      <c r="L38" s="567">
        <v>4.8769999999999998</v>
      </c>
      <c r="M38" s="567">
        <v>7.17</v>
      </c>
      <c r="N38" s="567">
        <v>11.638999999999999</v>
      </c>
      <c r="O38" s="567">
        <v>13.859</v>
      </c>
      <c r="P38" s="567">
        <v>18.329000000000001</v>
      </c>
      <c r="Q38" s="567">
        <v>20.873999999999999</v>
      </c>
      <c r="R38" s="567">
        <v>24.021999999999998</v>
      </c>
      <c r="S38" s="567">
        <v>24.009</v>
      </c>
      <c r="T38" s="567">
        <v>25.492000000000001</v>
      </c>
      <c r="U38" s="567">
        <v>26.664000000000001</v>
      </c>
      <c r="V38" s="567">
        <v>30.975000000000001</v>
      </c>
      <c r="W38" s="567">
        <v>33.07</v>
      </c>
      <c r="X38" s="567"/>
      <c r="Y38" s="567"/>
      <c r="Z38" s="239">
        <f t="shared" ref="Z38:Z46" si="1">W38/V38*100-100</f>
        <v>6.7635189669087907</v>
      </c>
      <c r="AA38" s="408" t="s">
        <v>270</v>
      </c>
    </row>
    <row r="39" spans="1:32" ht="12.75" customHeight="1">
      <c r="A39" s="212"/>
      <c r="B39" s="213" t="s">
        <v>223</v>
      </c>
      <c r="C39" s="577"/>
      <c r="D39" s="577"/>
      <c r="E39" s="577"/>
      <c r="F39" s="577"/>
      <c r="G39" s="577"/>
      <c r="H39" s="577"/>
      <c r="I39" s="577"/>
      <c r="J39" s="577"/>
      <c r="K39" s="577"/>
      <c r="L39" s="577"/>
      <c r="M39" s="577"/>
      <c r="N39" s="577"/>
      <c r="O39" s="577"/>
      <c r="P39" s="577"/>
      <c r="Q39" s="577"/>
      <c r="R39" s="577"/>
      <c r="S39" s="577">
        <v>4.6609999999999996</v>
      </c>
      <c r="T39" s="577">
        <v>4.5759999999999996</v>
      </c>
      <c r="U39" s="577">
        <v>5.0460000000000003</v>
      </c>
      <c r="V39" s="577">
        <v>3.7029999999999998</v>
      </c>
      <c r="W39" s="577">
        <v>4.2009999999999996</v>
      </c>
      <c r="X39" s="577"/>
      <c r="Y39" s="577"/>
      <c r="Z39" s="244">
        <f t="shared" si="1"/>
        <v>13.448555225492839</v>
      </c>
      <c r="AA39" s="405" t="s">
        <v>223</v>
      </c>
    </row>
    <row r="40" spans="1:32" ht="12.75" customHeight="1">
      <c r="A40" s="212"/>
      <c r="B40" s="221" t="s">
        <v>145</v>
      </c>
      <c r="C40" s="567"/>
      <c r="D40" s="567"/>
      <c r="E40" s="567"/>
      <c r="F40" s="567"/>
      <c r="G40" s="567"/>
      <c r="H40" s="567"/>
      <c r="I40" s="567"/>
      <c r="J40" s="567"/>
      <c r="K40" s="567">
        <v>2.1419999999999999</v>
      </c>
      <c r="L40" s="567">
        <v>1.3819999999999999</v>
      </c>
      <c r="M40" s="567">
        <v>1.724</v>
      </c>
      <c r="N40" s="567">
        <v>3.4420000000000002</v>
      </c>
      <c r="O40" s="567">
        <v>4.4370000000000003</v>
      </c>
      <c r="P40" s="567">
        <v>8.6259999999999994</v>
      </c>
      <c r="Q40" s="567">
        <f>9.097</f>
        <v>9.0969999999999995</v>
      </c>
      <c r="R40" s="567">
        <f>7.761</f>
        <v>7.7610000000000001</v>
      </c>
      <c r="S40" s="567">
        <f>8.373</f>
        <v>8.3729999999999993</v>
      </c>
      <c r="T40" s="567">
        <v>8.4730000000000008</v>
      </c>
      <c r="U40" s="567">
        <v>8.093</v>
      </c>
      <c r="V40" s="567">
        <v>8.6340000000000003</v>
      </c>
      <c r="W40" s="567">
        <v>10.050000000000001</v>
      </c>
      <c r="X40" s="567"/>
      <c r="Y40" s="567"/>
      <c r="Z40" s="239">
        <f t="shared" si="1"/>
        <v>16.400277970813065</v>
      </c>
      <c r="AA40" s="408" t="s">
        <v>145</v>
      </c>
    </row>
    <row r="41" spans="1:32" ht="12.75" customHeight="1">
      <c r="A41" s="212"/>
      <c r="B41" s="213" t="s">
        <v>224</v>
      </c>
      <c r="C41" s="577"/>
      <c r="D41" s="577"/>
      <c r="E41" s="577"/>
      <c r="F41" s="577"/>
      <c r="G41" s="577"/>
      <c r="H41" s="577"/>
      <c r="I41" s="577">
        <v>13.097</v>
      </c>
      <c r="J41" s="577">
        <v>12.339</v>
      </c>
      <c r="K41" s="577">
        <v>13.287000000000001</v>
      </c>
      <c r="L41" s="577">
        <v>14.771000000000001</v>
      </c>
      <c r="M41" s="577">
        <v>16.042000000000002</v>
      </c>
      <c r="N41" s="577">
        <v>20.38</v>
      </c>
      <c r="O41" s="577">
        <v>24.896999999999998</v>
      </c>
      <c r="P41" s="577">
        <v>31.803000000000001</v>
      </c>
      <c r="Q41" s="577">
        <v>34.5</v>
      </c>
      <c r="R41" s="578">
        <v>37.945999999999998</v>
      </c>
      <c r="S41" s="577">
        <v>39.134999999999998</v>
      </c>
      <c r="T41" s="577">
        <v>47.237000000000002</v>
      </c>
      <c r="U41" s="577">
        <f>22.294+36.403</f>
        <v>58.697000000000003</v>
      </c>
      <c r="V41" s="577">
        <f>25.065+38.102</f>
        <v>63.167000000000002</v>
      </c>
      <c r="W41" s="577">
        <f>24.845+39.396</f>
        <v>64.241</v>
      </c>
      <c r="X41" s="577"/>
      <c r="Y41" s="577"/>
      <c r="Z41" s="244">
        <f t="shared" si="1"/>
        <v>1.7002548799214736</v>
      </c>
      <c r="AA41" s="405" t="s">
        <v>224</v>
      </c>
    </row>
    <row r="42" spans="1:32" ht="12.75" customHeight="1">
      <c r="A42" s="212"/>
      <c r="B42" s="256" t="s">
        <v>146</v>
      </c>
      <c r="C42" s="567">
        <v>819.92200000000003</v>
      </c>
      <c r="D42" s="567">
        <v>854.15</v>
      </c>
      <c r="E42" s="567">
        <v>905.12099999999998</v>
      </c>
      <c r="F42" s="567">
        <v>940.93499999999995</v>
      </c>
      <c r="G42" s="567">
        <v>975.74599999999998</v>
      </c>
      <c r="H42" s="567">
        <v>1011.284</v>
      </c>
      <c r="I42" s="567">
        <v>1031.221</v>
      </c>
      <c r="J42" s="567">
        <v>1046.9069999999999</v>
      </c>
      <c r="K42" s="567">
        <v>1073.415</v>
      </c>
      <c r="L42" s="567">
        <v>1218.6769999999999</v>
      </c>
      <c r="M42" s="567">
        <v>1441.066</v>
      </c>
      <c r="N42" s="567">
        <v>1822.8309999999999</v>
      </c>
      <c r="O42" s="567">
        <v>2003.492</v>
      </c>
      <c r="P42" s="567">
        <v>2181.3829999999998</v>
      </c>
      <c r="Q42" s="567">
        <v>2303.261</v>
      </c>
      <c r="R42" s="567">
        <f>2389.488</f>
        <v>2389.4879999999998</v>
      </c>
      <c r="S42" s="567">
        <f>2527.19</f>
        <v>2527.19</v>
      </c>
      <c r="T42" s="567">
        <v>2657.7220000000002</v>
      </c>
      <c r="U42" s="567">
        <f>2722.826</f>
        <v>2722.826</v>
      </c>
      <c r="V42" s="567">
        <v>2828.4659999999999</v>
      </c>
      <c r="W42" s="567">
        <v>2938.364</v>
      </c>
      <c r="X42" s="567"/>
      <c r="Y42" s="567"/>
      <c r="Z42" s="239">
        <f t="shared" si="1"/>
        <v>3.8854276487679158</v>
      </c>
      <c r="AA42" s="400" t="s">
        <v>146</v>
      </c>
    </row>
    <row r="43" spans="1:32" ht="12.75" customHeight="1">
      <c r="A43" s="212"/>
      <c r="B43" s="378" t="s">
        <v>147</v>
      </c>
      <c r="C43" s="597">
        <v>1.881</v>
      </c>
      <c r="D43" s="597">
        <v>1.95</v>
      </c>
      <c r="E43" s="597">
        <v>2.0470000000000002</v>
      </c>
      <c r="F43" s="597">
        <v>1.9059999999999999</v>
      </c>
      <c r="G43" s="597">
        <v>2.0840000000000001</v>
      </c>
      <c r="H43" s="597">
        <v>2.278</v>
      </c>
      <c r="I43" s="597">
        <v>2.444</v>
      </c>
      <c r="J43" s="597">
        <v>2.5569999999999999</v>
      </c>
      <c r="K43" s="597">
        <v>2.7469999999999999</v>
      </c>
      <c r="L43" s="597">
        <v>3.105</v>
      </c>
      <c r="M43" s="597">
        <v>4.1829999999999998</v>
      </c>
      <c r="N43" s="597">
        <v>5.6989999999999998</v>
      </c>
      <c r="O43" s="597">
        <v>8.0739999999999998</v>
      </c>
      <c r="P43" s="597">
        <v>9.0090000000000003</v>
      </c>
      <c r="Q43" s="597">
        <v>9.42</v>
      </c>
      <c r="R43" s="597">
        <v>9.6509999999999998</v>
      </c>
      <c r="S43" s="597">
        <f>9.922</f>
        <v>9.9220000000000006</v>
      </c>
      <c r="T43" s="597">
        <v>10.135</v>
      </c>
      <c r="U43" s="597">
        <v>10.212999999999999</v>
      </c>
      <c r="V43" s="597">
        <v>10.305999999999999</v>
      </c>
      <c r="W43" s="597">
        <v>10.398999999999999</v>
      </c>
      <c r="X43" s="597"/>
      <c r="Y43" s="597"/>
      <c r="Z43" s="263">
        <f t="shared" si="1"/>
        <v>0.90238695905297561</v>
      </c>
      <c r="AA43" s="619" t="s">
        <v>147</v>
      </c>
    </row>
    <row r="44" spans="1:32" ht="12.75" customHeight="1">
      <c r="A44" s="212"/>
      <c r="B44" s="221" t="s">
        <v>148</v>
      </c>
      <c r="C44" s="567">
        <v>158.624</v>
      </c>
      <c r="D44" s="567">
        <v>164.77500000000001</v>
      </c>
      <c r="E44" s="567">
        <v>174.60300000000001</v>
      </c>
      <c r="F44" s="567">
        <v>184.34699999999998</v>
      </c>
      <c r="G44" s="567">
        <v>193.00099999999998</v>
      </c>
      <c r="H44" s="567">
        <v>201.56399999999999</v>
      </c>
      <c r="I44" s="567">
        <v>211.42700000000002</v>
      </c>
      <c r="J44" s="567">
        <v>225.173</v>
      </c>
      <c r="K44" s="567">
        <v>239.596</v>
      </c>
      <c r="L44" s="567">
        <v>248.57099999999997</v>
      </c>
      <c r="M44" s="567">
        <f>148.161+13.63+95.708</f>
        <v>257.49900000000002</v>
      </c>
      <c r="N44" s="567">
        <f>116.875+151.67</f>
        <v>268.54499999999996</v>
      </c>
      <c r="O44" s="567">
        <f>156.287+16.589+109.618</f>
        <v>282.49400000000003</v>
      </c>
      <c r="P44" s="567">
        <f>161.662+17.677+117.044</f>
        <v>296.38299999999998</v>
      </c>
      <c r="Q44" s="567">
        <f>141.235+165.557</f>
        <v>306.79200000000003</v>
      </c>
      <c r="R44" s="567">
        <f>146.592+168.904</f>
        <v>315.49599999999998</v>
      </c>
      <c r="S44" s="567">
        <f>151.65+171.846</f>
        <v>323.49599999999998</v>
      </c>
      <c r="T44" s="567">
        <v>331.69900000000001</v>
      </c>
      <c r="U44" s="567">
        <f>176.087+21.349+140.474</f>
        <v>337.90999999999997</v>
      </c>
      <c r="V44" s="567">
        <f>177.502+22.115+145.534</f>
        <v>345.15100000000001</v>
      </c>
      <c r="W44" s="567">
        <f>178.235+23.509+152.531</f>
        <v>354.27500000000003</v>
      </c>
      <c r="X44" s="567"/>
      <c r="Y44" s="567"/>
      <c r="Z44" s="239">
        <f t="shared" si="1"/>
        <v>2.6434806794707271</v>
      </c>
      <c r="AA44" s="408" t="s">
        <v>148</v>
      </c>
    </row>
    <row r="45" spans="1:32" ht="12.75" customHeight="1">
      <c r="A45" s="212"/>
      <c r="B45" s="213" t="s">
        <v>149</v>
      </c>
      <c r="C45" s="577">
        <v>688.48334493180107</v>
      </c>
      <c r="D45" s="577">
        <v>682.99495168409749</v>
      </c>
      <c r="E45" s="577">
        <v>691.21699999999998</v>
      </c>
      <c r="F45" s="577">
        <v>700.46400000000006</v>
      </c>
      <c r="G45" s="577">
        <v>710.375</v>
      </c>
      <c r="H45" s="577">
        <v>712.71299999999997</v>
      </c>
      <c r="I45" s="577">
        <v>720.423</v>
      </c>
      <c r="J45" s="577">
        <v>731.94299999999998</v>
      </c>
      <c r="K45" s="577">
        <v>740.84400000000005</v>
      </c>
      <c r="L45" s="577">
        <v>748.01</v>
      </c>
      <c r="M45" s="577">
        <v>747.96</v>
      </c>
      <c r="N45" s="577">
        <v>759.22299999999996</v>
      </c>
      <c r="O45" s="577">
        <v>763.87</v>
      </c>
      <c r="P45" s="577">
        <v>778.08900000000006</v>
      </c>
      <c r="Q45" s="577">
        <v>781.99699999999996</v>
      </c>
      <c r="R45" s="577">
        <v>790.75</v>
      </c>
      <c r="S45" s="577">
        <v>808.70399999999995</v>
      </c>
      <c r="T45" s="577">
        <v>825.80600000000004</v>
      </c>
      <c r="U45" s="577">
        <v>835.23699999999997</v>
      </c>
      <c r="V45" s="577">
        <v>852.56700000000001</v>
      </c>
      <c r="W45" s="577">
        <f>710.022+159.915</f>
        <v>869.93700000000001</v>
      </c>
      <c r="X45" s="577"/>
      <c r="Y45" s="577"/>
      <c r="Z45" s="244">
        <f t="shared" si="1"/>
        <v>2.0373765346301127</v>
      </c>
      <c r="AA45" s="405" t="s">
        <v>149</v>
      </c>
    </row>
    <row r="46" spans="1:32" ht="12.75" customHeight="1">
      <c r="A46" s="212"/>
      <c r="B46" s="256" t="s">
        <v>199</v>
      </c>
      <c r="C46" s="594"/>
      <c r="D46" s="594"/>
      <c r="E46" s="594"/>
      <c r="F46" s="594"/>
      <c r="G46" s="594">
        <v>2.4430000000000001</v>
      </c>
      <c r="H46" s="594">
        <v>2.5939999999999999</v>
      </c>
      <c r="I46" s="594">
        <v>2.754</v>
      </c>
      <c r="J46" s="594">
        <v>2.8780000000000001</v>
      </c>
      <c r="K46" s="594">
        <v>2.98</v>
      </c>
      <c r="L46" s="594">
        <v>3.0030000000000001</v>
      </c>
      <c r="M46" s="594">
        <v>3.11</v>
      </c>
      <c r="N46" s="594">
        <v>3.17</v>
      </c>
      <c r="O46" s="594">
        <v>3.2559999999999998</v>
      </c>
      <c r="P46" s="594">
        <v>3.4380000000000002</v>
      </c>
      <c r="Q46" s="594">
        <f>3.577</f>
        <v>3.577</v>
      </c>
      <c r="R46" s="594">
        <v>3.734</v>
      </c>
      <c r="S46" s="594">
        <f>3.753</f>
        <v>3.7530000000000001</v>
      </c>
      <c r="T46" s="594">
        <v>3.931</v>
      </c>
      <c r="U46" s="594">
        <f>3.999</f>
        <v>3.9990000000000001</v>
      </c>
      <c r="V46" s="594">
        <v>4.1539999999999999</v>
      </c>
      <c r="W46" s="594">
        <v>4.2619999999999996</v>
      </c>
      <c r="X46" s="594"/>
      <c r="Y46" s="594"/>
      <c r="Z46" s="261">
        <f t="shared" si="1"/>
        <v>2.5999037072701014</v>
      </c>
      <c r="AA46" s="400" t="s">
        <v>199</v>
      </c>
    </row>
    <row r="47" spans="1:32" ht="24" customHeight="1">
      <c r="B47" s="1179" t="s">
        <v>295</v>
      </c>
      <c r="C47" s="1180"/>
      <c r="D47" s="1180"/>
      <c r="E47" s="1180"/>
      <c r="F47" s="1180"/>
      <c r="G47" s="1180"/>
      <c r="H47" s="1180"/>
      <c r="I47" s="1180"/>
      <c r="J47" s="1180"/>
      <c r="K47" s="1180"/>
      <c r="L47" s="1180"/>
      <c r="M47" s="1180"/>
      <c r="N47" s="1180"/>
      <c r="O47" s="1180"/>
      <c r="P47" s="1180"/>
      <c r="Q47" s="1180"/>
      <c r="R47" s="1180"/>
      <c r="S47" s="1180"/>
      <c r="T47" s="1180"/>
      <c r="U47" s="1180"/>
      <c r="V47" s="1180"/>
      <c r="W47" s="1180"/>
      <c r="X47" s="1180"/>
      <c r="Y47" s="1180"/>
      <c r="Z47" s="1180"/>
      <c r="AA47" s="1180"/>
    </row>
    <row r="48" spans="1:32" ht="12.75" customHeight="1">
      <c r="B48" s="1181" t="s">
        <v>251</v>
      </c>
      <c r="C48" s="1182"/>
      <c r="D48" s="1182"/>
      <c r="E48" s="1182"/>
      <c r="F48" s="1182"/>
      <c r="G48" s="1182"/>
      <c r="H48" s="1182"/>
      <c r="I48" s="1182"/>
      <c r="J48" s="1182"/>
      <c r="K48" s="1182"/>
      <c r="L48" s="1182"/>
      <c r="M48" s="1182"/>
      <c r="N48" s="1182"/>
      <c r="O48" s="1182"/>
      <c r="P48" s="1182"/>
      <c r="Q48" s="1182"/>
      <c r="R48" s="1182"/>
      <c r="S48" s="1182"/>
      <c r="T48" s="1182"/>
      <c r="U48" s="1182"/>
      <c r="V48" s="1182"/>
      <c r="W48" s="1182"/>
      <c r="X48" s="1182"/>
      <c r="Y48" s="1182"/>
      <c r="Z48" s="1182"/>
      <c r="AA48" s="1182"/>
    </row>
    <row r="49" spans="2:27" ht="12.75" customHeight="1">
      <c r="B49" s="1176" t="s">
        <v>252</v>
      </c>
      <c r="C49" s="1176"/>
      <c r="D49" s="1176"/>
      <c r="E49" s="1176"/>
      <c r="F49" s="1176"/>
      <c r="G49" s="1176"/>
      <c r="H49" s="1176"/>
      <c r="I49" s="1176"/>
      <c r="J49" s="1176"/>
      <c r="K49" s="1176"/>
      <c r="L49" s="1176"/>
      <c r="M49" s="1176"/>
      <c r="N49" s="1176"/>
      <c r="O49" s="1176"/>
      <c r="P49" s="1176"/>
      <c r="Q49" s="1176"/>
      <c r="R49" s="1176"/>
      <c r="S49" s="1176"/>
      <c r="T49" s="1176"/>
      <c r="U49" s="1176"/>
      <c r="V49" s="1176"/>
      <c r="W49" s="1176"/>
      <c r="X49" s="1176"/>
      <c r="Y49" s="1176"/>
      <c r="Z49" s="1176"/>
      <c r="AA49" s="1176"/>
    </row>
    <row r="50" spans="2:27" ht="12.75" customHeight="1">
      <c r="B50" s="1176" t="s">
        <v>253</v>
      </c>
      <c r="C50" s="1176"/>
      <c r="D50" s="1176"/>
      <c r="E50" s="1176"/>
      <c r="F50" s="1176"/>
      <c r="G50" s="1176"/>
      <c r="H50" s="1176"/>
      <c r="I50" s="1176"/>
      <c r="J50" s="1176"/>
      <c r="K50" s="1176"/>
      <c r="L50" s="1176"/>
      <c r="M50" s="1176"/>
      <c r="N50" s="1176"/>
      <c r="O50" s="1176"/>
      <c r="P50" s="1176"/>
      <c r="Q50" s="1176"/>
      <c r="R50" s="1176"/>
      <c r="S50" s="1176"/>
      <c r="T50" s="1176"/>
      <c r="U50" s="1176"/>
      <c r="V50" s="1176"/>
      <c r="W50" s="1176"/>
      <c r="X50" s="1176"/>
      <c r="Y50" s="1176"/>
      <c r="Z50" s="1176"/>
      <c r="AA50" s="1176"/>
    </row>
    <row r="51" spans="2:27" ht="12.75" customHeight="1">
      <c r="B51" s="1176" t="s">
        <v>254</v>
      </c>
      <c r="C51" s="1176"/>
      <c r="D51" s="1176"/>
      <c r="E51" s="1176"/>
      <c r="F51" s="1176"/>
      <c r="G51" s="1176"/>
      <c r="H51" s="1176"/>
      <c r="I51" s="1176"/>
      <c r="J51" s="1176"/>
      <c r="K51" s="1176"/>
      <c r="L51" s="1176"/>
      <c r="M51" s="1176"/>
      <c r="N51" s="1176"/>
      <c r="O51" s="1176"/>
      <c r="P51" s="1176"/>
      <c r="Q51" s="1176"/>
      <c r="R51" s="1176"/>
      <c r="S51" s="1176"/>
      <c r="T51" s="1176"/>
      <c r="U51" s="1176"/>
      <c r="V51" s="1176"/>
      <c r="W51" s="1176"/>
      <c r="X51" s="1176"/>
      <c r="Y51" s="1176"/>
      <c r="Z51" s="1176"/>
      <c r="AA51" s="1176"/>
    </row>
    <row r="52" spans="2:27" ht="16.5" customHeight="1">
      <c r="B52" s="1176" t="s">
        <v>255</v>
      </c>
      <c r="C52" s="1176"/>
      <c r="D52" s="1176"/>
      <c r="E52" s="1176"/>
      <c r="F52" s="1176"/>
      <c r="G52" s="1176"/>
      <c r="H52" s="1176"/>
      <c r="I52" s="1176"/>
      <c r="J52" s="1176"/>
      <c r="K52" s="1176"/>
      <c r="L52" s="1176"/>
      <c r="M52" s="1176"/>
      <c r="N52" s="1176"/>
      <c r="O52" s="1176"/>
      <c r="P52" s="1176"/>
      <c r="Q52" s="1176"/>
      <c r="R52" s="1176"/>
      <c r="S52" s="1176"/>
      <c r="T52" s="1176"/>
      <c r="U52" s="1176"/>
      <c r="V52" s="1176"/>
      <c r="W52" s="1176"/>
      <c r="X52" s="1176"/>
      <c r="Y52" s="1176"/>
      <c r="Z52" s="1176"/>
      <c r="AA52" s="1176"/>
    </row>
    <row r="56" spans="2:27" ht="14.25">
      <c r="J56" s="620"/>
      <c r="K56" s="620"/>
      <c r="L56" s="620"/>
      <c r="M56" s="620"/>
      <c r="N56" s="620"/>
      <c r="O56" s="620"/>
      <c r="P56" s="621"/>
      <c r="Q56" s="621"/>
      <c r="R56" s="621"/>
      <c r="S56" s="621"/>
      <c r="T56" s="621"/>
      <c r="U56" s="621"/>
      <c r="V56" s="622"/>
      <c r="W56" s="621"/>
      <c r="X56" s="621"/>
      <c r="Y56" s="621"/>
      <c r="Z56" s="159"/>
      <c r="AA56" s="159"/>
    </row>
    <row r="58" spans="2:27" ht="14.25">
      <c r="J58" s="158"/>
      <c r="K58" s="160"/>
      <c r="L58" s="159"/>
      <c r="M58" s="159"/>
      <c r="N58" s="159"/>
      <c r="Q58" s="158"/>
      <c r="R58" s="160"/>
      <c r="S58" s="159"/>
      <c r="T58" s="159"/>
      <c r="U58" s="159"/>
      <c r="V58" s="623"/>
      <c r="W58" s="159"/>
      <c r="X58" s="159"/>
      <c r="Y58" s="159"/>
      <c r="Z58" s="159"/>
      <c r="AA58" s="159"/>
    </row>
    <row r="59" spans="2:27" ht="14.25">
      <c r="J59" s="158"/>
      <c r="K59" s="160"/>
      <c r="L59" s="159"/>
      <c r="M59" s="159"/>
      <c r="N59" s="159"/>
      <c r="Q59" s="158"/>
      <c r="R59" s="160"/>
      <c r="S59" s="159"/>
      <c r="T59" s="159"/>
      <c r="U59" s="159"/>
      <c r="V59" s="623"/>
      <c r="W59" s="159"/>
      <c r="X59" s="159"/>
      <c r="Y59" s="159"/>
      <c r="Z59" s="159"/>
      <c r="AA59" s="159"/>
    </row>
    <row r="60" spans="2:27" ht="14.25">
      <c r="J60" s="158"/>
      <c r="K60" s="158"/>
      <c r="L60" s="159"/>
      <c r="M60" s="159"/>
      <c r="N60" s="159"/>
      <c r="Q60" s="158"/>
      <c r="R60" s="158"/>
      <c r="S60" s="159"/>
      <c r="T60" s="159"/>
      <c r="U60" s="159"/>
      <c r="V60" s="623"/>
      <c r="W60" s="159"/>
      <c r="X60" s="159"/>
      <c r="Y60" s="159"/>
      <c r="Z60" s="159"/>
      <c r="AA60" s="159"/>
    </row>
    <row r="62" spans="2:27" ht="14.25">
      <c r="J62" s="158"/>
      <c r="K62" s="160"/>
      <c r="L62" s="159"/>
      <c r="M62" s="159"/>
      <c r="N62" s="159"/>
      <c r="Q62" s="158"/>
      <c r="S62" s="158"/>
      <c r="T62" s="158"/>
      <c r="U62" s="158"/>
      <c r="V62" s="158"/>
      <c r="W62" s="158"/>
      <c r="X62" s="158"/>
      <c r="Y62" s="158"/>
      <c r="Z62" s="160"/>
      <c r="AA62" s="159"/>
    </row>
    <row r="63" spans="2:27" ht="14.25">
      <c r="J63" s="158"/>
      <c r="K63" s="160"/>
      <c r="L63" s="159"/>
      <c r="M63" s="159"/>
      <c r="N63" s="159"/>
      <c r="Q63" s="158"/>
      <c r="S63" s="158"/>
      <c r="T63" s="158"/>
      <c r="U63" s="158"/>
      <c r="V63" s="158"/>
      <c r="W63" s="158"/>
      <c r="X63" s="158"/>
      <c r="Y63" s="158"/>
      <c r="Z63" s="160"/>
      <c r="AA63" s="159"/>
    </row>
    <row r="64" spans="2:27" ht="14.25">
      <c r="J64" s="158"/>
      <c r="K64" s="160"/>
      <c r="L64" s="159"/>
      <c r="M64" s="159"/>
      <c r="N64" s="159"/>
      <c r="Q64" s="158"/>
      <c r="S64" s="158"/>
      <c r="T64" s="158"/>
      <c r="U64" s="158"/>
      <c r="V64" s="158"/>
      <c r="W64" s="158"/>
      <c r="X64" s="158"/>
      <c r="Y64" s="158"/>
      <c r="Z64" s="160"/>
      <c r="AA64" s="159"/>
    </row>
    <row r="65" spans="10:27" ht="14.25">
      <c r="J65" s="158"/>
      <c r="K65" s="160"/>
      <c r="L65" s="159"/>
      <c r="M65" s="159"/>
      <c r="N65" s="159"/>
      <c r="Q65" s="158"/>
      <c r="S65" s="158"/>
      <c r="T65" s="158"/>
      <c r="U65" s="158"/>
      <c r="V65" s="158"/>
      <c r="W65" s="158"/>
      <c r="X65" s="158"/>
      <c r="Y65" s="158"/>
      <c r="Z65" s="160"/>
      <c r="AA65" s="159"/>
    </row>
    <row r="66" spans="10:27" ht="14.25">
      <c r="J66" s="158"/>
      <c r="K66" s="160"/>
      <c r="L66" s="159"/>
      <c r="M66" s="159"/>
      <c r="N66" s="159"/>
      <c r="Q66" s="158"/>
      <c r="S66" s="158"/>
      <c r="T66" s="158"/>
      <c r="U66" s="158"/>
      <c r="V66" s="158"/>
      <c r="W66" s="158"/>
      <c r="X66" s="158"/>
      <c r="Y66" s="158"/>
      <c r="Z66" s="160"/>
      <c r="AA66" s="159"/>
    </row>
    <row r="67" spans="10:27" ht="14.25">
      <c r="J67" s="158"/>
      <c r="K67" s="160"/>
      <c r="L67" s="159"/>
      <c r="M67" s="159"/>
      <c r="N67" s="159"/>
      <c r="Q67" s="158"/>
      <c r="S67" s="158"/>
      <c r="T67" s="158"/>
      <c r="U67" s="158"/>
      <c r="V67" s="158"/>
      <c r="W67" s="158"/>
      <c r="X67" s="158"/>
      <c r="Y67" s="158"/>
      <c r="Z67" s="160"/>
      <c r="AA67" s="159"/>
    </row>
    <row r="68" spans="10:27" ht="14.25">
      <c r="J68" s="158"/>
      <c r="K68" s="160"/>
      <c r="L68" s="159"/>
      <c r="M68" s="159"/>
      <c r="N68" s="159"/>
      <c r="Q68" s="158"/>
      <c r="S68" s="158"/>
      <c r="T68" s="158"/>
      <c r="U68" s="158"/>
      <c r="V68" s="158"/>
      <c r="W68" s="158"/>
      <c r="X68" s="158"/>
      <c r="Y68" s="158"/>
      <c r="Z68" s="160"/>
      <c r="AA68" s="159"/>
    </row>
    <row r="69" spans="10:27" ht="14.25">
      <c r="J69" s="158"/>
      <c r="K69" s="160"/>
      <c r="L69" s="159"/>
      <c r="M69" s="159"/>
      <c r="N69" s="159"/>
      <c r="Q69" s="158"/>
      <c r="S69" s="158"/>
      <c r="T69" s="158"/>
      <c r="U69" s="158"/>
      <c r="V69" s="158"/>
      <c r="W69" s="158"/>
      <c r="X69" s="158"/>
      <c r="Y69" s="158"/>
      <c r="Z69" s="160"/>
      <c r="AA69" s="159"/>
    </row>
    <row r="70" spans="10:27" ht="14.25">
      <c r="J70" s="158"/>
      <c r="K70" s="160"/>
      <c r="L70" s="159"/>
      <c r="M70" s="159"/>
      <c r="N70" s="159"/>
      <c r="Q70" s="158"/>
      <c r="S70" s="158"/>
      <c r="T70" s="158"/>
      <c r="U70" s="158"/>
      <c r="V70" s="158"/>
      <c r="W70" s="158"/>
      <c r="X70" s="158"/>
      <c r="Y70" s="158"/>
      <c r="Z70" s="160"/>
      <c r="AA70" s="159"/>
    </row>
    <row r="71" spans="10:27" ht="14.25">
      <c r="J71" s="158"/>
      <c r="K71" s="160"/>
      <c r="L71" s="159"/>
      <c r="M71" s="159"/>
      <c r="N71" s="159"/>
      <c r="Q71" s="158"/>
      <c r="S71" s="158"/>
      <c r="T71" s="158"/>
      <c r="U71" s="158"/>
      <c r="V71" s="158"/>
      <c r="W71" s="158"/>
      <c r="X71" s="158"/>
      <c r="Y71" s="158"/>
      <c r="Z71" s="160"/>
      <c r="AA71" s="159"/>
    </row>
    <row r="72" spans="10:27" ht="14.25">
      <c r="J72" s="158"/>
      <c r="K72" s="160"/>
      <c r="L72" s="159"/>
      <c r="M72" s="159"/>
      <c r="N72" s="159"/>
      <c r="Q72" s="158"/>
      <c r="S72" s="158"/>
      <c r="T72" s="158"/>
      <c r="U72" s="158"/>
      <c r="V72" s="158"/>
      <c r="W72" s="158"/>
      <c r="X72" s="158"/>
      <c r="Y72" s="158"/>
      <c r="Z72" s="160"/>
      <c r="AA72" s="159"/>
    </row>
    <row r="73" spans="10:27" ht="14.25">
      <c r="J73" s="158"/>
      <c r="K73" s="160"/>
      <c r="L73" s="159"/>
      <c r="M73" s="159"/>
      <c r="N73" s="159"/>
      <c r="Q73" s="158"/>
      <c r="S73" s="158"/>
      <c r="T73" s="158"/>
      <c r="U73" s="158"/>
      <c r="V73" s="158"/>
      <c r="W73" s="158"/>
      <c r="X73" s="158"/>
      <c r="Y73" s="158"/>
      <c r="Z73" s="160"/>
      <c r="AA73" s="159"/>
    </row>
    <row r="74" spans="10:27" ht="14.25">
      <c r="J74" s="158"/>
      <c r="K74" s="160"/>
      <c r="L74" s="159"/>
      <c r="M74" s="159"/>
      <c r="N74" s="159"/>
      <c r="Q74" s="158"/>
      <c r="S74" s="158"/>
      <c r="T74" s="158"/>
      <c r="U74" s="158"/>
      <c r="V74" s="158"/>
      <c r="W74" s="158"/>
      <c r="X74" s="158"/>
      <c r="Y74" s="158"/>
      <c r="Z74" s="160"/>
      <c r="AA74" s="159"/>
    </row>
    <row r="75" spans="10:27" ht="14.25">
      <c r="J75" s="158"/>
      <c r="K75" s="160"/>
      <c r="L75" s="159"/>
      <c r="M75" s="159"/>
      <c r="N75" s="159"/>
      <c r="Q75" s="158"/>
      <c r="S75" s="158"/>
      <c r="T75" s="158"/>
      <c r="U75" s="158"/>
      <c r="V75" s="158"/>
      <c r="W75" s="158"/>
      <c r="X75" s="158"/>
      <c r="Y75" s="158"/>
      <c r="Z75" s="160"/>
      <c r="AA75" s="159"/>
    </row>
    <row r="76" spans="10:27" ht="14.25">
      <c r="J76" s="158"/>
      <c r="K76" s="160"/>
      <c r="L76" s="159"/>
      <c r="M76" s="159"/>
      <c r="N76" s="159"/>
      <c r="Q76" s="158"/>
      <c r="S76" s="158"/>
      <c r="T76" s="158"/>
      <c r="U76" s="158"/>
      <c r="V76" s="158"/>
      <c r="W76" s="158"/>
      <c r="X76" s="158"/>
      <c r="Y76" s="158"/>
      <c r="Z76" s="160"/>
      <c r="AA76" s="159"/>
    </row>
    <row r="77" spans="10:27" ht="14.25">
      <c r="J77" s="158"/>
      <c r="K77" s="160"/>
      <c r="L77" s="159"/>
      <c r="M77" s="159"/>
      <c r="N77" s="159"/>
      <c r="Q77" s="158"/>
      <c r="S77" s="158"/>
      <c r="T77" s="158"/>
      <c r="U77" s="158"/>
      <c r="V77" s="158"/>
      <c r="W77" s="158"/>
      <c r="X77" s="158"/>
      <c r="Y77" s="158"/>
      <c r="Z77" s="160"/>
      <c r="AA77" s="159"/>
    </row>
    <row r="78" spans="10:27" ht="14.25">
      <c r="J78" s="158"/>
      <c r="K78" s="160"/>
      <c r="L78" s="159"/>
      <c r="M78" s="159"/>
      <c r="N78" s="159"/>
      <c r="Q78" s="158"/>
      <c r="S78" s="158"/>
      <c r="T78" s="158"/>
      <c r="U78" s="158"/>
      <c r="V78" s="158"/>
      <c r="W78" s="158"/>
      <c r="X78" s="158"/>
      <c r="Y78" s="158"/>
      <c r="Z78" s="160"/>
      <c r="AA78" s="159"/>
    </row>
    <row r="79" spans="10:27" ht="14.25">
      <c r="J79" s="158"/>
      <c r="K79" s="160"/>
      <c r="L79" s="159"/>
      <c r="M79" s="159"/>
      <c r="N79" s="159"/>
      <c r="Q79" s="158"/>
      <c r="S79" s="158"/>
      <c r="T79" s="158"/>
      <c r="U79" s="158"/>
      <c r="V79" s="158"/>
      <c r="W79" s="158"/>
      <c r="X79" s="158"/>
      <c r="Y79" s="158"/>
      <c r="Z79" s="160"/>
      <c r="AA79" s="159"/>
    </row>
    <row r="80" spans="10:27" ht="14.25">
      <c r="J80" s="158"/>
      <c r="K80" s="160"/>
      <c r="L80" s="159"/>
      <c r="M80" s="159"/>
      <c r="N80" s="159"/>
      <c r="Q80" s="158"/>
      <c r="S80" s="158"/>
      <c r="T80" s="158"/>
      <c r="U80" s="158"/>
      <c r="V80" s="158"/>
      <c r="W80" s="158"/>
      <c r="X80" s="158"/>
      <c r="Y80" s="158"/>
      <c r="Z80" s="160"/>
      <c r="AA80" s="159"/>
    </row>
    <row r="81" spans="10:27" ht="14.25">
      <c r="J81" s="158"/>
      <c r="K81" s="160"/>
      <c r="L81" s="159"/>
      <c r="M81" s="159"/>
      <c r="N81" s="159"/>
      <c r="Q81" s="158"/>
      <c r="S81" s="158"/>
      <c r="T81" s="158"/>
      <c r="U81" s="158"/>
      <c r="V81" s="158"/>
      <c r="W81" s="158"/>
      <c r="X81" s="158"/>
      <c r="Y81" s="158"/>
      <c r="Z81" s="160"/>
      <c r="AA81" s="159"/>
    </row>
    <row r="82" spans="10:27" ht="14.25">
      <c r="J82" s="158"/>
      <c r="K82" s="160"/>
      <c r="L82" s="159"/>
      <c r="M82" s="159"/>
      <c r="N82" s="159"/>
      <c r="Q82" s="158"/>
      <c r="S82" s="158"/>
      <c r="T82" s="158"/>
      <c r="U82" s="158"/>
      <c r="V82" s="158"/>
      <c r="W82" s="158"/>
      <c r="X82" s="158"/>
      <c r="Y82" s="158"/>
      <c r="Z82" s="160"/>
      <c r="AA82" s="159"/>
    </row>
    <row r="83" spans="10:27" ht="14.25">
      <c r="J83" s="158"/>
      <c r="K83" s="160"/>
      <c r="L83" s="159"/>
      <c r="M83" s="159"/>
      <c r="N83" s="159"/>
      <c r="Q83" s="158"/>
      <c r="S83" s="158"/>
      <c r="T83" s="158"/>
      <c r="U83" s="158"/>
      <c r="V83" s="158"/>
      <c r="W83" s="158"/>
      <c r="X83" s="158"/>
      <c r="Y83" s="158"/>
      <c r="Z83" s="160"/>
      <c r="AA83" s="159"/>
    </row>
    <row r="84" spans="10:27" ht="14.25">
      <c r="J84" s="158"/>
      <c r="K84" s="160"/>
      <c r="L84" s="159"/>
      <c r="M84" s="159"/>
      <c r="N84" s="159"/>
      <c r="Q84" s="158"/>
      <c r="S84" s="158"/>
      <c r="T84" s="158"/>
      <c r="U84" s="158"/>
      <c r="V84" s="158"/>
      <c r="W84" s="158"/>
      <c r="X84" s="158"/>
      <c r="Y84" s="158"/>
      <c r="Z84" s="160"/>
      <c r="AA84" s="159"/>
    </row>
    <row r="85" spans="10:27" ht="14.25">
      <c r="J85" s="158"/>
      <c r="K85" s="160"/>
      <c r="L85" s="159"/>
      <c r="M85" s="159"/>
      <c r="N85" s="159"/>
      <c r="Q85" s="158"/>
      <c r="S85" s="158"/>
      <c r="T85" s="158"/>
      <c r="U85" s="158"/>
      <c r="V85" s="158"/>
      <c r="W85" s="158"/>
      <c r="X85" s="158"/>
      <c r="Y85" s="158"/>
      <c r="Z85" s="160"/>
      <c r="AA85" s="159"/>
    </row>
    <row r="86" spans="10:27" ht="14.25">
      <c r="J86" s="158"/>
      <c r="K86" s="160"/>
      <c r="L86" s="159"/>
      <c r="M86" s="159"/>
      <c r="N86" s="159"/>
      <c r="Q86" s="158"/>
      <c r="S86" s="158"/>
      <c r="T86" s="158"/>
      <c r="U86" s="158"/>
      <c r="V86" s="158"/>
      <c r="W86" s="158"/>
      <c r="X86" s="158"/>
      <c r="Y86" s="158"/>
      <c r="Z86" s="160"/>
      <c r="AA86" s="159"/>
    </row>
    <row r="87" spans="10:27" ht="14.25">
      <c r="J87" s="158"/>
      <c r="K87" s="160"/>
      <c r="L87" s="159"/>
      <c r="M87" s="159"/>
      <c r="N87" s="159"/>
      <c r="Q87" s="158"/>
      <c r="S87" s="158"/>
      <c r="T87" s="158"/>
      <c r="U87" s="158"/>
      <c r="V87" s="158"/>
      <c r="W87" s="158"/>
      <c r="X87" s="158"/>
      <c r="Y87" s="158"/>
      <c r="Z87" s="160"/>
      <c r="AA87" s="159"/>
    </row>
    <row r="88" spans="10:27" ht="14.25">
      <c r="J88" s="158"/>
      <c r="K88" s="160"/>
      <c r="L88" s="159"/>
      <c r="M88" s="159"/>
      <c r="N88" s="159"/>
      <c r="Q88" s="158"/>
      <c r="S88" s="158"/>
      <c r="T88" s="158"/>
      <c r="U88" s="158"/>
      <c r="V88" s="158"/>
      <c r="W88" s="158"/>
      <c r="X88" s="158"/>
      <c r="Y88" s="158"/>
      <c r="Z88" s="160"/>
      <c r="AA88" s="159"/>
    </row>
    <row r="89" spans="10:27" ht="14.25">
      <c r="J89" s="158"/>
      <c r="K89" s="160"/>
      <c r="L89" s="159"/>
      <c r="M89" s="159"/>
      <c r="N89" s="159"/>
      <c r="Q89" s="158"/>
      <c r="S89" s="158"/>
      <c r="T89" s="158"/>
      <c r="U89" s="158"/>
      <c r="V89" s="158"/>
      <c r="W89" s="158"/>
      <c r="X89" s="158"/>
      <c r="Y89" s="158"/>
      <c r="Z89" s="160"/>
      <c r="AA89" s="159"/>
    </row>
    <row r="90" spans="10:27" ht="14.25">
      <c r="J90" s="158"/>
      <c r="K90" s="160"/>
      <c r="L90" s="159"/>
      <c r="M90" s="159"/>
      <c r="N90" s="159"/>
      <c r="Q90" s="158"/>
      <c r="S90" s="158"/>
      <c r="T90" s="158"/>
      <c r="U90" s="158"/>
      <c r="V90" s="158"/>
      <c r="W90" s="158"/>
      <c r="X90" s="158"/>
      <c r="Y90" s="158"/>
      <c r="Z90" s="160"/>
      <c r="AA90" s="159"/>
    </row>
    <row r="91" spans="10:27" ht="14.25">
      <c r="J91" s="158"/>
      <c r="K91" s="160"/>
      <c r="L91" s="159"/>
      <c r="M91" s="159"/>
      <c r="N91" s="159"/>
      <c r="Q91" s="158"/>
      <c r="S91" s="158"/>
      <c r="T91" s="158"/>
      <c r="U91" s="158"/>
      <c r="V91" s="158"/>
      <c r="W91" s="158"/>
      <c r="X91" s="158"/>
      <c r="Y91" s="158"/>
      <c r="Z91" s="160"/>
      <c r="AA91" s="159"/>
    </row>
    <row r="92" spans="10:27" ht="14.25">
      <c r="J92" s="158"/>
      <c r="K92" s="160"/>
      <c r="L92" s="159"/>
      <c r="M92" s="159"/>
      <c r="N92" s="159"/>
      <c r="Q92" s="158"/>
      <c r="S92" s="158"/>
      <c r="T92" s="158"/>
      <c r="U92" s="158"/>
      <c r="V92" s="158"/>
      <c r="W92" s="158"/>
      <c r="X92" s="158"/>
      <c r="Y92" s="158"/>
      <c r="Z92" s="160"/>
      <c r="AA92" s="159"/>
    </row>
    <row r="93" spans="10:27" ht="14.25">
      <c r="J93" s="158"/>
      <c r="K93" s="160"/>
      <c r="L93" s="159"/>
      <c r="M93" s="159"/>
      <c r="N93" s="159"/>
      <c r="Q93" s="158"/>
      <c r="S93" s="158"/>
      <c r="T93" s="158"/>
      <c r="U93" s="158"/>
      <c r="V93" s="158"/>
      <c r="W93" s="158"/>
      <c r="X93" s="158"/>
      <c r="Y93" s="158"/>
      <c r="Z93" s="160"/>
      <c r="AA93" s="159"/>
    </row>
    <row r="94" spans="10:27" ht="14.25">
      <c r="J94" s="158"/>
      <c r="K94" s="160"/>
      <c r="L94" s="159"/>
      <c r="M94" s="159"/>
      <c r="N94" s="159"/>
      <c r="Q94" s="158"/>
      <c r="S94" s="158"/>
      <c r="T94" s="158"/>
      <c r="U94" s="158"/>
      <c r="V94" s="158"/>
      <c r="W94" s="158"/>
      <c r="X94" s="158"/>
      <c r="Y94" s="158"/>
      <c r="Z94" s="160"/>
      <c r="AA94" s="159"/>
    </row>
    <row r="95" spans="10:27" ht="14.25">
      <c r="J95" s="158"/>
      <c r="K95" s="160"/>
      <c r="L95" s="159"/>
      <c r="M95" s="159"/>
      <c r="N95" s="159"/>
      <c r="Q95" s="158"/>
      <c r="S95" s="158"/>
      <c r="T95" s="158"/>
      <c r="U95" s="158"/>
      <c r="V95" s="158"/>
      <c r="W95" s="158"/>
      <c r="X95" s="158"/>
      <c r="Y95" s="158"/>
      <c r="Z95" s="160"/>
      <c r="AA95" s="159"/>
    </row>
    <row r="96" spans="10:27" ht="14.25">
      <c r="J96" s="158"/>
      <c r="K96" s="160"/>
      <c r="L96" s="159"/>
      <c r="M96" s="159"/>
      <c r="N96" s="159"/>
      <c r="Q96" s="158"/>
      <c r="S96" s="158"/>
      <c r="T96" s="158"/>
      <c r="U96" s="158"/>
      <c r="V96" s="158"/>
      <c r="W96" s="158"/>
      <c r="X96" s="158"/>
      <c r="Y96" s="158"/>
      <c r="Z96" s="160"/>
      <c r="AA96" s="159"/>
    </row>
    <row r="97" spans="10:27" ht="14.25">
      <c r="J97" s="158"/>
      <c r="K97" s="160"/>
      <c r="L97" s="159"/>
      <c r="M97" s="159"/>
      <c r="N97" s="159"/>
      <c r="Q97" s="158"/>
      <c r="S97" s="158"/>
      <c r="T97" s="158"/>
      <c r="U97" s="158"/>
      <c r="V97" s="158"/>
      <c r="W97" s="158"/>
      <c r="X97" s="158"/>
      <c r="Y97" s="158"/>
      <c r="Z97" s="160"/>
      <c r="AA97" s="159"/>
    </row>
    <row r="98" spans="10:27" ht="14.25">
      <c r="J98" s="158"/>
      <c r="K98" s="160"/>
      <c r="L98" s="159"/>
      <c r="M98" s="159"/>
      <c r="N98" s="159"/>
      <c r="Q98" s="158"/>
      <c r="S98" s="158"/>
      <c r="T98" s="158"/>
      <c r="U98" s="158"/>
      <c r="V98" s="158"/>
      <c r="W98" s="158"/>
      <c r="X98" s="158"/>
      <c r="Y98" s="158"/>
      <c r="Z98" s="160"/>
      <c r="AA98" s="159"/>
    </row>
    <row r="99" spans="10:27" ht="14.25">
      <c r="J99" s="158"/>
      <c r="K99" s="160"/>
      <c r="L99" s="159"/>
      <c r="M99" s="159"/>
      <c r="N99" s="159"/>
      <c r="Q99" s="158"/>
      <c r="S99" s="158"/>
      <c r="T99" s="158"/>
      <c r="U99" s="158"/>
      <c r="V99" s="158"/>
      <c r="W99" s="158"/>
      <c r="X99" s="158"/>
      <c r="Y99" s="158"/>
      <c r="Z99" s="160"/>
      <c r="AA99" s="159"/>
    </row>
    <row r="100" spans="10:27" ht="14.25">
      <c r="J100" s="158"/>
      <c r="K100" s="160"/>
      <c r="L100" s="159"/>
      <c r="M100" s="159"/>
      <c r="N100" s="159"/>
      <c r="Q100" s="158"/>
      <c r="S100" s="158"/>
      <c r="T100" s="158"/>
      <c r="U100" s="158"/>
      <c r="V100" s="158"/>
      <c r="W100" s="158"/>
      <c r="X100" s="158"/>
      <c r="Y100" s="158"/>
      <c r="Z100" s="160"/>
      <c r="AA100" s="159"/>
    </row>
    <row r="101" spans="10:27" ht="14.25">
      <c r="J101" s="158"/>
      <c r="K101" s="160"/>
      <c r="L101" s="159"/>
      <c r="M101" s="159"/>
      <c r="N101" s="159"/>
      <c r="Q101" s="158"/>
      <c r="S101" s="158"/>
      <c r="T101" s="158"/>
      <c r="U101" s="158"/>
      <c r="V101" s="158"/>
      <c r="W101" s="158"/>
      <c r="X101" s="158"/>
      <c r="Y101" s="158"/>
      <c r="Z101" s="160"/>
      <c r="AA101" s="159"/>
    </row>
    <row r="102" spans="10:27" ht="14.25">
      <c r="J102" s="158"/>
      <c r="K102" s="158"/>
      <c r="L102" s="159"/>
      <c r="M102" s="159"/>
      <c r="N102" s="159"/>
    </row>
    <row r="103" spans="10:27" ht="14.25">
      <c r="J103" s="158"/>
      <c r="K103" s="158"/>
      <c r="L103" s="159"/>
      <c r="M103" s="159"/>
      <c r="N103" s="159"/>
    </row>
  </sheetData>
  <mergeCells count="8">
    <mergeCell ref="B51:AA51"/>
    <mergeCell ref="B52:AA52"/>
    <mergeCell ref="B2:AA2"/>
    <mergeCell ref="B3:AA3"/>
    <mergeCell ref="B47:AA47"/>
    <mergeCell ref="B48:AA48"/>
    <mergeCell ref="B49:AA49"/>
    <mergeCell ref="B50:AA50"/>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C12" sqref="C12"/>
    </sheetView>
  </sheetViews>
  <sheetFormatPr defaultRowHeight="12.75"/>
  <cols>
    <col min="2" max="2" width="1.7109375" customWidth="1"/>
    <col min="3" max="3" width="142.85546875" customWidth="1"/>
    <col min="4" max="4" width="1.85546875" hidden="1" customWidth="1"/>
    <col min="5" max="5" width="76.42578125" customWidth="1"/>
  </cols>
  <sheetData>
    <row r="1" spans="1:3" s="35" customFormat="1" ht="25.5">
      <c r="A1" s="64" t="s">
        <v>45</v>
      </c>
      <c r="C1" s="63" t="s">
        <v>125</v>
      </c>
    </row>
    <row r="2" spans="1:3" s="35" customFormat="1">
      <c r="A2" s="35" t="s">
        <v>91</v>
      </c>
      <c r="C2" s="35" t="s">
        <v>114</v>
      </c>
    </row>
    <row r="3" spans="1:3" s="35" customFormat="1">
      <c r="A3" s="35" t="s">
        <v>49</v>
      </c>
      <c r="C3" s="35" t="s">
        <v>98</v>
      </c>
    </row>
    <row r="4" spans="1:3" s="35" customFormat="1">
      <c r="A4" s="35" t="s">
        <v>96</v>
      </c>
      <c r="C4" s="35" t="s">
        <v>122</v>
      </c>
    </row>
    <row r="5" spans="1:3" s="35" customFormat="1">
      <c r="A5" s="124" t="s">
        <v>219</v>
      </c>
      <c r="C5" s="124" t="s">
        <v>265</v>
      </c>
    </row>
    <row r="6" spans="1:3" s="35" customFormat="1">
      <c r="A6" s="35" t="s">
        <v>90</v>
      </c>
      <c r="C6" s="35" t="s">
        <v>123</v>
      </c>
    </row>
    <row r="7" spans="1:3" s="35" customFormat="1">
      <c r="A7" s="161" t="s">
        <v>263</v>
      </c>
      <c r="C7" s="124" t="s">
        <v>264</v>
      </c>
    </row>
    <row r="8" spans="1:3" s="35" customFormat="1">
      <c r="A8" s="35" t="s">
        <v>93</v>
      </c>
      <c r="C8" s="35" t="s">
        <v>140</v>
      </c>
    </row>
    <row r="9" spans="1:3" s="35" customFormat="1">
      <c r="A9" s="35" t="s">
        <v>115</v>
      </c>
      <c r="C9" s="35" t="s">
        <v>141</v>
      </c>
    </row>
    <row r="10" spans="1:3" s="35" customFormat="1">
      <c r="A10" s="35" t="s">
        <v>327</v>
      </c>
      <c r="C10" s="35" t="s">
        <v>328</v>
      </c>
    </row>
    <row r="12" spans="1:3">
      <c r="C12" s="61"/>
    </row>
    <row r="13" spans="1:3" ht="4.5" customHeight="1"/>
  </sheetData>
  <phoneticPr fontId="4" type="noConversion"/>
  <pageMargins left="0.75" right="0.75" top="1" bottom="1" header="0.5" footer="0.5"/>
  <pageSetup paperSize="9" scale="7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48"/>
  <sheetViews>
    <sheetView zoomScaleNormal="100" workbookViewId="0">
      <selection activeCell="V9" sqref="V9"/>
    </sheetView>
  </sheetViews>
  <sheetFormatPr defaultRowHeight="12.75"/>
  <cols>
    <col min="1" max="1" width="3.7109375" style="333" customWidth="1"/>
    <col min="2" max="2" width="4" style="333" customWidth="1"/>
    <col min="3" max="4" width="8.7109375" style="625" hidden="1" customWidth="1"/>
    <col min="5" max="5" width="9.7109375" style="625" hidden="1" customWidth="1"/>
    <col min="6" max="9" width="8.7109375" style="625" hidden="1" customWidth="1"/>
    <col min="10" max="10" width="9.7109375" style="625" hidden="1" customWidth="1"/>
    <col min="11" max="17" width="9.7109375" style="625" customWidth="1"/>
    <col min="18" max="23" width="8.140625" style="333" customWidth="1"/>
    <col min="24" max="24" width="5.85546875" style="333" customWidth="1"/>
    <col min="25" max="25" width="2.7109375" style="333" customWidth="1"/>
    <col min="26" max="26" width="7.42578125" style="333" customWidth="1"/>
    <col min="27" max="16384" width="9.140625" style="333"/>
  </cols>
  <sheetData>
    <row r="1" spans="1:30" ht="14.25" customHeight="1">
      <c r="B1" s="437"/>
      <c r="C1" s="624"/>
      <c r="D1" s="624"/>
      <c r="E1" s="624"/>
      <c r="F1" s="624"/>
      <c r="G1" s="624"/>
      <c r="J1" s="626"/>
      <c r="R1" s="627" t="s">
        <v>130</v>
      </c>
      <c r="S1" s="627"/>
      <c r="T1" s="627"/>
      <c r="U1" s="627"/>
      <c r="V1" s="627"/>
      <c r="W1" s="627"/>
      <c r="X1" s="627"/>
    </row>
    <row r="2" spans="1:30" s="608" customFormat="1" ht="30" customHeight="1">
      <c r="B2" s="1183" t="s">
        <v>196</v>
      </c>
      <c r="C2" s="1183"/>
      <c r="D2" s="1183"/>
      <c r="E2" s="1183"/>
      <c r="F2" s="1183"/>
      <c r="G2" s="1183"/>
      <c r="H2" s="1183"/>
      <c r="I2" s="1183"/>
      <c r="J2" s="1183"/>
      <c r="K2" s="1183"/>
      <c r="L2" s="1183"/>
      <c r="M2" s="1183"/>
      <c r="N2" s="1183"/>
      <c r="O2" s="1183"/>
      <c r="P2" s="1183"/>
      <c r="Q2" s="1183"/>
      <c r="R2" s="1183"/>
      <c r="S2" s="628"/>
      <c r="T2" s="628"/>
      <c r="U2" s="628"/>
      <c r="V2" s="628"/>
      <c r="W2" s="628"/>
      <c r="X2" s="628"/>
    </row>
    <row r="3" spans="1:30" ht="15" customHeight="1">
      <c r="B3" s="1184" t="s">
        <v>206</v>
      </c>
      <c r="C3" s="1184"/>
      <c r="D3" s="1184"/>
      <c r="E3" s="1184"/>
      <c r="F3" s="1184"/>
      <c r="G3" s="1184"/>
      <c r="H3" s="1184"/>
      <c r="I3" s="1184"/>
      <c r="J3" s="1184"/>
      <c r="K3" s="1184"/>
      <c r="L3" s="1184"/>
      <c r="M3" s="1184"/>
      <c r="N3" s="1184"/>
      <c r="O3" s="1184"/>
      <c r="P3" s="1184"/>
      <c r="Q3" s="1184"/>
      <c r="R3" s="1184"/>
      <c r="S3" s="629"/>
      <c r="T3" s="629"/>
      <c r="U3" s="629"/>
      <c r="V3" s="629"/>
      <c r="W3" s="629"/>
      <c r="X3" s="629"/>
    </row>
    <row r="4" spans="1:30">
      <c r="B4" s="202"/>
      <c r="C4" s="630"/>
      <c r="D4" s="630"/>
      <c r="E4" s="630"/>
      <c r="J4" s="631"/>
      <c r="L4" s="631"/>
      <c r="N4" s="631"/>
      <c r="O4" s="631" t="s">
        <v>198</v>
      </c>
      <c r="P4" s="631"/>
      <c r="Q4" s="631"/>
      <c r="R4" s="632"/>
      <c r="S4" s="632"/>
      <c r="T4" s="632"/>
      <c r="U4" s="632"/>
      <c r="V4" s="632"/>
      <c r="W4" s="632"/>
      <c r="X4" s="632"/>
    </row>
    <row r="5" spans="1:30" ht="24.95" customHeight="1">
      <c r="B5" s="202"/>
      <c r="C5" s="432">
        <v>1998</v>
      </c>
      <c r="D5" s="431">
        <v>1999</v>
      </c>
      <c r="E5" s="432">
        <v>2000</v>
      </c>
      <c r="F5" s="431">
        <v>2001</v>
      </c>
      <c r="G5" s="431">
        <v>2002</v>
      </c>
      <c r="H5" s="431">
        <v>2003</v>
      </c>
      <c r="I5" s="431">
        <v>2004</v>
      </c>
      <c r="J5" s="431">
        <v>2005</v>
      </c>
      <c r="K5" s="431">
        <v>2006</v>
      </c>
      <c r="L5" s="431">
        <v>2007</v>
      </c>
      <c r="M5" s="431">
        <v>2008</v>
      </c>
      <c r="N5" s="431">
        <v>2009</v>
      </c>
      <c r="O5" s="431">
        <v>2010</v>
      </c>
      <c r="P5" s="431">
        <v>2011</v>
      </c>
      <c r="Q5" s="431">
        <v>2012</v>
      </c>
      <c r="R5" s="431">
        <v>2013</v>
      </c>
      <c r="S5" s="431">
        <v>2014</v>
      </c>
      <c r="T5" s="431">
        <v>2015</v>
      </c>
      <c r="U5" s="633">
        <v>2016</v>
      </c>
      <c r="V5" s="431">
        <v>2017</v>
      </c>
      <c r="W5" s="1052">
        <v>2018</v>
      </c>
      <c r="X5" s="272"/>
      <c r="Z5" s="740" t="s">
        <v>324</v>
      </c>
    </row>
    <row r="6" spans="1:30" ht="12.75" customHeight="1">
      <c r="B6" s="208" t="s">
        <v>237</v>
      </c>
      <c r="C6" s="341"/>
      <c r="D6" s="343"/>
      <c r="E6" s="634"/>
      <c r="F6" s="551"/>
      <c r="G6" s="551"/>
      <c r="H6" s="551">
        <v>14957.835999999999</v>
      </c>
      <c r="I6" s="551">
        <v>15248.556000000004</v>
      </c>
      <c r="J6" s="551">
        <v>15194.297000000002</v>
      </c>
      <c r="K6" s="551">
        <v>15564.844999999998</v>
      </c>
      <c r="L6" s="551">
        <v>15711.160000000002</v>
      </c>
      <c r="M6" s="551">
        <v>14457.125000000005</v>
      </c>
      <c r="N6" s="551">
        <v>14232.843000000001</v>
      </c>
      <c r="O6" s="551">
        <v>13438.243999999999</v>
      </c>
      <c r="P6" s="551">
        <v>13215.976000000004</v>
      </c>
      <c r="Q6" s="551">
        <v>12103.864999999998</v>
      </c>
      <c r="R6" s="551">
        <v>11886.097999999998</v>
      </c>
      <c r="S6" s="551">
        <v>12557.214</v>
      </c>
      <c r="T6" s="551">
        <v>13713.420000000002</v>
      </c>
      <c r="U6" s="635">
        <v>14647.589999999998</v>
      </c>
      <c r="V6" s="635">
        <v>15135.629000000001</v>
      </c>
      <c r="W6" s="635">
        <v>15161.826999999997</v>
      </c>
      <c r="X6" s="208" t="s">
        <v>237</v>
      </c>
      <c r="Z6" s="553">
        <v>3.314859615718845</v>
      </c>
    </row>
    <row r="7" spans="1:30" ht="12.75" customHeight="1">
      <c r="B7" s="213" t="s">
        <v>89</v>
      </c>
      <c r="C7" s="347">
        <v>13940.822999999999</v>
      </c>
      <c r="D7" s="636">
        <v>14632.825999999999</v>
      </c>
      <c r="E7" s="637">
        <v>14319.107</v>
      </c>
      <c r="F7" s="638">
        <v>14401.916999999998</v>
      </c>
      <c r="G7" s="638">
        <v>14008.012999999999</v>
      </c>
      <c r="H7" s="638">
        <v>13842.554</v>
      </c>
      <c r="I7" s="638">
        <v>14127.452000000001</v>
      </c>
      <c r="J7" s="638">
        <v>14111.851000000001</v>
      </c>
      <c r="K7" s="638">
        <v>14367.267999999998</v>
      </c>
      <c r="L7" s="638">
        <v>14363.818000000001</v>
      </c>
      <c r="M7" s="638">
        <v>13152.924999999999</v>
      </c>
      <c r="N7" s="638">
        <v>13298.97</v>
      </c>
      <c r="O7" s="638">
        <v>12554.592000000001</v>
      </c>
      <c r="P7" s="612">
        <v>12347.393000000004</v>
      </c>
      <c r="Q7" s="612">
        <v>11297.138999999999</v>
      </c>
      <c r="R7" s="612">
        <v>11097.111000000001</v>
      </c>
      <c r="S7" s="612">
        <v>11657.751999999999</v>
      </c>
      <c r="T7" s="612">
        <v>12705.169000000002</v>
      </c>
      <c r="U7" s="639">
        <v>13480.429999999997</v>
      </c>
      <c r="V7" s="639">
        <f>V9+V10+V15+V19+V20+V14+V17+V23+V24+V26+V29+V31+V18+V33+V36</f>
        <v>13826.362999999999</v>
      </c>
      <c r="W7" s="639">
        <f>W9+W10+W15+W19+W20+W14+W17+W23+W24+W26+W29+W31+W18+W33+W36</f>
        <v>13745.166000000001</v>
      </c>
      <c r="X7" s="213" t="s">
        <v>89</v>
      </c>
      <c r="Z7" s="640">
        <f>V7/U7*100-100</f>
        <v>2.5661866869232171</v>
      </c>
      <c r="AC7" s="1052">
        <v>2018</v>
      </c>
      <c r="AD7" s="775"/>
    </row>
    <row r="8" spans="1:30" ht="12.75" customHeight="1">
      <c r="B8" s="217" t="s">
        <v>238</v>
      </c>
      <c r="C8" s="641"/>
      <c r="D8" s="472"/>
      <c r="E8" s="642"/>
      <c r="F8" s="614"/>
      <c r="G8" s="614"/>
      <c r="H8" s="614">
        <v>1115.2819999999992</v>
      </c>
      <c r="I8" s="614">
        <v>1121.104000000003</v>
      </c>
      <c r="J8" s="614">
        <v>1082.4460000000017</v>
      </c>
      <c r="K8" s="614">
        <v>1197.5769999999993</v>
      </c>
      <c r="L8" s="614">
        <v>1347.3420000000006</v>
      </c>
      <c r="M8" s="614">
        <v>1304.2000000000062</v>
      </c>
      <c r="N8" s="614">
        <v>933.87300000000141</v>
      </c>
      <c r="O8" s="614">
        <v>883.65199999999822</v>
      </c>
      <c r="P8" s="614">
        <v>868.58300000000054</v>
      </c>
      <c r="Q8" s="614">
        <v>806.72599999999875</v>
      </c>
      <c r="R8" s="614">
        <v>788.98699999999735</v>
      </c>
      <c r="S8" s="614">
        <v>899.46200000000135</v>
      </c>
      <c r="T8" s="614">
        <v>1008.2510000000002</v>
      </c>
      <c r="U8" s="643">
        <v>1167.1600000000017</v>
      </c>
      <c r="V8" s="643"/>
      <c r="W8" s="643"/>
      <c r="X8" s="217" t="s">
        <v>238</v>
      </c>
      <c r="Z8" s="644">
        <f>U8/T8*100-100</f>
        <v>15.760857167511006</v>
      </c>
      <c r="AC8" s="1053">
        <f>SUM(AC9:AC36)</f>
        <v>15161.826999999997</v>
      </c>
      <c r="AD8" s="1051" t="s">
        <v>237</v>
      </c>
    </row>
    <row r="9" spans="1:30" ht="12.75" customHeight="1">
      <c r="A9" s="212"/>
      <c r="B9" s="378" t="s">
        <v>81</v>
      </c>
      <c r="C9" s="656">
        <v>295.86500000000001</v>
      </c>
      <c r="D9" s="262">
        <v>314.18200000000002</v>
      </c>
      <c r="E9" s="597">
        <v>309.42700000000002</v>
      </c>
      <c r="F9" s="597">
        <v>293.52800000000002</v>
      </c>
      <c r="G9" s="597">
        <v>279.49299999999999</v>
      </c>
      <c r="H9" s="597">
        <v>300.12099999999998</v>
      </c>
      <c r="I9" s="597">
        <v>311.29199999999997</v>
      </c>
      <c r="J9" s="597">
        <v>307.91500000000002</v>
      </c>
      <c r="K9" s="597">
        <v>308.59399999999999</v>
      </c>
      <c r="L9" s="597">
        <v>298.18200000000002</v>
      </c>
      <c r="M9" s="597">
        <v>293.697</v>
      </c>
      <c r="N9" s="597">
        <v>319.40300000000002</v>
      </c>
      <c r="O9" s="597">
        <v>328.56299999999999</v>
      </c>
      <c r="P9" s="597">
        <v>356.14499999999998</v>
      </c>
      <c r="Q9" s="597">
        <v>336.01</v>
      </c>
      <c r="R9" s="597">
        <v>319.03500000000003</v>
      </c>
      <c r="S9" s="597">
        <v>303.31799999999998</v>
      </c>
      <c r="T9" s="597">
        <v>308.55500000000001</v>
      </c>
      <c r="U9" s="657">
        <v>329.60399999999998</v>
      </c>
      <c r="V9" s="657">
        <v>353.32</v>
      </c>
      <c r="W9" s="1043">
        <v>341.096</v>
      </c>
      <c r="X9" s="619" t="s">
        <v>81</v>
      </c>
      <c r="Z9" s="559">
        <v>7.1953010279001575</v>
      </c>
      <c r="AC9" s="1043">
        <v>341.096</v>
      </c>
      <c r="AD9" s="1051" t="s">
        <v>81</v>
      </c>
    </row>
    <row r="10" spans="1:30" ht="12.75" customHeight="1">
      <c r="A10" s="212"/>
      <c r="B10" s="221" t="s">
        <v>60</v>
      </c>
      <c r="C10" s="645">
        <v>452.12900000000002</v>
      </c>
      <c r="D10" s="230">
        <v>489.62099999999998</v>
      </c>
      <c r="E10" s="567">
        <v>515.20399999999995</v>
      </c>
      <c r="F10" s="567">
        <v>488.68299999999999</v>
      </c>
      <c r="G10" s="567">
        <v>467.56900000000002</v>
      </c>
      <c r="H10" s="567">
        <v>458.79599999999999</v>
      </c>
      <c r="I10" s="567">
        <v>484.75700000000001</v>
      </c>
      <c r="J10" s="567">
        <v>480.08800000000002</v>
      </c>
      <c r="K10" s="567">
        <v>526.14099999999996</v>
      </c>
      <c r="L10" s="567">
        <v>524.79499999999996</v>
      </c>
      <c r="M10" s="567">
        <v>535.947</v>
      </c>
      <c r="N10" s="567">
        <v>476.19400000000002</v>
      </c>
      <c r="O10" s="567">
        <v>547.34</v>
      </c>
      <c r="P10" s="567">
        <v>572.21100000000001</v>
      </c>
      <c r="Q10" s="567">
        <v>487.37700000000001</v>
      </c>
      <c r="R10" s="567">
        <v>486.065</v>
      </c>
      <c r="S10" s="567">
        <v>482.93900000000002</v>
      </c>
      <c r="T10" s="567">
        <v>501.06599999999997</v>
      </c>
      <c r="U10" s="574">
        <v>539.28099999999995</v>
      </c>
      <c r="V10" s="574">
        <v>546.55799999999999</v>
      </c>
      <c r="W10" s="1038">
        <v>549.79999999999995</v>
      </c>
      <c r="X10" s="408" t="s">
        <v>60</v>
      </c>
      <c r="Z10" s="575">
        <v>1.3493892794294737</v>
      </c>
      <c r="AC10" s="1038">
        <v>549.79999999999995</v>
      </c>
      <c r="AD10" s="1047" t="s">
        <v>60</v>
      </c>
    </row>
    <row r="11" spans="1:30" ht="12.75" customHeight="1">
      <c r="A11" s="212"/>
      <c r="B11" s="213" t="s">
        <v>100</v>
      </c>
      <c r="C11" s="245"/>
      <c r="D11" s="225"/>
      <c r="E11" s="562"/>
      <c r="F11" s="562"/>
      <c r="G11" s="562">
        <v>13.82</v>
      </c>
      <c r="H11" s="562">
        <v>16.64</v>
      </c>
      <c r="I11" s="562">
        <v>24.91</v>
      </c>
      <c r="J11" s="562">
        <v>32.700000000000003</v>
      </c>
      <c r="K11" s="562">
        <v>32.481000000000002</v>
      </c>
      <c r="L11" s="562">
        <v>41.042000000000002</v>
      </c>
      <c r="M11" s="562">
        <v>43.758000000000003</v>
      </c>
      <c r="N11" s="562">
        <v>24.972000000000001</v>
      </c>
      <c r="O11" s="562">
        <v>15.646000000000001</v>
      </c>
      <c r="P11" s="577">
        <v>18.631</v>
      </c>
      <c r="Q11" s="577">
        <v>19.751999999999999</v>
      </c>
      <c r="R11" s="577">
        <v>20.718</v>
      </c>
      <c r="S11" s="577">
        <v>21.186</v>
      </c>
      <c r="T11" s="577">
        <v>24.256</v>
      </c>
      <c r="U11" s="618">
        <v>27.466000000000001</v>
      </c>
      <c r="V11" s="618">
        <v>33.808999999999997</v>
      </c>
      <c r="W11" s="1039">
        <v>38.031999999999996</v>
      </c>
      <c r="X11" s="314" t="s">
        <v>100</v>
      </c>
      <c r="Z11" s="571">
        <v>19.822086759285497</v>
      </c>
      <c r="AC11" s="1039">
        <v>38.031999999999996</v>
      </c>
      <c r="AD11" s="1046" t="s">
        <v>100</v>
      </c>
    </row>
    <row r="12" spans="1:30" ht="12.75" customHeight="1">
      <c r="A12" s="212"/>
      <c r="B12" s="221" t="s">
        <v>71</v>
      </c>
      <c r="C12" s="645"/>
      <c r="D12" s="230"/>
      <c r="E12" s="567">
        <f>7.103+0.051+1.057</f>
        <v>8.2110000000000003</v>
      </c>
      <c r="F12" s="567">
        <f>7.562+0.117+2.323</f>
        <v>10.002000000000001</v>
      </c>
      <c r="G12" s="567">
        <f>7.942+0.065+1.115</f>
        <v>9.1219999999999999</v>
      </c>
      <c r="H12" s="567">
        <f>7.797+0.12+1.228</f>
        <v>9.1449999999999996</v>
      </c>
      <c r="I12" s="567">
        <f>18.22+0.055+1.375</f>
        <v>19.649999999999999</v>
      </c>
      <c r="J12" s="567">
        <f>17.687+0.09+1.433</f>
        <v>19.21</v>
      </c>
      <c r="K12" s="567">
        <f>18.639+0.076+1.629</f>
        <v>20.344000000000001</v>
      </c>
      <c r="L12" s="567">
        <f>22.878+0.087+2.142</f>
        <v>25.106999999999999</v>
      </c>
      <c r="M12" s="567">
        <f>22.241+0.044+1.928</f>
        <v>24.213000000000001</v>
      </c>
      <c r="N12" s="567">
        <v>15.945</v>
      </c>
      <c r="O12" s="567">
        <v>15.061999999999999</v>
      </c>
      <c r="P12" s="567">
        <v>14.664999999999999</v>
      </c>
      <c r="Q12" s="567">
        <v>10.967000000000001</v>
      </c>
      <c r="R12" s="567">
        <v>7.0469999999999997</v>
      </c>
      <c r="S12" s="567">
        <v>8.2710000000000008</v>
      </c>
      <c r="T12" s="567">
        <v>10.077999999999999</v>
      </c>
      <c r="U12" s="574">
        <v>12.468</v>
      </c>
      <c r="V12" s="574">
        <v>13.118</v>
      </c>
      <c r="W12" s="1038">
        <v>13.125999999999999</v>
      </c>
      <c r="X12" s="408" t="s">
        <v>71</v>
      </c>
      <c r="Z12" s="575">
        <v>5.2133461661854312</v>
      </c>
      <c r="AC12" s="1038">
        <v>13.125999999999999</v>
      </c>
      <c r="AD12" s="1047" t="s">
        <v>71</v>
      </c>
    </row>
    <row r="13" spans="1:30" ht="12.75" customHeight="1">
      <c r="A13" s="212"/>
      <c r="B13" s="221" t="s">
        <v>61</v>
      </c>
      <c r="C13" s="645"/>
      <c r="D13" s="230"/>
      <c r="E13" s="567"/>
      <c r="F13" s="567"/>
      <c r="G13" s="567"/>
      <c r="H13" s="567">
        <v>152.98099999999999</v>
      </c>
      <c r="I13" s="567">
        <v>143.62200000000001</v>
      </c>
      <c r="J13" s="567">
        <v>151.69900000000001</v>
      </c>
      <c r="K13" s="567">
        <v>156.68600000000001</v>
      </c>
      <c r="L13" s="567">
        <v>174.45599999999999</v>
      </c>
      <c r="M13" s="567">
        <v>182.554</v>
      </c>
      <c r="N13" s="567">
        <v>167.708</v>
      </c>
      <c r="O13" s="567">
        <v>169.58</v>
      </c>
      <c r="P13" s="567">
        <v>173.595</v>
      </c>
      <c r="Q13" s="567">
        <v>173.99700000000001</v>
      </c>
      <c r="R13" s="567">
        <v>164.74600000000001</v>
      </c>
      <c r="S13" s="567">
        <v>192.31399999999999</v>
      </c>
      <c r="T13" s="567">
        <v>230.857</v>
      </c>
      <c r="U13" s="574">
        <v>259.69299999999998</v>
      </c>
      <c r="V13" s="574">
        <v>271.59500000000003</v>
      </c>
      <c r="W13" s="1038">
        <v>261.46499999999997</v>
      </c>
      <c r="X13" s="408" t="s">
        <v>61</v>
      </c>
      <c r="Z13" s="571">
        <v>4.583103895753851</v>
      </c>
      <c r="AC13" s="1038">
        <v>261.46499999999997</v>
      </c>
      <c r="AD13" s="1047" t="s">
        <v>61</v>
      </c>
    </row>
    <row r="14" spans="1:30" ht="12.75" customHeight="1">
      <c r="A14" s="212"/>
      <c r="B14" s="221" t="s">
        <v>63</v>
      </c>
      <c r="C14" s="645">
        <v>3735.9870000000001</v>
      </c>
      <c r="D14" s="230">
        <v>3802.1759999999999</v>
      </c>
      <c r="E14" s="567">
        <v>3378.3429999999998</v>
      </c>
      <c r="F14" s="567">
        <v>3341.7179999999998</v>
      </c>
      <c r="G14" s="567">
        <v>3252.8980000000001</v>
      </c>
      <c r="H14" s="567">
        <v>3236.9380000000001</v>
      </c>
      <c r="I14" s="567">
        <v>3266.8249999999998</v>
      </c>
      <c r="J14" s="567">
        <v>3319.259</v>
      </c>
      <c r="K14" s="567">
        <v>3467.9609999999998</v>
      </c>
      <c r="L14" s="567">
        <v>3148.163</v>
      </c>
      <c r="M14" s="567">
        <v>3090.04</v>
      </c>
      <c r="N14" s="567">
        <v>3807.1750000000002</v>
      </c>
      <c r="O14" s="567">
        <v>2916.259</v>
      </c>
      <c r="P14" s="567">
        <v>3173.634</v>
      </c>
      <c r="Q14" s="567">
        <v>3082.58</v>
      </c>
      <c r="R14" s="567">
        <v>2952.431</v>
      </c>
      <c r="S14" s="567">
        <v>3036.7730000000001</v>
      </c>
      <c r="T14" s="567">
        <v>3206.0419999999999</v>
      </c>
      <c r="U14" s="574">
        <v>3351.607</v>
      </c>
      <c r="V14" s="574">
        <v>3441.261</v>
      </c>
      <c r="W14" s="1038">
        <v>3435.7779999999998</v>
      </c>
      <c r="X14" s="408" t="s">
        <v>63</v>
      </c>
      <c r="Z14" s="575">
        <v>2.6749556257640137</v>
      </c>
      <c r="AC14" s="1038">
        <v>3435.7779999999998</v>
      </c>
      <c r="AD14" s="1047" t="s">
        <v>63</v>
      </c>
    </row>
    <row r="15" spans="1:30" ht="12.75" customHeight="1">
      <c r="A15" s="212"/>
      <c r="B15" s="213" t="s">
        <v>14</v>
      </c>
      <c r="C15" s="245">
        <v>162.50800000000001</v>
      </c>
      <c r="D15" s="225">
        <v>143.727</v>
      </c>
      <c r="E15" s="562">
        <v>112.69</v>
      </c>
      <c r="F15" s="562">
        <v>96.173000000000002</v>
      </c>
      <c r="G15" s="562">
        <v>111.58499999999999</v>
      </c>
      <c r="H15" s="562">
        <v>96.078000000000003</v>
      </c>
      <c r="I15" s="562">
        <v>121.49</v>
      </c>
      <c r="J15" s="562">
        <v>146.88499999999999</v>
      </c>
      <c r="K15" s="562">
        <v>154.38499999999999</v>
      </c>
      <c r="L15" s="562">
        <v>159.34700000000001</v>
      </c>
      <c r="M15" s="562">
        <v>150.14500000000001</v>
      </c>
      <c r="N15" s="562">
        <v>112.20099999999999</v>
      </c>
      <c r="O15" s="562">
        <v>153.58699999999999</v>
      </c>
      <c r="P15" s="577">
        <v>169.97399999999999</v>
      </c>
      <c r="Q15" s="577">
        <v>170.53100000000001</v>
      </c>
      <c r="R15" s="577">
        <v>181.89599999999999</v>
      </c>
      <c r="S15" s="577">
        <v>188.61199999999999</v>
      </c>
      <c r="T15" s="577">
        <v>206.999</v>
      </c>
      <c r="U15" s="618">
        <v>222.89500000000001</v>
      </c>
      <c r="V15" s="618">
        <v>221.59100000000001</v>
      </c>
      <c r="W15" s="1039">
        <v>218.357</v>
      </c>
      <c r="X15" s="314" t="s">
        <v>14</v>
      </c>
      <c r="Z15" s="571">
        <v>-0.58502882523161759</v>
      </c>
      <c r="AC15" s="1039">
        <v>218.357</v>
      </c>
      <c r="AD15" s="1046" t="s">
        <v>14</v>
      </c>
    </row>
    <row r="16" spans="1:30" ht="12.75" customHeight="1">
      <c r="A16" s="212"/>
      <c r="B16" s="213" t="s">
        <v>64</v>
      </c>
      <c r="C16" s="245"/>
      <c r="D16" s="225"/>
      <c r="E16" s="562"/>
      <c r="F16" s="562"/>
      <c r="G16" s="562"/>
      <c r="H16" s="562">
        <v>15.602</v>
      </c>
      <c r="I16" s="562">
        <v>16.436</v>
      </c>
      <c r="J16" s="562">
        <v>19.64</v>
      </c>
      <c r="K16" s="562">
        <v>25.363</v>
      </c>
      <c r="L16" s="562">
        <v>30.911999999999999</v>
      </c>
      <c r="M16" s="562">
        <v>24.579000000000001</v>
      </c>
      <c r="N16" s="562">
        <v>9.9459999999999997</v>
      </c>
      <c r="O16" s="562">
        <v>10.295</v>
      </c>
      <c r="P16" s="577">
        <v>17.07</v>
      </c>
      <c r="Q16" s="577">
        <v>19.423999999999999</v>
      </c>
      <c r="R16" s="577">
        <v>19.693999999999999</v>
      </c>
      <c r="S16" s="577">
        <v>21.135000000000002</v>
      </c>
      <c r="T16" s="577">
        <v>21.033000000000001</v>
      </c>
      <c r="U16" s="618">
        <v>22.997</v>
      </c>
      <c r="V16" s="618">
        <v>25.617999999999999</v>
      </c>
      <c r="W16" s="1039">
        <v>26.297000000000001</v>
      </c>
      <c r="X16" s="314" t="s">
        <v>64</v>
      </c>
      <c r="Z16" s="575">
        <v>11.397138757229214</v>
      </c>
      <c r="AC16" s="1039">
        <v>26.297000000000001</v>
      </c>
      <c r="AD16" s="1046" t="s">
        <v>64</v>
      </c>
    </row>
    <row r="17" spans="1:30" ht="12.75" customHeight="1">
      <c r="A17" s="212"/>
      <c r="B17" s="213" t="s">
        <v>15</v>
      </c>
      <c r="C17" s="245">
        <v>180.14500000000001</v>
      </c>
      <c r="D17" s="225">
        <v>261.71100000000001</v>
      </c>
      <c r="E17" s="562">
        <v>290.22199999999998</v>
      </c>
      <c r="F17" s="562">
        <v>280.214</v>
      </c>
      <c r="G17" s="562">
        <v>268.48899999999998</v>
      </c>
      <c r="H17" s="562">
        <v>257.29300000000001</v>
      </c>
      <c r="I17" s="562">
        <v>289.69099999999997</v>
      </c>
      <c r="J17" s="562">
        <v>269.72800000000001</v>
      </c>
      <c r="K17" s="562">
        <v>267.66899999999998</v>
      </c>
      <c r="L17" s="562">
        <v>279.745</v>
      </c>
      <c r="M17" s="562">
        <v>267.29500000000002</v>
      </c>
      <c r="N17" s="562">
        <v>219.73</v>
      </c>
      <c r="O17" s="562">
        <v>141.501</v>
      </c>
      <c r="P17" s="577">
        <v>97.68</v>
      </c>
      <c r="Q17" s="577">
        <v>58.478999999999999</v>
      </c>
      <c r="R17" s="577">
        <v>58.695999999999998</v>
      </c>
      <c r="S17" s="577">
        <v>71.221999999999994</v>
      </c>
      <c r="T17" s="577">
        <v>75.804000000000002</v>
      </c>
      <c r="U17" s="618">
        <v>78.873000000000005</v>
      </c>
      <c r="V17" s="618">
        <v>88.114999999999995</v>
      </c>
      <c r="W17" s="1039">
        <v>103.431</v>
      </c>
      <c r="X17" s="314" t="s">
        <v>15</v>
      </c>
      <c r="Z17" s="571">
        <v>11.717571285484254</v>
      </c>
      <c r="AC17" s="1039">
        <v>103.431</v>
      </c>
      <c r="AD17" s="1046" t="s">
        <v>15</v>
      </c>
    </row>
    <row r="18" spans="1:30" ht="12.75" customHeight="1">
      <c r="A18" s="212"/>
      <c r="B18" s="221" t="s">
        <v>66</v>
      </c>
      <c r="C18" s="645">
        <v>1192.53</v>
      </c>
      <c r="D18" s="230">
        <v>1406.2460000000001</v>
      </c>
      <c r="E18" s="567">
        <v>1381.2560000000001</v>
      </c>
      <c r="F18" s="567">
        <v>1425.5730000000001</v>
      </c>
      <c r="G18" s="567">
        <v>1331.877</v>
      </c>
      <c r="H18" s="567">
        <v>1382.1089999999999</v>
      </c>
      <c r="I18" s="567">
        <v>1517.2860000000001</v>
      </c>
      <c r="J18" s="567">
        <v>1528.877</v>
      </c>
      <c r="K18" s="567">
        <v>1634.6079999999999</v>
      </c>
      <c r="L18" s="567">
        <v>1614.835</v>
      </c>
      <c r="M18" s="567">
        <v>1161.1759999999999</v>
      </c>
      <c r="N18" s="567">
        <v>952.77200000000005</v>
      </c>
      <c r="O18" s="567">
        <v>982.01499999999999</v>
      </c>
      <c r="P18" s="567">
        <v>808.05100000000004</v>
      </c>
      <c r="Q18" s="567">
        <v>699.58900000000006</v>
      </c>
      <c r="R18" s="567">
        <v>722.68899999999996</v>
      </c>
      <c r="S18" s="567">
        <v>855.30799999999999</v>
      </c>
      <c r="T18" s="567">
        <v>1034.232</v>
      </c>
      <c r="U18" s="574">
        <v>1147.0070000000001</v>
      </c>
      <c r="V18" s="574">
        <v>1234.931</v>
      </c>
      <c r="W18" s="1038">
        <v>1321.4380000000001</v>
      </c>
      <c r="X18" s="408" t="s">
        <v>66</v>
      </c>
      <c r="Z18" s="575">
        <v>7.665515554830975</v>
      </c>
      <c r="AC18" s="1038">
        <v>1321.4380000000001</v>
      </c>
      <c r="AD18" s="1047" t="s">
        <v>66</v>
      </c>
    </row>
    <row r="19" spans="1:30" ht="12.75" customHeight="1">
      <c r="A19" s="212"/>
      <c r="B19" s="213" t="s">
        <v>87</v>
      </c>
      <c r="C19" s="245">
        <v>125.751</v>
      </c>
      <c r="D19" s="225">
        <v>136.32400000000001</v>
      </c>
      <c r="E19" s="577">
        <v>134.64599999999999</v>
      </c>
      <c r="F19" s="577">
        <v>109.48699999999999</v>
      </c>
      <c r="G19" s="577">
        <v>116.877</v>
      </c>
      <c r="H19" s="577">
        <v>147.22200000000001</v>
      </c>
      <c r="I19" s="577">
        <v>142.43899999999999</v>
      </c>
      <c r="J19" s="577">
        <v>147.94900000000001</v>
      </c>
      <c r="K19" s="577">
        <v>145.68899999999999</v>
      </c>
      <c r="L19" s="577">
        <v>125.285</v>
      </c>
      <c r="M19" s="577">
        <v>139.61099999999999</v>
      </c>
      <c r="N19" s="577">
        <v>88.343999999999994</v>
      </c>
      <c r="O19" s="577">
        <v>107.346</v>
      </c>
      <c r="P19" s="577">
        <v>121.17100000000001</v>
      </c>
      <c r="Q19" s="577">
        <v>107.166</v>
      </c>
      <c r="R19" s="578">
        <v>103.31399999999999</v>
      </c>
      <c r="S19" s="577">
        <v>106.259</v>
      </c>
      <c r="T19" s="577">
        <v>108.84399999999999</v>
      </c>
      <c r="U19" s="618">
        <v>118.91200000000001</v>
      </c>
      <c r="V19" s="618">
        <v>118.529</v>
      </c>
      <c r="W19" s="1039">
        <v>120.438</v>
      </c>
      <c r="X19" s="405" t="s">
        <v>87</v>
      </c>
      <c r="Z19" s="571">
        <v>-0.32208692142089035</v>
      </c>
      <c r="AC19" s="1039">
        <v>120.438</v>
      </c>
      <c r="AD19" s="1049" t="s">
        <v>87</v>
      </c>
    </row>
    <row r="20" spans="1:30" ht="12.75" customHeight="1">
      <c r="A20" s="212"/>
      <c r="B20" s="213" t="s">
        <v>67</v>
      </c>
      <c r="C20" s="245">
        <v>1943.5530000000001</v>
      </c>
      <c r="D20" s="225">
        <v>2148.4229999999998</v>
      </c>
      <c r="E20" s="562">
        <v>2133.884</v>
      </c>
      <c r="F20" s="562">
        <v>2254.732</v>
      </c>
      <c r="G20" s="562">
        <v>2145.0709999999999</v>
      </c>
      <c r="H20" s="562">
        <v>2009.2460000000001</v>
      </c>
      <c r="I20" s="562">
        <v>2013.7090000000001</v>
      </c>
      <c r="J20" s="562">
        <v>2067.7890000000002</v>
      </c>
      <c r="K20" s="562">
        <v>2000.549</v>
      </c>
      <c r="L20" s="562">
        <v>2064.5430000000001</v>
      </c>
      <c r="M20" s="562">
        <v>2050.2820000000002</v>
      </c>
      <c r="N20" s="562">
        <v>2302.3980000000001</v>
      </c>
      <c r="O20" s="562">
        <v>2251.6689999999999</v>
      </c>
      <c r="P20" s="577">
        <v>2204.2289999999998</v>
      </c>
      <c r="Q20" s="577">
        <v>1898.76</v>
      </c>
      <c r="R20" s="577">
        <v>1790.4559999999999</v>
      </c>
      <c r="S20" s="577">
        <v>1795.885</v>
      </c>
      <c r="T20" s="577">
        <v>1917.2260000000001</v>
      </c>
      <c r="U20" s="618">
        <v>2015.1769999999999</v>
      </c>
      <c r="V20" s="618">
        <v>2110.748</v>
      </c>
      <c r="W20" s="1039">
        <v>2173.4810000000002</v>
      </c>
      <c r="X20" s="314" t="s">
        <v>67</v>
      </c>
      <c r="Z20" s="575">
        <v>4.7425610752802356</v>
      </c>
      <c r="AC20" s="1039">
        <v>2173.4810000000002</v>
      </c>
      <c r="AD20" s="1046" t="s">
        <v>67</v>
      </c>
    </row>
    <row r="21" spans="1:30" ht="12.75" customHeight="1">
      <c r="A21" s="212"/>
      <c r="B21" s="221" t="s">
        <v>144</v>
      </c>
      <c r="C21" s="645"/>
      <c r="D21" s="230"/>
      <c r="E21" s="567">
        <v>92.36</v>
      </c>
      <c r="F21" s="567">
        <v>108.633</v>
      </c>
      <c r="G21" s="567">
        <v>95.21</v>
      </c>
      <c r="H21" s="567">
        <v>104.52</v>
      </c>
      <c r="I21" s="567">
        <v>99.84</v>
      </c>
      <c r="J21" s="567">
        <v>102.123</v>
      </c>
      <c r="K21" s="567">
        <v>114.447</v>
      </c>
      <c r="L21" s="567">
        <v>106.202</v>
      </c>
      <c r="M21" s="567">
        <v>95.697000000000003</v>
      </c>
      <c r="N21" s="567">
        <v>53.252000000000002</v>
      </c>
      <c r="O21" s="567">
        <v>46.209000000000003</v>
      </c>
      <c r="P21" s="567">
        <v>48.883000000000003</v>
      </c>
      <c r="Q21" s="567">
        <v>40.825000000000003</v>
      </c>
      <c r="R21" s="567">
        <v>27.802</v>
      </c>
      <c r="S21" s="567">
        <v>33.962000000000003</v>
      </c>
      <c r="T21" s="567">
        <v>35.715000000000003</v>
      </c>
      <c r="U21" s="574">
        <v>44.106000000000002</v>
      </c>
      <c r="V21" s="574">
        <v>50.77</v>
      </c>
      <c r="W21" s="1038">
        <v>60.040999999999997</v>
      </c>
      <c r="X21" s="408" t="s">
        <v>144</v>
      </c>
      <c r="Z21" s="571">
        <v>15.109055457307406</v>
      </c>
      <c r="AC21" s="1038">
        <v>60.040999999999997</v>
      </c>
      <c r="AD21" s="1047" t="s">
        <v>144</v>
      </c>
    </row>
    <row r="22" spans="1:30" ht="12.75" customHeight="1">
      <c r="A22" s="212"/>
      <c r="B22" s="221" t="s">
        <v>77</v>
      </c>
      <c r="C22" s="645"/>
      <c r="D22" s="230"/>
      <c r="E22" s="567"/>
      <c r="F22" s="567"/>
      <c r="G22" s="567"/>
      <c r="H22" s="567">
        <v>208.42599999999999</v>
      </c>
      <c r="I22" s="567">
        <v>207.05500000000001</v>
      </c>
      <c r="J22" s="567">
        <v>198.982</v>
      </c>
      <c r="K22" s="567">
        <v>187.67599999999999</v>
      </c>
      <c r="L22" s="567">
        <v>171.661</v>
      </c>
      <c r="M22" s="567">
        <v>153.27799999999999</v>
      </c>
      <c r="N22" s="567">
        <v>60.189</v>
      </c>
      <c r="O22" s="567">
        <v>43.475999999999999</v>
      </c>
      <c r="P22" s="567">
        <v>45.094000000000001</v>
      </c>
      <c r="Q22" s="567">
        <v>50.398000000000003</v>
      </c>
      <c r="R22" s="567">
        <v>56.139000000000003</v>
      </c>
      <c r="S22" s="567">
        <v>67.475999999999999</v>
      </c>
      <c r="T22" s="567">
        <v>77.171000000000006</v>
      </c>
      <c r="U22" s="574">
        <v>96.555000000000007</v>
      </c>
      <c r="V22" s="574">
        <v>116.265</v>
      </c>
      <c r="W22" s="1038">
        <v>136.601</v>
      </c>
      <c r="X22" s="408" t="s">
        <v>77</v>
      </c>
      <c r="Z22" s="575">
        <v>20.413235979493535</v>
      </c>
      <c r="AC22" s="1038">
        <v>136.601</v>
      </c>
      <c r="AD22" s="1047" t="s">
        <v>77</v>
      </c>
    </row>
    <row r="23" spans="1:30" ht="12.75" customHeight="1">
      <c r="A23" s="212"/>
      <c r="B23" s="221" t="s">
        <v>68</v>
      </c>
      <c r="C23" s="645">
        <v>145.702</v>
      </c>
      <c r="D23" s="230">
        <v>174.24199999999999</v>
      </c>
      <c r="E23" s="567">
        <v>230.79499999999999</v>
      </c>
      <c r="F23" s="567">
        <v>164.73</v>
      </c>
      <c r="G23" s="567">
        <v>156.125</v>
      </c>
      <c r="H23" s="567">
        <v>145.22300000000001</v>
      </c>
      <c r="I23" s="567">
        <v>154.136</v>
      </c>
      <c r="J23" s="567">
        <v>171.74199999999999</v>
      </c>
      <c r="K23" s="567">
        <v>178.48400000000001</v>
      </c>
      <c r="L23" s="567">
        <v>186.32499999999999</v>
      </c>
      <c r="M23" s="567">
        <v>151.607</v>
      </c>
      <c r="N23" s="567">
        <v>57.453000000000003</v>
      </c>
      <c r="O23" s="567">
        <v>88.445999999999998</v>
      </c>
      <c r="P23" s="567">
        <v>89.903999999999996</v>
      </c>
      <c r="Q23" s="567">
        <v>79.498000000000005</v>
      </c>
      <c r="R23" s="567">
        <v>74.367000000000004</v>
      </c>
      <c r="S23" s="567">
        <v>96.284000000000006</v>
      </c>
      <c r="T23" s="567">
        <v>124.804</v>
      </c>
      <c r="U23" s="574">
        <v>146.672</v>
      </c>
      <c r="V23" s="574">
        <v>131.35599999999999</v>
      </c>
      <c r="W23" s="1038">
        <v>125.595</v>
      </c>
      <c r="X23" s="408" t="s">
        <v>68</v>
      </c>
      <c r="Z23" s="571">
        <v>-10.44234755099815</v>
      </c>
      <c r="AC23" s="1038">
        <v>125.595</v>
      </c>
      <c r="AD23" s="1047" t="s">
        <v>68</v>
      </c>
    </row>
    <row r="24" spans="1:30" ht="12.75" customHeight="1">
      <c r="A24" s="212"/>
      <c r="B24" s="213" t="s">
        <v>69</v>
      </c>
      <c r="C24" s="245">
        <v>2378.5160000000001</v>
      </c>
      <c r="D24" s="225">
        <v>2338.4639999999999</v>
      </c>
      <c r="E24" s="577">
        <v>2423.0839999999998</v>
      </c>
      <c r="F24" s="577">
        <v>2413.4549999999999</v>
      </c>
      <c r="G24" s="577">
        <v>2279.6120000000001</v>
      </c>
      <c r="H24" s="577">
        <v>2247.0189999999998</v>
      </c>
      <c r="I24" s="577">
        <v>2264.6880000000001</v>
      </c>
      <c r="J24" s="577">
        <v>2237.444</v>
      </c>
      <c r="K24" s="577">
        <v>2326.049</v>
      </c>
      <c r="L24" s="577">
        <v>2493.1060000000002</v>
      </c>
      <c r="M24" s="577">
        <v>2161.6819999999998</v>
      </c>
      <c r="N24" s="577">
        <v>2159.4630000000002</v>
      </c>
      <c r="O24" s="577">
        <v>1961.579</v>
      </c>
      <c r="P24" s="577">
        <v>1749.0740000000001</v>
      </c>
      <c r="Q24" s="577">
        <v>1402.0889999999999</v>
      </c>
      <c r="R24" s="577">
        <v>1304.6479999999999</v>
      </c>
      <c r="S24" s="577">
        <v>1360.578</v>
      </c>
      <c r="T24" s="577">
        <v>1569.085</v>
      </c>
      <c r="U24" s="618">
        <v>1824.3820000000001</v>
      </c>
      <c r="V24" s="618">
        <v>1970.4970000000001</v>
      </c>
      <c r="W24" s="1039">
        <v>1910.0250000000001</v>
      </c>
      <c r="X24" s="405" t="s">
        <v>69</v>
      </c>
      <c r="Z24" s="575">
        <v>7.919690759365821</v>
      </c>
      <c r="AC24" s="1039">
        <v>1910.0250000000001</v>
      </c>
      <c r="AD24" s="1049" t="s">
        <v>69</v>
      </c>
    </row>
    <row r="25" spans="1:30" ht="12.75" customHeight="1">
      <c r="A25" s="212"/>
      <c r="B25" s="221" t="s">
        <v>73</v>
      </c>
      <c r="C25" s="645"/>
      <c r="D25" s="230"/>
      <c r="E25" s="567"/>
      <c r="F25" s="567"/>
      <c r="G25" s="567"/>
      <c r="H25" s="567">
        <v>7.5430000000000001</v>
      </c>
      <c r="I25" s="567">
        <v>9.4930000000000003</v>
      </c>
      <c r="J25" s="567">
        <v>10.467000000000001</v>
      </c>
      <c r="K25" s="567">
        <v>14.234</v>
      </c>
      <c r="L25" s="567">
        <v>21.606000000000002</v>
      </c>
      <c r="M25" s="567">
        <v>22.216999999999999</v>
      </c>
      <c r="N25" s="567">
        <v>7.5149999999999997</v>
      </c>
      <c r="O25" s="567">
        <v>7.97</v>
      </c>
      <c r="P25" s="567">
        <v>13.234</v>
      </c>
      <c r="Q25" s="567">
        <v>12.164999999999999</v>
      </c>
      <c r="R25" s="567">
        <v>12.163</v>
      </c>
      <c r="S25" s="567">
        <v>14.461</v>
      </c>
      <c r="T25" s="567">
        <v>17.071000000000002</v>
      </c>
      <c r="U25" s="574">
        <v>20.283999999999999</v>
      </c>
      <c r="V25" s="574">
        <v>25.835999999999999</v>
      </c>
      <c r="W25" s="1038">
        <v>32.381999999999998</v>
      </c>
      <c r="X25" s="408" t="s">
        <v>73</v>
      </c>
      <c r="Z25" s="571">
        <v>27.371327154407425</v>
      </c>
      <c r="AC25" s="1038">
        <v>32.381999999999998</v>
      </c>
      <c r="AD25" s="1047" t="s">
        <v>73</v>
      </c>
    </row>
    <row r="26" spans="1:30" ht="12.75" customHeight="1">
      <c r="A26" s="212"/>
      <c r="B26" s="213" t="s">
        <v>76</v>
      </c>
      <c r="C26" s="245">
        <v>35.927999999999997</v>
      </c>
      <c r="D26" s="225">
        <v>40.475999999999999</v>
      </c>
      <c r="E26" s="577">
        <v>41.896000000000001</v>
      </c>
      <c r="F26" s="577">
        <v>42.832999999999998</v>
      </c>
      <c r="G26" s="577">
        <v>43.402999999999999</v>
      </c>
      <c r="H26" s="577">
        <v>43.62</v>
      </c>
      <c r="I26" s="577">
        <v>48.234000000000002</v>
      </c>
      <c r="J26" s="577">
        <v>48.517000000000003</v>
      </c>
      <c r="K26" s="577">
        <v>50.837000000000003</v>
      </c>
      <c r="L26" s="577">
        <v>51.332000000000001</v>
      </c>
      <c r="M26" s="577">
        <v>52.359000000000002</v>
      </c>
      <c r="N26" s="577">
        <v>47.265000000000001</v>
      </c>
      <c r="O26" s="577">
        <v>49.725999999999999</v>
      </c>
      <c r="P26" s="577">
        <v>49.881</v>
      </c>
      <c r="Q26" s="577">
        <v>53.008000000000003</v>
      </c>
      <c r="R26" s="577">
        <v>46.624000000000002</v>
      </c>
      <c r="S26" s="577">
        <v>49.792999999999999</v>
      </c>
      <c r="T26" s="577">
        <v>46.472999999999999</v>
      </c>
      <c r="U26" s="618">
        <v>50.746000000000002</v>
      </c>
      <c r="V26" s="618">
        <v>52.774999999999999</v>
      </c>
      <c r="W26" s="1039">
        <v>52.613999999999997</v>
      </c>
      <c r="X26" s="405" t="s">
        <v>76</v>
      </c>
      <c r="Z26" s="575">
        <v>3.9983446971189665</v>
      </c>
      <c r="AC26" s="1039">
        <v>52.613999999999997</v>
      </c>
      <c r="AD26" s="1049" t="s">
        <v>76</v>
      </c>
    </row>
    <row r="27" spans="1:30" ht="12.75" customHeight="1">
      <c r="A27" s="212"/>
      <c r="B27" s="213" t="s">
        <v>72</v>
      </c>
      <c r="C27" s="245"/>
      <c r="D27" s="225"/>
      <c r="E27" s="577"/>
      <c r="F27" s="577"/>
      <c r="G27" s="577"/>
      <c r="H27" s="577">
        <v>8.7129999999999992</v>
      </c>
      <c r="I27" s="577">
        <v>11.217000000000001</v>
      </c>
      <c r="J27" s="577">
        <v>16.602</v>
      </c>
      <c r="K27" s="577">
        <v>25.582000000000001</v>
      </c>
      <c r="L27" s="577">
        <v>32.771000000000001</v>
      </c>
      <c r="M27" s="577">
        <v>19.831</v>
      </c>
      <c r="N27" s="577">
        <v>5.367</v>
      </c>
      <c r="O27" s="577">
        <v>6.3650000000000002</v>
      </c>
      <c r="P27" s="577">
        <v>10.98</v>
      </c>
      <c r="Q27" s="577">
        <v>10.664999999999999</v>
      </c>
      <c r="R27" s="577">
        <v>10.635999999999999</v>
      </c>
      <c r="S27" s="577">
        <v>12.452</v>
      </c>
      <c r="T27" s="577">
        <v>13.766</v>
      </c>
      <c r="U27" s="618">
        <v>16.356999999999999</v>
      </c>
      <c r="V27" s="618">
        <v>16.698</v>
      </c>
      <c r="W27" s="1039">
        <v>16.878</v>
      </c>
      <c r="X27" s="405" t="s">
        <v>72</v>
      </c>
      <c r="Z27" s="571">
        <v>2.0847343644922773</v>
      </c>
      <c r="AC27" s="1039">
        <v>16.878</v>
      </c>
      <c r="AD27" s="1049" t="s">
        <v>72</v>
      </c>
    </row>
    <row r="28" spans="1:30" ht="12.75" customHeight="1">
      <c r="A28" s="212"/>
      <c r="B28" s="213" t="s">
        <v>78</v>
      </c>
      <c r="C28" s="245"/>
      <c r="D28" s="225"/>
      <c r="E28" s="577"/>
      <c r="F28" s="577"/>
      <c r="G28" s="577"/>
      <c r="H28" s="577">
        <f>0.069+6.519+0.634+0.008</f>
        <v>7.23</v>
      </c>
      <c r="I28" s="577">
        <f>0.084+5.398+0.721+0.015</f>
        <v>6.2179999999999991</v>
      </c>
      <c r="J28" s="577">
        <f>0.083+5.675+0.778+0.016</f>
        <v>6.5519999999999996</v>
      </c>
      <c r="K28" s="577">
        <f>0.061+5.862+0.803+0.019</f>
        <v>6.7450000000000001</v>
      </c>
      <c r="L28" s="577">
        <f>0.075+5.334+0.808+0.023</f>
        <v>6.2399999999999993</v>
      </c>
      <c r="M28" s="577">
        <v>5.423</v>
      </c>
      <c r="N28" s="577">
        <v>5.8940000000000001</v>
      </c>
      <c r="O28" s="577">
        <f>3.907+0.043+0.094+0.012</f>
        <v>4.056</v>
      </c>
      <c r="P28" s="577">
        <f>5.311+0.065+0.052</f>
        <v>5.4279999999999999</v>
      </c>
      <c r="Q28" s="577">
        <v>5.8840000000000003</v>
      </c>
      <c r="R28" s="577">
        <v>5.7489999999999997</v>
      </c>
      <c r="S28" s="577">
        <v>6.4509999999999996</v>
      </c>
      <c r="T28" s="577">
        <v>7.1210000000000004</v>
      </c>
      <c r="U28" s="618">
        <v>7.3330000000000002</v>
      </c>
      <c r="V28" s="618">
        <v>7.7759999999999998</v>
      </c>
      <c r="W28" s="1039">
        <v>8.1750000000000007</v>
      </c>
      <c r="X28" s="405" t="s">
        <v>78</v>
      </c>
      <c r="Z28" s="575">
        <v>6.4330687106487687</v>
      </c>
      <c r="AC28" s="1039">
        <v>8.1750000000000007</v>
      </c>
      <c r="AD28" s="1049" t="s">
        <v>78</v>
      </c>
    </row>
    <row r="29" spans="1:30" ht="12.75" customHeight="1">
      <c r="A29" s="212"/>
      <c r="B29" s="221" t="s">
        <v>16</v>
      </c>
      <c r="C29" s="645">
        <v>542.97799999999995</v>
      </c>
      <c r="D29" s="230">
        <v>611.48699999999997</v>
      </c>
      <c r="E29" s="567">
        <v>597.625</v>
      </c>
      <c r="F29" s="567">
        <v>530.23099999999999</v>
      </c>
      <c r="G29" s="567">
        <v>510.702</v>
      </c>
      <c r="H29" s="567">
        <v>488.84100000000001</v>
      </c>
      <c r="I29" s="567">
        <v>483.745</v>
      </c>
      <c r="J29" s="567">
        <v>465.15199999999999</v>
      </c>
      <c r="K29" s="567">
        <v>483.97</v>
      </c>
      <c r="L29" s="567">
        <v>505.53800000000001</v>
      </c>
      <c r="M29" s="567">
        <v>499.91800000000001</v>
      </c>
      <c r="N29" s="567">
        <v>387.15199999999999</v>
      </c>
      <c r="O29" s="567">
        <v>482.56700000000001</v>
      </c>
      <c r="P29" s="567">
        <v>555.798</v>
      </c>
      <c r="Q29" s="567">
        <v>502.67500000000001</v>
      </c>
      <c r="R29" s="567">
        <v>416.67399999999998</v>
      </c>
      <c r="S29" s="567">
        <v>387.572</v>
      </c>
      <c r="T29" s="567">
        <v>448.92500000000001</v>
      </c>
      <c r="U29" s="574">
        <v>382.82499999999999</v>
      </c>
      <c r="V29" s="574">
        <v>414.53800000000001</v>
      </c>
      <c r="W29" s="1038">
        <v>443.93900000000002</v>
      </c>
      <c r="X29" s="408" t="s">
        <v>16</v>
      </c>
      <c r="Z29" s="571">
        <v>8.28394174884086</v>
      </c>
      <c r="AC29" s="1038">
        <v>443.93900000000002</v>
      </c>
      <c r="AD29" s="1047" t="s">
        <v>16</v>
      </c>
    </row>
    <row r="30" spans="1:30" ht="12.75" customHeight="1">
      <c r="A30" s="212"/>
      <c r="B30" s="221" t="s">
        <v>80</v>
      </c>
      <c r="C30" s="645"/>
      <c r="D30" s="230"/>
      <c r="E30" s="646"/>
      <c r="F30" s="567"/>
      <c r="G30" s="567"/>
      <c r="H30" s="567">
        <v>358.43200000000002</v>
      </c>
      <c r="I30" s="567">
        <v>318.11099999999999</v>
      </c>
      <c r="J30" s="567">
        <v>235.52199999999999</v>
      </c>
      <c r="K30" s="567">
        <v>238.99299999999999</v>
      </c>
      <c r="L30" s="567">
        <v>293.30500000000001</v>
      </c>
      <c r="M30" s="567">
        <v>320.04000000000002</v>
      </c>
      <c r="N30" s="567">
        <v>320.20600000000002</v>
      </c>
      <c r="O30" s="567">
        <v>333.49</v>
      </c>
      <c r="P30" s="567">
        <v>297.93700000000001</v>
      </c>
      <c r="Q30" s="567">
        <v>271.21499999999997</v>
      </c>
      <c r="R30" s="567">
        <v>288.99799999999999</v>
      </c>
      <c r="S30" s="567">
        <v>325.37099999999998</v>
      </c>
      <c r="T30" s="567">
        <v>352.37799999999999</v>
      </c>
      <c r="U30" s="574">
        <v>417.85399999999998</v>
      </c>
      <c r="V30" s="574">
        <v>484.19</v>
      </c>
      <c r="W30" s="1038">
        <v>531.55600000000004</v>
      </c>
      <c r="X30" s="408" t="s">
        <v>80</v>
      </c>
      <c r="Z30" s="575">
        <v>15.825784088815936</v>
      </c>
      <c r="AC30" s="1038">
        <v>531.55600000000004</v>
      </c>
      <c r="AD30" s="1047" t="s">
        <v>80</v>
      </c>
    </row>
    <row r="31" spans="1:30" ht="12.75" customHeight="1">
      <c r="A31" s="212"/>
      <c r="B31" s="213" t="s">
        <v>92</v>
      </c>
      <c r="C31" s="245">
        <v>248.398</v>
      </c>
      <c r="D31" s="225">
        <v>272.88299999999998</v>
      </c>
      <c r="E31" s="577">
        <v>257.83600000000001</v>
      </c>
      <c r="F31" s="577">
        <v>255.21</v>
      </c>
      <c r="G31" s="577">
        <v>226.09200000000001</v>
      </c>
      <c r="H31" s="577">
        <v>189.792</v>
      </c>
      <c r="I31" s="577">
        <v>197.64500000000001</v>
      </c>
      <c r="J31" s="577">
        <v>206.488</v>
      </c>
      <c r="K31" s="577">
        <v>194.702</v>
      </c>
      <c r="L31" s="577">
        <v>201.816</v>
      </c>
      <c r="M31" s="577">
        <v>213.38900000000001</v>
      </c>
      <c r="N31" s="577">
        <v>161.01300000000001</v>
      </c>
      <c r="O31" s="577">
        <v>223.464</v>
      </c>
      <c r="P31" s="577">
        <v>153.404</v>
      </c>
      <c r="Q31" s="577">
        <v>95.29</v>
      </c>
      <c r="R31" s="577">
        <v>105.92100000000001</v>
      </c>
      <c r="S31" s="577">
        <v>142.82599999999999</v>
      </c>
      <c r="T31" s="577">
        <v>178.50299999999999</v>
      </c>
      <c r="U31" s="618">
        <v>207.345</v>
      </c>
      <c r="V31" s="618">
        <v>222.13399999999999</v>
      </c>
      <c r="W31" s="1039">
        <v>228.298</v>
      </c>
      <c r="X31" s="405" t="s">
        <v>92</v>
      </c>
      <c r="Z31" s="571">
        <v>7.1325568496949359</v>
      </c>
      <c r="AC31" s="1039">
        <v>228.298</v>
      </c>
      <c r="AD31" s="1049" t="s">
        <v>92</v>
      </c>
    </row>
    <row r="32" spans="1:30" ht="12.75" customHeight="1">
      <c r="A32" s="212"/>
      <c r="B32" s="221" t="s">
        <v>314</v>
      </c>
      <c r="C32" s="645"/>
      <c r="D32" s="230"/>
      <c r="E32" s="567"/>
      <c r="F32" s="567"/>
      <c r="G32" s="567">
        <v>88.8</v>
      </c>
      <c r="H32" s="567">
        <v>106.76</v>
      </c>
      <c r="I32" s="567">
        <v>145.12</v>
      </c>
      <c r="J32" s="567">
        <v>172.5</v>
      </c>
      <c r="K32" s="567">
        <v>256.36399999999998</v>
      </c>
      <c r="L32" s="567">
        <v>315.62099999999998</v>
      </c>
      <c r="M32" s="567">
        <v>270.995</v>
      </c>
      <c r="N32" s="567">
        <v>130.19499999999999</v>
      </c>
      <c r="O32" s="567">
        <v>106.328</v>
      </c>
      <c r="P32" s="567">
        <v>94.619</v>
      </c>
      <c r="Q32" s="567">
        <v>72.147999999999996</v>
      </c>
      <c r="R32" s="567">
        <v>57.71</v>
      </c>
      <c r="S32" s="567">
        <v>70.171999999999997</v>
      </c>
      <c r="T32" s="567">
        <v>81.162000000000006</v>
      </c>
      <c r="U32" s="574">
        <v>94.918999999999997</v>
      </c>
      <c r="V32" s="574">
        <v>105.083</v>
      </c>
      <c r="W32" s="1038">
        <v>128.79300000000001</v>
      </c>
      <c r="X32" s="408" t="s">
        <v>314</v>
      </c>
      <c r="Z32" s="575">
        <v>10.708077413373516</v>
      </c>
      <c r="AC32" s="1038">
        <v>128.79300000000001</v>
      </c>
      <c r="AD32" s="1047" t="s">
        <v>314</v>
      </c>
    </row>
    <row r="33" spans="1:30" ht="12.75" customHeight="1">
      <c r="A33" s="212"/>
      <c r="B33" s="221" t="s">
        <v>88</v>
      </c>
      <c r="C33" s="645">
        <v>253.43</v>
      </c>
      <c r="D33" s="230">
        <v>295.24900000000002</v>
      </c>
      <c r="E33" s="567">
        <v>290.529</v>
      </c>
      <c r="F33" s="567">
        <v>246.58099999999999</v>
      </c>
      <c r="G33" s="567">
        <v>254.589</v>
      </c>
      <c r="H33" s="567">
        <v>261.20600000000002</v>
      </c>
      <c r="I33" s="567">
        <v>264.24599999999998</v>
      </c>
      <c r="J33" s="567">
        <v>274.30099999999999</v>
      </c>
      <c r="K33" s="567">
        <v>282.76600000000002</v>
      </c>
      <c r="L33" s="567">
        <v>306.79899999999998</v>
      </c>
      <c r="M33" s="567">
        <v>253.982</v>
      </c>
      <c r="N33" s="567">
        <v>213.40799999999999</v>
      </c>
      <c r="O33" s="567">
        <v>289.68400000000003</v>
      </c>
      <c r="P33" s="567">
        <v>304.98399999999998</v>
      </c>
      <c r="Q33" s="567">
        <v>279.47800000000001</v>
      </c>
      <c r="R33" s="567">
        <v>269.55799999999999</v>
      </c>
      <c r="S33" s="567">
        <v>303.94799999999998</v>
      </c>
      <c r="T33" s="567">
        <v>345.108</v>
      </c>
      <c r="U33" s="574">
        <v>372.31799999999998</v>
      </c>
      <c r="V33" s="574">
        <v>379.39299999999997</v>
      </c>
      <c r="W33" s="1038">
        <v>353.72899999999998</v>
      </c>
      <c r="X33" s="408" t="s">
        <v>88</v>
      </c>
      <c r="Z33" s="571">
        <v>1.9002573069257949</v>
      </c>
      <c r="AC33" s="1038">
        <v>353.72899999999998</v>
      </c>
      <c r="AD33" s="1047" t="s">
        <v>88</v>
      </c>
    </row>
    <row r="34" spans="1:30" ht="12.75" customHeight="1">
      <c r="A34" s="212"/>
      <c r="B34" s="213" t="s">
        <v>83</v>
      </c>
      <c r="C34" s="245"/>
      <c r="D34" s="225"/>
      <c r="E34" s="577"/>
      <c r="F34" s="577"/>
      <c r="G34" s="577"/>
      <c r="H34" s="577">
        <v>59.548000000000002</v>
      </c>
      <c r="I34" s="577">
        <v>62.002000000000002</v>
      </c>
      <c r="J34" s="577">
        <v>59.323999999999998</v>
      </c>
      <c r="K34" s="577">
        <v>59.578000000000003</v>
      </c>
      <c r="L34" s="577">
        <v>68.718999999999994</v>
      </c>
      <c r="M34" s="577">
        <v>71.575000000000003</v>
      </c>
      <c r="N34" s="577">
        <v>57.966999999999999</v>
      </c>
      <c r="O34" s="577">
        <v>61.142000000000003</v>
      </c>
      <c r="P34" s="577">
        <v>60.192999999999998</v>
      </c>
      <c r="Q34" s="577">
        <v>50.091000000000001</v>
      </c>
      <c r="R34" s="577">
        <v>51.585000000000001</v>
      </c>
      <c r="S34" s="577">
        <v>53.959000000000003</v>
      </c>
      <c r="T34" s="577">
        <v>59.664000000000001</v>
      </c>
      <c r="U34" s="618">
        <v>58.963000000000001</v>
      </c>
      <c r="V34" s="618">
        <v>62.531999999999996</v>
      </c>
      <c r="W34" s="1039">
        <v>65.122</v>
      </c>
      <c r="X34" s="405" t="s">
        <v>83</v>
      </c>
      <c r="Z34" s="575">
        <v>6.0529484592032077</v>
      </c>
      <c r="AC34" s="1039">
        <v>65.122</v>
      </c>
      <c r="AD34" s="1049" t="s">
        <v>83</v>
      </c>
    </row>
    <row r="35" spans="1:30" ht="12.75" customHeight="1">
      <c r="A35" s="212"/>
      <c r="B35" s="221" t="s">
        <v>85</v>
      </c>
      <c r="C35" s="645"/>
      <c r="D35" s="230"/>
      <c r="E35" s="567"/>
      <c r="F35" s="567"/>
      <c r="G35" s="567"/>
      <c r="H35" s="567">
        <v>59.741999999999997</v>
      </c>
      <c r="I35" s="567">
        <v>57.43</v>
      </c>
      <c r="J35" s="567">
        <v>57.125</v>
      </c>
      <c r="K35" s="567">
        <v>59.084000000000003</v>
      </c>
      <c r="L35" s="567">
        <v>59.7</v>
      </c>
      <c r="M35" s="567">
        <v>70.040000000000006</v>
      </c>
      <c r="N35" s="567">
        <v>74.716999999999999</v>
      </c>
      <c r="O35" s="567">
        <v>64.033000000000001</v>
      </c>
      <c r="P35" s="567">
        <v>68.254000000000005</v>
      </c>
      <c r="Q35" s="567">
        <v>69.194999999999993</v>
      </c>
      <c r="R35" s="567">
        <v>66</v>
      </c>
      <c r="S35" s="567">
        <v>72.251999999999995</v>
      </c>
      <c r="T35" s="567">
        <v>77.978999999999999</v>
      </c>
      <c r="U35" s="574">
        <v>88.165000000000006</v>
      </c>
      <c r="V35" s="574">
        <v>95.975999999999999</v>
      </c>
      <c r="W35" s="1038">
        <v>98.192999999999998</v>
      </c>
      <c r="X35" s="408" t="s">
        <v>85</v>
      </c>
      <c r="Z35" s="571">
        <v>8.8595247547212495</v>
      </c>
      <c r="AC35" s="1038">
        <v>98.192999999999998</v>
      </c>
      <c r="AD35" s="1047" t="s">
        <v>85</v>
      </c>
    </row>
    <row r="36" spans="1:30" ht="12.75" customHeight="1">
      <c r="A36" s="212"/>
      <c r="B36" s="217" t="s">
        <v>13</v>
      </c>
      <c r="C36" s="361">
        <v>2247.4029999999998</v>
      </c>
      <c r="D36" s="250">
        <v>2197.6149999999998</v>
      </c>
      <c r="E36" s="589">
        <v>2221.67</v>
      </c>
      <c r="F36" s="589">
        <v>2458.7689999999998</v>
      </c>
      <c r="G36" s="589">
        <v>2563.6309999999999</v>
      </c>
      <c r="H36" s="589">
        <v>2579.0500000000002</v>
      </c>
      <c r="I36" s="589">
        <v>2567.2689999999998</v>
      </c>
      <c r="J36" s="589">
        <v>2439.7170000000001</v>
      </c>
      <c r="K36" s="589">
        <v>2344.864</v>
      </c>
      <c r="L36" s="589">
        <v>2404.0070000000001</v>
      </c>
      <c r="M36" s="589">
        <v>2131.7950000000001</v>
      </c>
      <c r="N36" s="589">
        <v>1994.999</v>
      </c>
      <c r="O36" s="589">
        <v>2030.846</v>
      </c>
      <c r="P36" s="589">
        <v>1941.2529999999999</v>
      </c>
      <c r="Q36" s="589">
        <v>2044.6089999999999</v>
      </c>
      <c r="R36" s="589">
        <v>2264.7370000000001</v>
      </c>
      <c r="S36" s="589">
        <v>2476.4349999999999</v>
      </c>
      <c r="T36" s="589">
        <v>2633.5030000000002</v>
      </c>
      <c r="U36" s="647">
        <v>2692.7860000000001</v>
      </c>
      <c r="V36" s="647">
        <v>2540.6170000000002</v>
      </c>
      <c r="W36" s="1041">
        <v>2367.1469999999999</v>
      </c>
      <c r="X36" s="385" t="s">
        <v>13</v>
      </c>
      <c r="Z36" s="588">
        <v>-5.6509874902795758</v>
      </c>
      <c r="AC36" s="1041">
        <v>2367.1469999999999</v>
      </c>
      <c r="AD36" s="1054" t="s">
        <v>13</v>
      </c>
    </row>
    <row r="37" spans="1:30" ht="12.75" customHeight="1">
      <c r="A37" s="212"/>
      <c r="B37" s="221" t="s">
        <v>270</v>
      </c>
      <c r="C37" s="645"/>
      <c r="D37" s="230"/>
      <c r="E37" s="567"/>
      <c r="F37" s="567"/>
      <c r="G37" s="567"/>
      <c r="H37" s="567"/>
      <c r="I37" s="567"/>
      <c r="J37" s="567"/>
      <c r="K37" s="567"/>
      <c r="L37" s="567"/>
      <c r="M37" s="567"/>
      <c r="N37" s="567"/>
      <c r="O37" s="567"/>
      <c r="P37" s="567"/>
      <c r="Q37" s="567"/>
      <c r="R37" s="567"/>
      <c r="S37" s="567"/>
      <c r="T37" s="567"/>
      <c r="U37" s="574"/>
      <c r="V37" s="574"/>
      <c r="W37" s="574"/>
      <c r="X37" s="408" t="s">
        <v>270</v>
      </c>
      <c r="Z37" s="571"/>
    </row>
    <row r="38" spans="1:30" ht="12.75" customHeight="1">
      <c r="A38" s="212"/>
      <c r="B38" s="213" t="s">
        <v>223</v>
      </c>
      <c r="C38" s="245">
        <v>85.893000000000001</v>
      </c>
      <c r="D38" s="225">
        <v>89.665000000000006</v>
      </c>
      <c r="E38" s="577"/>
      <c r="F38" s="577"/>
      <c r="G38" s="577"/>
      <c r="H38" s="577"/>
      <c r="I38" s="577"/>
      <c r="J38" s="577"/>
      <c r="K38" s="577"/>
      <c r="L38" s="577"/>
      <c r="M38" s="577"/>
      <c r="N38" s="577"/>
      <c r="O38" s="577">
        <v>8.6080000000000005</v>
      </c>
      <c r="P38" s="577">
        <v>10.26</v>
      </c>
      <c r="Q38" s="577">
        <v>11.173</v>
      </c>
      <c r="R38" s="577">
        <v>12.417</v>
      </c>
      <c r="S38" s="648">
        <f>2.555+3.717+3.369+3.407</f>
        <v>13.048</v>
      </c>
      <c r="T38" s="577">
        <v>13.718</v>
      </c>
      <c r="U38" s="618">
        <f>3.106+4.574+3.991+4.256</f>
        <v>15.927</v>
      </c>
      <c r="V38" s="618"/>
      <c r="W38" s="618"/>
      <c r="X38" s="405" t="s">
        <v>223</v>
      </c>
      <c r="Z38" s="575">
        <f t="shared" ref="Z38:Z44" si="0">U38/T38*100-100</f>
        <v>16.102930456334732</v>
      </c>
    </row>
    <row r="39" spans="1:30" ht="12.75" customHeight="1">
      <c r="A39" s="212"/>
      <c r="B39" s="221" t="s">
        <v>145</v>
      </c>
      <c r="C39" s="645"/>
      <c r="D39" s="230"/>
      <c r="E39" s="567"/>
      <c r="F39" s="567"/>
      <c r="G39" s="567"/>
      <c r="H39" s="567"/>
      <c r="I39" s="567"/>
      <c r="J39" s="567">
        <v>15.894</v>
      </c>
      <c r="K39" s="567">
        <v>12.45</v>
      </c>
      <c r="L39" s="567">
        <v>16.914000000000001</v>
      </c>
      <c r="M39" s="567">
        <v>17.914000000000001</v>
      </c>
      <c r="N39" s="567">
        <v>13.113</v>
      </c>
      <c r="O39" s="567">
        <v>49.290999999999997</v>
      </c>
      <c r="P39" s="567">
        <v>40.090000000000003</v>
      </c>
      <c r="Q39" s="567">
        <v>32.869999999999997</v>
      </c>
      <c r="R39" s="567">
        <v>31.927</v>
      </c>
      <c r="S39" s="567">
        <v>29.765999999999998</v>
      </c>
      <c r="T39" s="567">
        <v>29.308</v>
      </c>
      <c r="U39" s="649">
        <f>AVERAGE(R39:T39)</f>
        <v>30.333666666666669</v>
      </c>
      <c r="V39" s="649"/>
      <c r="W39" s="649"/>
      <c r="X39" s="408" t="s">
        <v>145</v>
      </c>
      <c r="Z39" s="650">
        <f t="shared" si="0"/>
        <v>3.4996133023975347</v>
      </c>
    </row>
    <row r="40" spans="1:30" ht="12.75" customHeight="1">
      <c r="A40" s="212"/>
      <c r="B40" s="213" t="s">
        <v>224</v>
      </c>
      <c r="C40" s="245"/>
      <c r="D40" s="225"/>
      <c r="E40" s="577"/>
      <c r="F40" s="577"/>
      <c r="G40" s="577"/>
      <c r="H40" s="577"/>
      <c r="I40" s="577"/>
      <c r="J40" s="577"/>
      <c r="K40" s="577"/>
      <c r="L40" s="577"/>
      <c r="M40" s="577"/>
      <c r="N40" s="577"/>
      <c r="O40" s="577"/>
      <c r="P40" s="577"/>
      <c r="Q40" s="577">
        <f>129.168</f>
        <v>129.16800000000001</v>
      </c>
      <c r="R40" s="577">
        <f>30.784+38.47+36.359+33.9</f>
        <v>139.51300000000001</v>
      </c>
      <c r="S40" s="577">
        <f>27.363+26.591+25.995+25.444</f>
        <v>105.393</v>
      </c>
      <c r="T40" s="577">
        <f>30.495+29.433+23.626+29.061</f>
        <v>112.61500000000001</v>
      </c>
      <c r="U40" s="618">
        <v>136.25800000000001</v>
      </c>
      <c r="V40" s="618"/>
      <c r="W40" s="618"/>
      <c r="X40" s="405" t="s">
        <v>224</v>
      </c>
      <c r="Z40" s="575">
        <f t="shared" si="0"/>
        <v>20.994538915774982</v>
      </c>
    </row>
    <row r="41" spans="1:30" ht="12.75" customHeight="1">
      <c r="A41" s="212"/>
      <c r="B41" s="256" t="s">
        <v>146</v>
      </c>
      <c r="C41" s="651"/>
      <c r="D41" s="652"/>
      <c r="E41" s="653"/>
      <c r="F41" s="653"/>
      <c r="G41" s="594"/>
      <c r="H41" s="594"/>
      <c r="I41" s="594"/>
      <c r="J41" s="594">
        <v>406.80700000000002</v>
      </c>
      <c r="K41" s="594">
        <v>396.54199999999997</v>
      </c>
      <c r="L41" s="594">
        <v>353.495</v>
      </c>
      <c r="M41" s="594">
        <v>353.16800000000001</v>
      </c>
      <c r="N41" s="594">
        <v>357.98599999999999</v>
      </c>
      <c r="O41" s="594">
        <v>485.61900000000003</v>
      </c>
      <c r="P41" s="594">
        <v>602.24800000000005</v>
      </c>
      <c r="Q41" s="594">
        <v>565.79100000000005</v>
      </c>
      <c r="R41" s="594">
        <v>654.90499999999997</v>
      </c>
      <c r="S41" s="594">
        <v>585.81399999999996</v>
      </c>
      <c r="T41" s="594">
        <v>746.39499999999998</v>
      </c>
      <c r="U41" s="654">
        <v>746.07399999999996</v>
      </c>
      <c r="V41" s="654"/>
      <c r="W41" s="654"/>
      <c r="X41" s="400" t="s">
        <v>146</v>
      </c>
      <c r="Z41" s="655">
        <f t="shared" si="0"/>
        <v>-4.3006718962473656E-2</v>
      </c>
    </row>
    <row r="42" spans="1:30" ht="12.75" customHeight="1">
      <c r="A42" s="212"/>
      <c r="B42" s="213" t="s">
        <v>147</v>
      </c>
      <c r="C42" s="245">
        <v>13.569000000000001</v>
      </c>
      <c r="D42" s="225">
        <v>15.377000000000001</v>
      </c>
      <c r="E42" s="577">
        <v>13.569000000000001</v>
      </c>
      <c r="F42" s="577">
        <v>7.2450000000000001</v>
      </c>
      <c r="G42" s="577">
        <v>6.9429999999999996</v>
      </c>
      <c r="H42" s="577">
        <v>9.8849999999999998</v>
      </c>
      <c r="I42" s="577">
        <v>11.968</v>
      </c>
      <c r="J42" s="577">
        <v>18.059999999999999</v>
      </c>
      <c r="K42" s="577">
        <v>17.129000000000001</v>
      </c>
      <c r="L42" s="577">
        <v>15.942</v>
      </c>
      <c r="M42" s="577">
        <v>9.0329999999999995</v>
      </c>
      <c r="N42" s="577">
        <v>2.113</v>
      </c>
      <c r="O42" s="577">
        <v>3.1059999999999999</v>
      </c>
      <c r="P42" s="577">
        <v>5.0380000000000003</v>
      </c>
      <c r="Q42" s="577">
        <v>7.93</v>
      </c>
      <c r="R42" s="577">
        <v>7.274</v>
      </c>
      <c r="S42" s="577">
        <v>9.52</v>
      </c>
      <c r="T42" s="577">
        <v>14.007999999999999</v>
      </c>
      <c r="U42" s="618">
        <v>18.472999999999999</v>
      </c>
      <c r="V42" s="618"/>
      <c r="W42" s="618"/>
      <c r="X42" s="405" t="s">
        <v>147</v>
      </c>
      <c r="Y42" s="440"/>
      <c r="Z42" s="575">
        <f t="shared" si="0"/>
        <v>31.874643061107946</v>
      </c>
    </row>
    <row r="43" spans="1:30" ht="12.75" customHeight="1">
      <c r="A43" s="212"/>
      <c r="B43" s="221" t="s">
        <v>148</v>
      </c>
      <c r="C43" s="645">
        <v>117.977</v>
      </c>
      <c r="D43" s="230">
        <v>101.27800000000001</v>
      </c>
      <c r="E43" s="567">
        <v>97.376000000000005</v>
      </c>
      <c r="F43" s="567">
        <v>91.915999999999997</v>
      </c>
      <c r="G43" s="567">
        <v>88.721000000000004</v>
      </c>
      <c r="H43" s="567">
        <v>89.921000000000006</v>
      </c>
      <c r="I43" s="567">
        <v>115.645</v>
      </c>
      <c r="J43" s="567">
        <v>109.907</v>
      </c>
      <c r="K43" s="567">
        <v>109.164</v>
      </c>
      <c r="L43" s="567">
        <v>129.19499999999999</v>
      </c>
      <c r="M43" s="567">
        <v>110.617</v>
      </c>
      <c r="N43" s="567">
        <v>98.674999999999997</v>
      </c>
      <c r="O43" s="567">
        <v>127.754</v>
      </c>
      <c r="P43" s="567">
        <v>138.345</v>
      </c>
      <c r="Q43" s="567">
        <v>137.96700000000001</v>
      </c>
      <c r="R43" s="567">
        <v>142.15100000000001</v>
      </c>
      <c r="S43" s="567">
        <v>144.202</v>
      </c>
      <c r="T43" s="567">
        <v>150.68600000000001</v>
      </c>
      <c r="U43" s="574">
        <v>154.60300000000001</v>
      </c>
      <c r="V43" s="574"/>
      <c r="W43" s="574"/>
      <c r="X43" s="408" t="s">
        <v>148</v>
      </c>
      <c r="Y43" s="440"/>
      <c r="Z43" s="571">
        <f t="shared" si="0"/>
        <v>2.5994452039340104</v>
      </c>
    </row>
    <row r="44" spans="1:30" ht="12.75" customHeight="1">
      <c r="A44" s="212"/>
      <c r="B44" s="217" t="s">
        <v>149</v>
      </c>
      <c r="C44" s="361">
        <v>296.94499999999999</v>
      </c>
      <c r="D44" s="250">
        <v>316.87599999999998</v>
      </c>
      <c r="E44" s="589">
        <v>316.51900000000001</v>
      </c>
      <c r="F44" s="589">
        <v>316.64100000000002</v>
      </c>
      <c r="G44" s="589">
        <v>295.065</v>
      </c>
      <c r="H44" s="589">
        <v>270.30900000000003</v>
      </c>
      <c r="I44" s="589">
        <v>269.38499999999999</v>
      </c>
      <c r="J44" s="589">
        <v>264.94099999999997</v>
      </c>
      <c r="K44" s="589">
        <v>269.452</v>
      </c>
      <c r="L44" s="589">
        <v>284.68799999999999</v>
      </c>
      <c r="M44" s="589">
        <v>288.55700000000002</v>
      </c>
      <c r="N44" s="589">
        <v>266.04899999999998</v>
      </c>
      <c r="O44" s="589">
        <v>292.45299999999997</v>
      </c>
      <c r="P44" s="589">
        <v>316.846</v>
      </c>
      <c r="Q44" s="589">
        <v>326.08100000000002</v>
      </c>
      <c r="R44" s="589">
        <v>305.928</v>
      </c>
      <c r="S44" s="589">
        <v>300.11</v>
      </c>
      <c r="T44" s="589">
        <v>321.66899999999998</v>
      </c>
      <c r="U44" s="647">
        <v>315.47899999999998</v>
      </c>
      <c r="V44" s="647"/>
      <c r="W44" s="647"/>
      <c r="X44" s="385" t="s">
        <v>149</v>
      </c>
      <c r="Y44" s="440"/>
      <c r="Z44" s="588">
        <f t="shared" si="0"/>
        <v>-1.9243383726750096</v>
      </c>
    </row>
    <row r="45" spans="1:30" ht="24.75" customHeight="1">
      <c r="B45" s="1185" t="s">
        <v>256</v>
      </c>
      <c r="C45" s="1185"/>
      <c r="D45" s="1185"/>
      <c r="E45" s="1185"/>
      <c r="F45" s="1185"/>
      <c r="G45" s="1185"/>
      <c r="H45" s="1185"/>
      <c r="I45" s="1185"/>
      <c r="J45" s="1185"/>
      <c r="K45" s="1185"/>
      <c r="L45" s="1185"/>
      <c r="M45" s="1185"/>
      <c r="N45" s="1185"/>
      <c r="O45" s="1185"/>
      <c r="P45" s="1185"/>
      <c r="Q45" s="1185"/>
      <c r="R45" s="1185"/>
      <c r="S45" s="266"/>
      <c r="T45" s="266"/>
      <c r="U45" s="266"/>
      <c r="V45" s="266"/>
      <c r="W45" s="266"/>
      <c r="X45" s="266"/>
    </row>
    <row r="46" spans="1:30">
      <c r="B46" s="270" t="s">
        <v>315</v>
      </c>
    </row>
    <row r="47" spans="1:30" ht="12.75" customHeight="1">
      <c r="E47" s="373"/>
    </row>
    <row r="48" spans="1:30" ht="12.75" hidden="1" customHeight="1"/>
  </sheetData>
  <mergeCells count="3">
    <mergeCell ref="B2:R2"/>
    <mergeCell ref="B3:R3"/>
    <mergeCell ref="B45:R45"/>
  </mergeCells>
  <printOptions horizontalCentered="1"/>
  <pageMargins left="0.6692913385826772" right="0.6692913385826772" top="0.51181102362204722" bottom="0.27559055118110237" header="0" footer="0"/>
  <pageSetup paperSize="9" scale="7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6"/>
  <sheetViews>
    <sheetView zoomScaleNormal="100" workbookViewId="0">
      <selection activeCell="AF6" sqref="AF6"/>
    </sheetView>
  </sheetViews>
  <sheetFormatPr defaultRowHeight="12.75"/>
  <cols>
    <col min="1" max="1" width="2.7109375" style="333" customWidth="1"/>
    <col min="2" max="2" width="5.85546875" style="333" customWidth="1"/>
    <col min="3" max="4" width="6.28515625" style="333" hidden="1" customWidth="1"/>
    <col min="5" max="5" width="6.140625" style="333" hidden="1" customWidth="1"/>
    <col min="6" max="19" width="6.28515625" style="333" hidden="1" customWidth="1"/>
    <col min="20" max="20" width="6.85546875" style="333" hidden="1" customWidth="1"/>
    <col min="21" max="33" width="6.28515625" style="333" customWidth="1"/>
    <col min="34" max="34" width="7.140625" style="333" customWidth="1"/>
    <col min="35" max="16384" width="9.140625" style="333"/>
  </cols>
  <sheetData>
    <row r="1" spans="1:42" ht="15.75">
      <c r="B1" s="658"/>
      <c r="C1" s="337"/>
      <c r="D1" s="337"/>
      <c r="E1" s="337"/>
      <c r="F1" s="337"/>
      <c r="G1" s="190"/>
      <c r="H1" s="190"/>
      <c r="I1" s="190"/>
      <c r="J1" s="190"/>
      <c r="K1" s="190"/>
      <c r="AH1" s="191" t="s">
        <v>139</v>
      </c>
    </row>
    <row r="2" spans="1:42" ht="24.75" customHeight="1">
      <c r="B2" s="1177" t="s">
        <v>159</v>
      </c>
      <c r="C2" s="1177"/>
      <c r="D2" s="1177"/>
      <c r="E2" s="1177"/>
      <c r="F2" s="1177"/>
      <c r="G2" s="1177"/>
      <c r="H2" s="1177"/>
      <c r="I2" s="1177"/>
      <c r="J2" s="1177"/>
      <c r="K2" s="1177"/>
      <c r="L2" s="1177"/>
      <c r="M2" s="1186"/>
      <c r="N2" s="1186"/>
      <c r="O2" s="1186"/>
      <c r="P2" s="1186"/>
      <c r="Q2" s="1186"/>
      <c r="R2" s="1186"/>
      <c r="S2" s="1186"/>
      <c r="T2" s="1186"/>
      <c r="U2" s="1186"/>
      <c r="V2" s="1186"/>
      <c r="W2" s="1186"/>
      <c r="X2" s="1186"/>
      <c r="Y2" s="1186"/>
      <c r="Z2" s="1186"/>
      <c r="AA2" s="1186"/>
      <c r="AB2" s="1186"/>
      <c r="AC2" s="1186"/>
      <c r="AD2" s="1186"/>
      <c r="AE2" s="1186"/>
      <c r="AF2" s="1186"/>
      <c r="AG2" s="1186"/>
      <c r="AH2" s="1186"/>
    </row>
    <row r="3" spans="1:42" ht="18.75">
      <c r="B3" s="198"/>
      <c r="C3" s="458">
        <v>1970</v>
      </c>
      <c r="D3" s="199">
        <v>1980</v>
      </c>
      <c r="E3" s="458">
        <v>1990</v>
      </c>
      <c r="F3" s="200">
        <v>1991</v>
      </c>
      <c r="G3" s="200">
        <v>1992</v>
      </c>
      <c r="H3" s="200">
        <v>1993</v>
      </c>
      <c r="I3" s="200">
        <v>1994</v>
      </c>
      <c r="J3" s="200">
        <v>1995</v>
      </c>
      <c r="K3" s="200">
        <v>1996</v>
      </c>
      <c r="L3" s="200">
        <v>1997</v>
      </c>
      <c r="M3" s="200">
        <v>1998</v>
      </c>
      <c r="N3" s="200">
        <v>1999</v>
      </c>
      <c r="O3" s="200">
        <v>2000</v>
      </c>
      <c r="P3" s="200">
        <v>2001</v>
      </c>
      <c r="Q3" s="200">
        <v>2002</v>
      </c>
      <c r="R3" s="200">
        <v>2003</v>
      </c>
      <c r="S3" s="200">
        <v>2004</v>
      </c>
      <c r="T3" s="200">
        <v>2005</v>
      </c>
      <c r="U3" s="200">
        <v>2006</v>
      </c>
      <c r="V3" s="200">
        <v>2007</v>
      </c>
      <c r="W3" s="200">
        <v>2008</v>
      </c>
      <c r="X3" s="200">
        <v>2009</v>
      </c>
      <c r="Y3" s="200">
        <v>2010</v>
      </c>
      <c r="Z3" s="200">
        <v>2011</v>
      </c>
      <c r="AA3" s="200">
        <v>2012</v>
      </c>
      <c r="AB3" s="200">
        <v>2013</v>
      </c>
      <c r="AC3" s="200">
        <v>2014</v>
      </c>
      <c r="AD3" s="200">
        <v>2015</v>
      </c>
      <c r="AE3" s="200">
        <v>2016</v>
      </c>
      <c r="AF3" s="780">
        <v>2017</v>
      </c>
      <c r="AG3" s="201" t="s">
        <v>301</v>
      </c>
      <c r="AH3" s="201" t="s">
        <v>316</v>
      </c>
      <c r="AI3" s="202"/>
      <c r="AM3" s="780">
        <v>2017</v>
      </c>
      <c r="AN3" s="782" t="s">
        <v>335</v>
      </c>
      <c r="AO3" s="782" t="s">
        <v>359</v>
      </c>
      <c r="AP3" s="765"/>
    </row>
    <row r="4" spans="1:42">
      <c r="B4" s="203"/>
      <c r="C4" s="459"/>
      <c r="D4" s="204"/>
      <c r="E4" s="459"/>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659" t="s">
        <v>143</v>
      </c>
      <c r="AH4" s="659" t="s">
        <v>143</v>
      </c>
      <c r="AI4" s="202"/>
      <c r="AM4" s="778"/>
      <c r="AN4" s="1055" t="s">
        <v>143</v>
      </c>
      <c r="AO4" s="1055" t="s">
        <v>143</v>
      </c>
      <c r="AP4" s="765"/>
    </row>
    <row r="5" spans="1:42">
      <c r="B5" s="208" t="s">
        <v>237</v>
      </c>
      <c r="C5" s="660"/>
      <c r="D5" s="661"/>
      <c r="E5" s="662">
        <v>77337</v>
      </c>
      <c r="F5" s="663">
        <v>75346</v>
      </c>
      <c r="G5" s="663">
        <v>70674</v>
      </c>
      <c r="H5" s="663">
        <v>65441</v>
      </c>
      <c r="I5" s="663">
        <v>64707</v>
      </c>
      <c r="J5" s="663">
        <v>63955</v>
      </c>
      <c r="K5" s="663">
        <v>60122</v>
      </c>
      <c r="L5" s="663">
        <v>60981</v>
      </c>
      <c r="M5" s="663">
        <v>59628</v>
      </c>
      <c r="N5" s="663">
        <v>58390</v>
      </c>
      <c r="O5" s="663">
        <v>57082</v>
      </c>
      <c r="P5" s="663">
        <v>54949</v>
      </c>
      <c r="Q5" s="663">
        <v>53969</v>
      </c>
      <c r="R5" s="663">
        <v>51052.44</v>
      </c>
      <c r="S5" s="663">
        <v>47898</v>
      </c>
      <c r="T5" s="663">
        <v>45943</v>
      </c>
      <c r="U5" s="663">
        <v>43718</v>
      </c>
      <c r="V5" s="663">
        <v>43158.559999999998</v>
      </c>
      <c r="W5" s="663">
        <v>39598.639999999999</v>
      </c>
      <c r="X5" s="663">
        <v>35361</v>
      </c>
      <c r="Y5" s="663">
        <v>31488</v>
      </c>
      <c r="Z5" s="663">
        <v>30689</v>
      </c>
      <c r="AA5" s="663">
        <v>28243</v>
      </c>
      <c r="AB5" s="664">
        <v>25956</v>
      </c>
      <c r="AC5" s="664">
        <v>25974</v>
      </c>
      <c r="AD5" s="664">
        <v>26134</v>
      </c>
      <c r="AE5" s="664">
        <v>25651</v>
      </c>
      <c r="AF5" s="1078">
        <v>25256</v>
      </c>
      <c r="AG5" s="665">
        <v>-1.8331419823957162</v>
      </c>
      <c r="AH5" s="665">
        <v>-53.318531729421828</v>
      </c>
      <c r="AI5" s="208" t="s">
        <v>237</v>
      </c>
      <c r="AM5" s="1056">
        <v>25256</v>
      </c>
      <c r="AN5" s="1057" t="e">
        <f>AM5/AL8*100-100</f>
        <v>#DIV/0!</v>
      </c>
      <c r="AO5" s="829">
        <f>AM5/V8*100-100</f>
        <v>3554.9927641099857</v>
      </c>
      <c r="AP5" s="826" t="s">
        <v>237</v>
      </c>
    </row>
    <row r="6" spans="1:42">
      <c r="B6" s="213" t="s">
        <v>89</v>
      </c>
      <c r="C6" s="666">
        <v>77831</v>
      </c>
      <c r="D6" s="667">
        <v>64237</v>
      </c>
      <c r="E6" s="668">
        <v>55888</v>
      </c>
      <c r="F6" s="664">
        <v>56027</v>
      </c>
      <c r="G6" s="664">
        <v>52775</v>
      </c>
      <c r="H6" s="664">
        <v>48556</v>
      </c>
      <c r="I6" s="664">
        <v>46513</v>
      </c>
      <c r="J6" s="664">
        <v>46098</v>
      </c>
      <c r="K6" s="664">
        <v>43625</v>
      </c>
      <c r="L6" s="664">
        <v>43314</v>
      </c>
      <c r="M6" s="664">
        <v>42344</v>
      </c>
      <c r="N6" s="664">
        <v>41955</v>
      </c>
      <c r="O6" s="664">
        <v>41421</v>
      </c>
      <c r="P6" s="664">
        <v>40266</v>
      </c>
      <c r="Q6" s="664">
        <v>38819</v>
      </c>
      <c r="R6" s="664">
        <v>36342</v>
      </c>
      <c r="S6" s="664">
        <v>33070</v>
      </c>
      <c r="T6" s="664">
        <v>31384</v>
      </c>
      <c r="U6" s="664">
        <v>29521</v>
      </c>
      <c r="V6" s="664">
        <v>28279.56</v>
      </c>
      <c r="W6" s="664">
        <v>25423.64</v>
      </c>
      <c r="X6" s="664">
        <v>23456</v>
      </c>
      <c r="Y6" s="664">
        <v>21299</v>
      </c>
      <c r="Z6" s="664">
        <v>20865</v>
      </c>
      <c r="AA6" s="664">
        <v>19183</v>
      </c>
      <c r="AB6" s="664">
        <v>17570</v>
      </c>
      <c r="AC6" s="664">
        <v>17660</v>
      </c>
      <c r="AD6" s="664">
        <v>17874</v>
      </c>
      <c r="AE6" s="664">
        <f>AE8+AE9+AE14+AE18+AE19+AE13+AE16+AE22+AE23+AE25+AE28+AE30+AE17+AE32+AE35</f>
        <v>17582</v>
      </c>
      <c r="AF6" s="664">
        <f>AF8+AF9+AF14+AF18+AF19+AF13+AF16+AF22+AF23+AF25+AF28+AF30+AF17+AF32+AF35</f>
        <v>17432</v>
      </c>
      <c r="AG6" s="665">
        <f>AE6/AD6*100-100</f>
        <v>-1.6336578270113051</v>
      </c>
      <c r="AH6" s="665">
        <f>AE6/P6*100-100</f>
        <v>-56.335369790890574</v>
      </c>
      <c r="AI6" s="213" t="s">
        <v>89</v>
      </c>
    </row>
    <row r="7" spans="1:42">
      <c r="B7" s="217" t="s">
        <v>238</v>
      </c>
      <c r="C7" s="669"/>
      <c r="D7" s="670"/>
      <c r="E7" s="671">
        <v>21449</v>
      </c>
      <c r="F7" s="672">
        <v>19319</v>
      </c>
      <c r="G7" s="672">
        <v>17899</v>
      </c>
      <c r="H7" s="672">
        <v>16885</v>
      </c>
      <c r="I7" s="672">
        <v>18194</v>
      </c>
      <c r="J7" s="672">
        <v>17857</v>
      </c>
      <c r="K7" s="672">
        <v>16497</v>
      </c>
      <c r="L7" s="672">
        <v>17667</v>
      </c>
      <c r="M7" s="672">
        <v>17284</v>
      </c>
      <c r="N7" s="672">
        <v>16435</v>
      </c>
      <c r="O7" s="672">
        <v>15661</v>
      </c>
      <c r="P7" s="672">
        <v>14683</v>
      </c>
      <c r="Q7" s="672">
        <v>15150</v>
      </c>
      <c r="R7" s="672">
        <v>14710.440000000002</v>
      </c>
      <c r="S7" s="672">
        <v>14828</v>
      </c>
      <c r="T7" s="672">
        <v>14559</v>
      </c>
      <c r="U7" s="672">
        <v>14197</v>
      </c>
      <c r="V7" s="672">
        <v>14878.999999999996</v>
      </c>
      <c r="W7" s="672">
        <v>14175</v>
      </c>
      <c r="X7" s="672">
        <v>11905</v>
      </c>
      <c r="Y7" s="672">
        <v>10189</v>
      </c>
      <c r="Z7" s="672">
        <v>9824</v>
      </c>
      <c r="AA7" s="672">
        <v>9060</v>
      </c>
      <c r="AB7" s="672">
        <v>8386</v>
      </c>
      <c r="AC7" s="672">
        <v>8314</v>
      </c>
      <c r="AD7" s="672">
        <v>8260</v>
      </c>
      <c r="AE7" s="672"/>
      <c r="AF7" s="672"/>
      <c r="AG7" s="673">
        <v>-1.5025041736227109</v>
      </c>
      <c r="AH7" s="673">
        <v>-43.744466389702374</v>
      </c>
      <c r="AI7" s="217" t="s">
        <v>238</v>
      </c>
    </row>
    <row r="8" spans="1:42">
      <c r="A8" s="212"/>
      <c r="B8" s="378" t="s">
        <v>81</v>
      </c>
      <c r="C8" s="728">
        <v>2507</v>
      </c>
      <c r="D8" s="729">
        <v>2003</v>
      </c>
      <c r="E8" s="722">
        <v>1391</v>
      </c>
      <c r="F8" s="723">
        <v>1551</v>
      </c>
      <c r="G8" s="723">
        <v>1403</v>
      </c>
      <c r="H8" s="723">
        <v>1283</v>
      </c>
      <c r="I8" s="723">
        <v>1338</v>
      </c>
      <c r="J8" s="723">
        <v>1210</v>
      </c>
      <c r="K8" s="723">
        <v>1027</v>
      </c>
      <c r="L8" s="723">
        <v>1105</v>
      </c>
      <c r="M8" s="723">
        <v>963</v>
      </c>
      <c r="N8" s="723">
        <v>1079</v>
      </c>
      <c r="O8" s="723">
        <v>976</v>
      </c>
      <c r="P8" s="723">
        <v>958</v>
      </c>
      <c r="Q8" s="723">
        <v>956</v>
      </c>
      <c r="R8" s="723">
        <v>931</v>
      </c>
      <c r="S8" s="723">
        <v>878</v>
      </c>
      <c r="T8" s="723">
        <v>768</v>
      </c>
      <c r="U8" s="730">
        <v>730</v>
      </c>
      <c r="V8" s="730">
        <v>691</v>
      </c>
      <c r="W8" s="709">
        <v>679</v>
      </c>
      <c r="X8" s="709">
        <v>633</v>
      </c>
      <c r="Y8" s="709">
        <v>552</v>
      </c>
      <c r="Z8" s="709">
        <v>523</v>
      </c>
      <c r="AA8" s="709">
        <v>531</v>
      </c>
      <c r="AB8" s="709">
        <v>455</v>
      </c>
      <c r="AC8" s="709">
        <v>430</v>
      </c>
      <c r="AD8" s="710">
        <v>479</v>
      </c>
      <c r="AE8" s="710">
        <v>432</v>
      </c>
      <c r="AF8" s="710">
        <v>414</v>
      </c>
      <c r="AG8" s="687">
        <v>-9.8121085594989523</v>
      </c>
      <c r="AH8" s="687">
        <v>-54.906054279749476</v>
      </c>
      <c r="AI8" s="378" t="s">
        <v>81</v>
      </c>
      <c r="AM8" s="1066">
        <v>414</v>
      </c>
      <c r="AN8" s="1077" t="e">
        <f t="shared" ref="AN8:AN43" si="0">AM8/AL9*100-100</f>
        <v>#DIV/0!</v>
      </c>
      <c r="AO8" s="1062">
        <f t="shared" ref="AO8:AO36" si="1">AM8/V9*100-100</f>
        <v>-61.344537815126046</v>
      </c>
      <c r="AP8" s="946" t="s">
        <v>81</v>
      </c>
    </row>
    <row r="9" spans="1:42">
      <c r="A9" s="212"/>
      <c r="B9" s="221" t="s">
        <v>60</v>
      </c>
      <c r="C9" s="698">
        <v>2950</v>
      </c>
      <c r="D9" s="699">
        <v>2396</v>
      </c>
      <c r="E9" s="700">
        <v>1976</v>
      </c>
      <c r="F9" s="691">
        <v>1873</v>
      </c>
      <c r="G9" s="691">
        <v>1671</v>
      </c>
      <c r="H9" s="691">
        <v>1660</v>
      </c>
      <c r="I9" s="691">
        <v>1692</v>
      </c>
      <c r="J9" s="691">
        <v>1449</v>
      </c>
      <c r="K9" s="691">
        <v>1356</v>
      </c>
      <c r="L9" s="691">
        <v>1364</v>
      </c>
      <c r="M9" s="691">
        <v>1500</v>
      </c>
      <c r="N9" s="691">
        <v>1397</v>
      </c>
      <c r="O9" s="691">
        <v>1470</v>
      </c>
      <c r="P9" s="691">
        <v>1486</v>
      </c>
      <c r="Q9" s="691">
        <v>1306</v>
      </c>
      <c r="R9" s="691">
        <v>1214</v>
      </c>
      <c r="S9" s="691">
        <v>1162</v>
      </c>
      <c r="T9" s="691">
        <v>1089</v>
      </c>
      <c r="U9" s="679">
        <v>1069</v>
      </c>
      <c r="V9" s="679">
        <v>1071</v>
      </c>
      <c r="W9" s="679">
        <v>944</v>
      </c>
      <c r="X9" s="679">
        <v>944</v>
      </c>
      <c r="Y9" s="679">
        <v>840</v>
      </c>
      <c r="Z9" s="679">
        <v>862</v>
      </c>
      <c r="AA9" s="679">
        <v>770</v>
      </c>
      <c r="AB9" s="679">
        <v>723</v>
      </c>
      <c r="AC9" s="679">
        <v>727</v>
      </c>
      <c r="AD9" s="680">
        <v>732</v>
      </c>
      <c r="AE9" s="680">
        <v>637</v>
      </c>
      <c r="AF9" s="680">
        <v>615</v>
      </c>
      <c r="AG9" s="681">
        <v>-12.978142076502735</v>
      </c>
      <c r="AH9" s="681">
        <v>-57.133243606998654</v>
      </c>
      <c r="AI9" s="221" t="s">
        <v>60</v>
      </c>
      <c r="AM9" s="1058">
        <v>615</v>
      </c>
      <c r="AN9" s="1063" t="e">
        <f t="shared" si="0"/>
        <v>#DIV/0!</v>
      </c>
      <c r="AO9" s="1059">
        <f t="shared" si="1"/>
        <v>-38.866799204771375</v>
      </c>
      <c r="AP9" s="767" t="s">
        <v>60</v>
      </c>
    </row>
    <row r="10" spans="1:42">
      <c r="A10" s="212"/>
      <c r="B10" s="213" t="s">
        <v>100</v>
      </c>
      <c r="C10" s="682"/>
      <c r="D10" s="683"/>
      <c r="E10" s="684">
        <v>1567</v>
      </c>
      <c r="F10" s="685">
        <v>1114</v>
      </c>
      <c r="G10" s="685">
        <v>1299</v>
      </c>
      <c r="H10" s="685">
        <v>1307</v>
      </c>
      <c r="I10" s="685">
        <v>1390</v>
      </c>
      <c r="J10" s="685">
        <v>1264</v>
      </c>
      <c r="K10" s="685">
        <v>1014</v>
      </c>
      <c r="L10" s="685">
        <v>915</v>
      </c>
      <c r="M10" s="685">
        <v>1003</v>
      </c>
      <c r="N10" s="685">
        <v>1047</v>
      </c>
      <c r="O10" s="685">
        <v>1012</v>
      </c>
      <c r="P10" s="685">
        <v>1011</v>
      </c>
      <c r="Q10" s="685">
        <v>959</v>
      </c>
      <c r="R10" s="685">
        <v>960</v>
      </c>
      <c r="S10" s="685">
        <v>943</v>
      </c>
      <c r="T10" s="685">
        <v>957</v>
      </c>
      <c r="U10" s="685">
        <v>1043</v>
      </c>
      <c r="V10" s="685">
        <v>1006</v>
      </c>
      <c r="W10" s="685">
        <v>1061</v>
      </c>
      <c r="X10" s="685">
        <v>901</v>
      </c>
      <c r="Y10" s="685">
        <v>776</v>
      </c>
      <c r="Z10" s="685">
        <v>657</v>
      </c>
      <c r="AA10" s="685">
        <v>601</v>
      </c>
      <c r="AB10" s="685">
        <v>601</v>
      </c>
      <c r="AC10" s="685">
        <v>661</v>
      </c>
      <c r="AD10" s="686">
        <v>708</v>
      </c>
      <c r="AE10" s="686">
        <v>708</v>
      </c>
      <c r="AF10" s="686">
        <v>682</v>
      </c>
      <c r="AG10" s="687">
        <v>0</v>
      </c>
      <c r="AH10" s="687">
        <v>-29.970326409495556</v>
      </c>
      <c r="AI10" s="213" t="s">
        <v>100</v>
      </c>
      <c r="AM10" s="1060">
        <v>682</v>
      </c>
      <c r="AN10" s="1061" t="e">
        <f t="shared" si="0"/>
        <v>#DIV/0!</v>
      </c>
      <c r="AO10" s="1062">
        <f t="shared" si="1"/>
        <v>666.29213483146066</v>
      </c>
      <c r="AP10" s="97" t="s">
        <v>100</v>
      </c>
    </row>
    <row r="11" spans="1:42">
      <c r="A11" s="212"/>
      <c r="B11" s="221" t="s">
        <v>71</v>
      </c>
      <c r="C11" s="698" t="s">
        <v>99</v>
      </c>
      <c r="D11" s="699">
        <v>85</v>
      </c>
      <c r="E11" s="700">
        <v>116</v>
      </c>
      <c r="F11" s="691">
        <v>103</v>
      </c>
      <c r="G11" s="691">
        <v>132</v>
      </c>
      <c r="H11" s="691">
        <v>115</v>
      </c>
      <c r="I11" s="691">
        <v>133</v>
      </c>
      <c r="J11" s="691">
        <v>118</v>
      </c>
      <c r="K11" s="692">
        <v>128</v>
      </c>
      <c r="L11" s="692">
        <v>115</v>
      </c>
      <c r="M11" s="692">
        <v>111</v>
      </c>
      <c r="N11" s="692">
        <v>113</v>
      </c>
      <c r="O11" s="692">
        <v>111</v>
      </c>
      <c r="P11" s="692">
        <v>98</v>
      </c>
      <c r="Q11" s="692">
        <v>94</v>
      </c>
      <c r="R11" s="692">
        <v>97</v>
      </c>
      <c r="S11" s="692">
        <v>117</v>
      </c>
      <c r="T11" s="691">
        <v>102</v>
      </c>
      <c r="U11" s="679">
        <v>86</v>
      </c>
      <c r="V11" s="679">
        <v>89</v>
      </c>
      <c r="W11" s="679">
        <v>82</v>
      </c>
      <c r="X11" s="679">
        <v>71</v>
      </c>
      <c r="Y11" s="679">
        <v>60</v>
      </c>
      <c r="Z11" s="679">
        <v>71</v>
      </c>
      <c r="AA11" s="679">
        <v>51</v>
      </c>
      <c r="AB11" s="679">
        <v>44</v>
      </c>
      <c r="AC11" s="679">
        <v>45</v>
      </c>
      <c r="AD11" s="680">
        <v>57</v>
      </c>
      <c r="AE11" s="680">
        <v>46</v>
      </c>
      <c r="AF11" s="680">
        <v>53</v>
      </c>
      <c r="AG11" s="681">
        <v>-19.298245614035096</v>
      </c>
      <c r="AH11" s="681">
        <v>-53.061224489795919</v>
      </c>
      <c r="AI11" s="221" t="s">
        <v>71</v>
      </c>
      <c r="AM11" s="1058">
        <v>53</v>
      </c>
      <c r="AN11" s="1063" t="e">
        <f t="shared" si="0"/>
        <v>#DIV/0!</v>
      </c>
      <c r="AO11" s="1059">
        <f t="shared" si="1"/>
        <v>-95.659295659295665</v>
      </c>
      <c r="AP11" s="767" t="s">
        <v>71</v>
      </c>
    </row>
    <row r="12" spans="1:42">
      <c r="A12" s="212"/>
      <c r="B12" s="221" t="s">
        <v>61</v>
      </c>
      <c r="C12" s="688"/>
      <c r="D12" s="689"/>
      <c r="E12" s="690">
        <v>1291</v>
      </c>
      <c r="F12" s="691">
        <v>1331</v>
      </c>
      <c r="G12" s="691">
        <v>1571</v>
      </c>
      <c r="H12" s="691">
        <v>1524</v>
      </c>
      <c r="I12" s="691">
        <v>1637</v>
      </c>
      <c r="J12" s="691">
        <v>1588</v>
      </c>
      <c r="K12" s="692">
        <v>1562</v>
      </c>
      <c r="L12" s="692">
        <v>1597</v>
      </c>
      <c r="M12" s="692">
        <v>1360</v>
      </c>
      <c r="N12" s="692">
        <v>1455</v>
      </c>
      <c r="O12" s="692">
        <v>1486</v>
      </c>
      <c r="P12" s="692">
        <v>1333</v>
      </c>
      <c r="Q12" s="692">
        <v>1430</v>
      </c>
      <c r="R12" s="692">
        <v>1447</v>
      </c>
      <c r="S12" s="692">
        <v>1382</v>
      </c>
      <c r="T12" s="691">
        <v>1286</v>
      </c>
      <c r="U12" s="679">
        <v>1063</v>
      </c>
      <c r="V12" s="679">
        <v>1221</v>
      </c>
      <c r="W12" s="679">
        <v>1076</v>
      </c>
      <c r="X12" s="679">
        <v>901</v>
      </c>
      <c r="Y12" s="679">
        <v>802</v>
      </c>
      <c r="Z12" s="679">
        <v>772</v>
      </c>
      <c r="AA12" s="679">
        <v>742</v>
      </c>
      <c r="AB12" s="679">
        <v>655</v>
      </c>
      <c r="AC12" s="679">
        <v>688</v>
      </c>
      <c r="AD12" s="680">
        <v>734</v>
      </c>
      <c r="AE12" s="680">
        <v>611</v>
      </c>
      <c r="AF12" s="680">
        <v>577</v>
      </c>
      <c r="AG12" s="681">
        <v>-16.757493188010898</v>
      </c>
      <c r="AH12" s="681">
        <v>-54.163540885221309</v>
      </c>
      <c r="AI12" s="221" t="s">
        <v>61</v>
      </c>
      <c r="AM12" s="1058">
        <v>577</v>
      </c>
      <c r="AN12" s="1063" t="e">
        <f t="shared" si="0"/>
        <v>#DIV/0!</v>
      </c>
      <c r="AO12" s="1059">
        <f t="shared" si="1"/>
        <v>-88.341079005859768</v>
      </c>
      <c r="AP12" s="767" t="s">
        <v>61</v>
      </c>
    </row>
    <row r="13" spans="1:42">
      <c r="A13" s="212"/>
      <c r="B13" s="221" t="s">
        <v>63</v>
      </c>
      <c r="C13" s="698">
        <v>21332</v>
      </c>
      <c r="D13" s="699">
        <v>15050</v>
      </c>
      <c r="E13" s="700">
        <v>11046</v>
      </c>
      <c r="F13" s="691">
        <v>11300</v>
      </c>
      <c r="G13" s="691">
        <v>10631</v>
      </c>
      <c r="H13" s="691">
        <v>9949</v>
      </c>
      <c r="I13" s="691">
        <v>9814</v>
      </c>
      <c r="J13" s="691">
        <v>9454</v>
      </c>
      <c r="K13" s="692">
        <v>8758</v>
      </c>
      <c r="L13" s="692">
        <v>8549</v>
      </c>
      <c r="M13" s="692">
        <v>7792</v>
      </c>
      <c r="N13" s="692">
        <v>7772</v>
      </c>
      <c r="O13" s="692">
        <v>7503</v>
      </c>
      <c r="P13" s="692">
        <v>6977</v>
      </c>
      <c r="Q13" s="692">
        <v>6842</v>
      </c>
      <c r="R13" s="692">
        <v>6613</v>
      </c>
      <c r="S13" s="692">
        <v>5842</v>
      </c>
      <c r="T13" s="691">
        <v>5361</v>
      </c>
      <c r="U13" s="679">
        <v>5091</v>
      </c>
      <c r="V13" s="679">
        <v>4949</v>
      </c>
      <c r="W13" s="679">
        <v>4477</v>
      </c>
      <c r="X13" s="679">
        <v>4152</v>
      </c>
      <c r="Y13" s="679">
        <v>3648</v>
      </c>
      <c r="Z13" s="679">
        <v>4009</v>
      </c>
      <c r="AA13" s="679">
        <v>3600</v>
      </c>
      <c r="AB13" s="679">
        <v>3339</v>
      </c>
      <c r="AC13" s="679">
        <v>3377</v>
      </c>
      <c r="AD13" s="680">
        <v>3459</v>
      </c>
      <c r="AE13" s="680">
        <v>3206</v>
      </c>
      <c r="AF13" s="680">
        <v>3180</v>
      </c>
      <c r="AG13" s="681">
        <v>-7.3142526741832796</v>
      </c>
      <c r="AH13" s="681">
        <v>-54.049018202665906</v>
      </c>
      <c r="AI13" s="221" t="s">
        <v>63</v>
      </c>
      <c r="AM13" s="1058">
        <v>3180</v>
      </c>
      <c r="AN13" s="1063" t="e">
        <f t="shared" si="0"/>
        <v>#DIV/0!</v>
      </c>
      <c r="AO13" s="1059">
        <f t="shared" si="1"/>
        <v>683.25123152709364</v>
      </c>
      <c r="AP13" s="767" t="s">
        <v>63</v>
      </c>
    </row>
    <row r="14" spans="1:42">
      <c r="A14" s="212"/>
      <c r="B14" s="213" t="s">
        <v>14</v>
      </c>
      <c r="C14" s="693">
        <v>1208</v>
      </c>
      <c r="D14" s="694">
        <v>690</v>
      </c>
      <c r="E14" s="684">
        <v>634</v>
      </c>
      <c r="F14" s="685">
        <v>606</v>
      </c>
      <c r="G14" s="685">
        <v>577</v>
      </c>
      <c r="H14" s="685">
        <v>559</v>
      </c>
      <c r="I14" s="685">
        <v>546</v>
      </c>
      <c r="J14" s="685">
        <v>582</v>
      </c>
      <c r="K14" s="695">
        <v>514</v>
      </c>
      <c r="L14" s="695">
        <v>489</v>
      </c>
      <c r="M14" s="695">
        <v>499</v>
      </c>
      <c r="N14" s="695">
        <v>514</v>
      </c>
      <c r="O14" s="695">
        <v>498</v>
      </c>
      <c r="P14" s="695">
        <v>431</v>
      </c>
      <c r="Q14" s="695">
        <v>463</v>
      </c>
      <c r="R14" s="695">
        <v>432</v>
      </c>
      <c r="S14" s="695">
        <v>369</v>
      </c>
      <c r="T14" s="685">
        <v>331</v>
      </c>
      <c r="U14" s="696">
        <v>306</v>
      </c>
      <c r="V14" s="696">
        <v>406</v>
      </c>
      <c r="W14" s="696">
        <v>406</v>
      </c>
      <c r="X14" s="696">
        <v>303</v>
      </c>
      <c r="Y14" s="696">
        <v>255</v>
      </c>
      <c r="Z14" s="696">
        <v>220</v>
      </c>
      <c r="AA14" s="696">
        <v>167</v>
      </c>
      <c r="AB14" s="696">
        <v>191</v>
      </c>
      <c r="AC14" s="696">
        <v>182</v>
      </c>
      <c r="AD14" s="697">
        <v>178</v>
      </c>
      <c r="AE14" s="697">
        <v>211</v>
      </c>
      <c r="AF14" s="697">
        <v>175</v>
      </c>
      <c r="AG14" s="687">
        <v>18.539325842696613</v>
      </c>
      <c r="AH14" s="687">
        <v>-51.04408352668213</v>
      </c>
      <c r="AI14" s="213" t="s">
        <v>14</v>
      </c>
      <c r="AM14" s="1064">
        <v>175</v>
      </c>
      <c r="AN14" s="1061" t="e">
        <f t="shared" si="0"/>
        <v>#DIV/0!</v>
      </c>
      <c r="AO14" s="1062">
        <f t="shared" si="1"/>
        <v>-10.714285714285708</v>
      </c>
      <c r="AP14" s="97" t="s">
        <v>14</v>
      </c>
    </row>
    <row r="15" spans="1:42">
      <c r="A15" s="212"/>
      <c r="B15" s="213" t="s">
        <v>64</v>
      </c>
      <c r="C15" s="693" t="s">
        <v>99</v>
      </c>
      <c r="D15" s="694" t="s">
        <v>99</v>
      </c>
      <c r="E15" s="684">
        <v>436</v>
      </c>
      <c r="F15" s="685">
        <v>490</v>
      </c>
      <c r="G15" s="685">
        <v>287</v>
      </c>
      <c r="H15" s="685">
        <v>321</v>
      </c>
      <c r="I15" s="685">
        <v>364</v>
      </c>
      <c r="J15" s="685">
        <v>332</v>
      </c>
      <c r="K15" s="695">
        <v>213</v>
      </c>
      <c r="L15" s="695">
        <v>280</v>
      </c>
      <c r="M15" s="695">
        <v>284</v>
      </c>
      <c r="N15" s="695">
        <v>232</v>
      </c>
      <c r="O15" s="695">
        <v>204</v>
      </c>
      <c r="P15" s="695">
        <v>199</v>
      </c>
      <c r="Q15" s="695">
        <v>223</v>
      </c>
      <c r="R15" s="695">
        <v>164</v>
      </c>
      <c r="S15" s="695">
        <v>170</v>
      </c>
      <c r="T15" s="685">
        <v>170</v>
      </c>
      <c r="U15" s="696">
        <v>204</v>
      </c>
      <c r="V15" s="696">
        <v>196</v>
      </c>
      <c r="W15" s="696">
        <v>132</v>
      </c>
      <c r="X15" s="696">
        <v>98</v>
      </c>
      <c r="Y15" s="696">
        <v>79</v>
      </c>
      <c r="Z15" s="696">
        <v>101</v>
      </c>
      <c r="AA15" s="696">
        <v>87</v>
      </c>
      <c r="AB15" s="696">
        <v>81</v>
      </c>
      <c r="AC15" s="696">
        <v>78</v>
      </c>
      <c r="AD15" s="697">
        <v>67</v>
      </c>
      <c r="AE15" s="697">
        <v>71</v>
      </c>
      <c r="AF15" s="697">
        <v>48</v>
      </c>
      <c r="AG15" s="687">
        <v>5.9701492537313356</v>
      </c>
      <c r="AH15" s="687">
        <v>-64.321608040200999</v>
      </c>
      <c r="AI15" s="213" t="s">
        <v>64</v>
      </c>
      <c r="AM15" s="1064">
        <v>48</v>
      </c>
      <c r="AN15" s="1061" t="e">
        <f t="shared" si="0"/>
        <v>#DIV/0!</v>
      </c>
      <c r="AO15" s="1062">
        <f t="shared" si="1"/>
        <v>-97.022332506203469</v>
      </c>
      <c r="AP15" s="97" t="s">
        <v>64</v>
      </c>
    </row>
    <row r="16" spans="1:42">
      <c r="A16" s="212"/>
      <c r="B16" s="213" t="s">
        <v>15</v>
      </c>
      <c r="C16" s="693">
        <v>1099</v>
      </c>
      <c r="D16" s="694">
        <v>1445</v>
      </c>
      <c r="E16" s="684">
        <v>2050</v>
      </c>
      <c r="F16" s="685">
        <v>2112</v>
      </c>
      <c r="G16" s="685">
        <v>2158</v>
      </c>
      <c r="H16" s="685">
        <v>2160</v>
      </c>
      <c r="I16" s="685">
        <v>2253</v>
      </c>
      <c r="J16" s="685">
        <v>2412</v>
      </c>
      <c r="K16" s="695">
        <v>2157</v>
      </c>
      <c r="L16" s="695">
        <v>2105</v>
      </c>
      <c r="M16" s="695">
        <v>2182</v>
      </c>
      <c r="N16" s="695">
        <v>2116</v>
      </c>
      <c r="O16" s="695">
        <v>2037</v>
      </c>
      <c r="P16" s="695">
        <v>1880</v>
      </c>
      <c r="Q16" s="695">
        <v>1634</v>
      </c>
      <c r="R16" s="695">
        <v>1605</v>
      </c>
      <c r="S16" s="695">
        <v>1670</v>
      </c>
      <c r="T16" s="685">
        <v>1658</v>
      </c>
      <c r="U16" s="696">
        <v>1657</v>
      </c>
      <c r="V16" s="696">
        <v>1612</v>
      </c>
      <c r="W16" s="696">
        <v>1555</v>
      </c>
      <c r="X16" s="696">
        <v>1456</v>
      </c>
      <c r="Y16" s="696">
        <v>1258</v>
      </c>
      <c r="Z16" s="696">
        <v>1141</v>
      </c>
      <c r="AA16" s="696">
        <v>988</v>
      </c>
      <c r="AB16" s="696">
        <v>879</v>
      </c>
      <c r="AC16" s="696">
        <v>795</v>
      </c>
      <c r="AD16" s="697">
        <v>793</v>
      </c>
      <c r="AE16" s="697">
        <v>824</v>
      </c>
      <c r="AF16" s="697">
        <v>731</v>
      </c>
      <c r="AG16" s="687">
        <v>3.9092055485498065</v>
      </c>
      <c r="AH16" s="687">
        <v>-56.170212765957444</v>
      </c>
      <c r="AI16" s="213" t="s">
        <v>15</v>
      </c>
      <c r="AM16" s="1064">
        <v>731</v>
      </c>
      <c r="AN16" s="1061" t="e">
        <f t="shared" si="0"/>
        <v>#DIV/0!</v>
      </c>
      <c r="AO16" s="1062">
        <f t="shared" si="1"/>
        <v>-80.878890923358625</v>
      </c>
      <c r="AP16" s="97" t="s">
        <v>15</v>
      </c>
    </row>
    <row r="17" spans="1:42">
      <c r="A17" s="212"/>
      <c r="B17" s="221" t="s">
        <v>66</v>
      </c>
      <c r="C17" s="698">
        <v>5456</v>
      </c>
      <c r="D17" s="699">
        <v>6522</v>
      </c>
      <c r="E17" s="700">
        <v>9032</v>
      </c>
      <c r="F17" s="691">
        <v>8837</v>
      </c>
      <c r="G17" s="691">
        <v>7818</v>
      </c>
      <c r="H17" s="691">
        <v>6375</v>
      </c>
      <c r="I17" s="691">
        <v>5612</v>
      </c>
      <c r="J17" s="691">
        <v>5749</v>
      </c>
      <c r="K17" s="692">
        <v>5482</v>
      </c>
      <c r="L17" s="692">
        <v>5604</v>
      </c>
      <c r="M17" s="692">
        <v>5956</v>
      </c>
      <c r="N17" s="692">
        <v>5738</v>
      </c>
      <c r="O17" s="692">
        <v>5777</v>
      </c>
      <c r="P17" s="692">
        <v>5517</v>
      </c>
      <c r="Q17" s="692">
        <v>5347</v>
      </c>
      <c r="R17" s="692">
        <v>5400</v>
      </c>
      <c r="S17" s="692">
        <v>4749</v>
      </c>
      <c r="T17" s="691">
        <v>4442</v>
      </c>
      <c r="U17" s="679">
        <v>4104</v>
      </c>
      <c r="V17" s="679">
        <v>3823</v>
      </c>
      <c r="W17" s="679">
        <v>3100</v>
      </c>
      <c r="X17" s="679">
        <v>2714</v>
      </c>
      <c r="Y17" s="679">
        <v>2479</v>
      </c>
      <c r="Z17" s="679">
        <v>2060</v>
      </c>
      <c r="AA17" s="679">
        <v>1903</v>
      </c>
      <c r="AB17" s="679">
        <v>1680</v>
      </c>
      <c r="AC17" s="679">
        <v>1688</v>
      </c>
      <c r="AD17" s="680">
        <v>1689</v>
      </c>
      <c r="AE17" s="680">
        <v>1810</v>
      </c>
      <c r="AF17" s="680">
        <v>1830</v>
      </c>
      <c r="AG17" s="681">
        <v>7.1640023682652441</v>
      </c>
      <c r="AH17" s="681">
        <v>-67.192314663766538</v>
      </c>
      <c r="AI17" s="221" t="s">
        <v>66</v>
      </c>
      <c r="AM17" s="1058">
        <v>1830</v>
      </c>
      <c r="AN17" s="1063" t="e">
        <f t="shared" si="0"/>
        <v>#DIV/0!</v>
      </c>
      <c r="AO17" s="1059">
        <f t="shared" si="1"/>
        <v>381.57894736842104</v>
      </c>
      <c r="AP17" s="767" t="s">
        <v>66</v>
      </c>
    </row>
    <row r="18" spans="1:42">
      <c r="A18" s="212"/>
      <c r="B18" s="213" t="s">
        <v>87</v>
      </c>
      <c r="C18" s="704">
        <v>1055</v>
      </c>
      <c r="D18" s="705">
        <v>551</v>
      </c>
      <c r="E18" s="706">
        <v>649</v>
      </c>
      <c r="F18" s="707">
        <v>632</v>
      </c>
      <c r="G18" s="707">
        <v>601</v>
      </c>
      <c r="H18" s="707">
        <v>484</v>
      </c>
      <c r="I18" s="707">
        <v>480</v>
      </c>
      <c r="J18" s="707">
        <v>441</v>
      </c>
      <c r="K18" s="708">
        <v>404</v>
      </c>
      <c r="L18" s="708">
        <v>438</v>
      </c>
      <c r="M18" s="708">
        <v>400</v>
      </c>
      <c r="N18" s="708">
        <v>431</v>
      </c>
      <c r="O18" s="708">
        <v>396</v>
      </c>
      <c r="P18" s="708">
        <v>433</v>
      </c>
      <c r="Q18" s="708">
        <v>415</v>
      </c>
      <c r="R18" s="708">
        <v>379</v>
      </c>
      <c r="S18" s="708">
        <v>375</v>
      </c>
      <c r="T18" s="707">
        <v>379</v>
      </c>
      <c r="U18" s="709">
        <v>336</v>
      </c>
      <c r="V18" s="709">
        <v>380</v>
      </c>
      <c r="W18" s="709">
        <v>344</v>
      </c>
      <c r="X18" s="709">
        <v>279</v>
      </c>
      <c r="Y18" s="709">
        <v>272</v>
      </c>
      <c r="Z18" s="709">
        <v>292</v>
      </c>
      <c r="AA18" s="709">
        <v>255</v>
      </c>
      <c r="AB18" s="709">
        <v>258</v>
      </c>
      <c r="AC18" s="709">
        <v>229</v>
      </c>
      <c r="AD18" s="710">
        <v>266</v>
      </c>
      <c r="AE18" s="710">
        <v>258</v>
      </c>
      <c r="AF18" s="710">
        <v>238</v>
      </c>
      <c r="AG18" s="687">
        <v>-3.0075187969924855</v>
      </c>
      <c r="AH18" s="687">
        <v>-40.415704387990758</v>
      </c>
      <c r="AI18" s="213" t="s">
        <v>87</v>
      </c>
      <c r="AM18" s="1066">
        <v>238</v>
      </c>
      <c r="AN18" s="1061" t="e">
        <f t="shared" si="0"/>
        <v>#DIV/0!</v>
      </c>
      <c r="AO18" s="1062">
        <f t="shared" si="1"/>
        <v>-94.848484848484844</v>
      </c>
      <c r="AP18" s="946" t="s">
        <v>87</v>
      </c>
    </row>
    <row r="19" spans="1:42">
      <c r="A19" s="212"/>
      <c r="B19" s="213" t="s">
        <v>67</v>
      </c>
      <c r="C19" s="693">
        <v>16448</v>
      </c>
      <c r="D19" s="694">
        <v>13672</v>
      </c>
      <c r="E19" s="684">
        <v>11215</v>
      </c>
      <c r="F19" s="685">
        <v>10483</v>
      </c>
      <c r="G19" s="685">
        <v>9902</v>
      </c>
      <c r="H19" s="685">
        <v>9865</v>
      </c>
      <c r="I19" s="685">
        <v>9019</v>
      </c>
      <c r="J19" s="685">
        <v>8892</v>
      </c>
      <c r="K19" s="695">
        <v>8540</v>
      </c>
      <c r="L19" s="695">
        <v>8445</v>
      </c>
      <c r="M19" s="695">
        <v>8920</v>
      </c>
      <c r="N19" s="695">
        <v>8486</v>
      </c>
      <c r="O19" s="695">
        <v>8079</v>
      </c>
      <c r="P19" s="695">
        <v>8162</v>
      </c>
      <c r="Q19" s="695">
        <v>7655</v>
      </c>
      <c r="R19" s="695">
        <v>6058</v>
      </c>
      <c r="S19" s="695">
        <v>5530</v>
      </c>
      <c r="T19" s="685">
        <v>5318</v>
      </c>
      <c r="U19" s="696">
        <v>4709</v>
      </c>
      <c r="V19" s="696">
        <v>4620</v>
      </c>
      <c r="W19" s="696">
        <v>4275</v>
      </c>
      <c r="X19" s="696">
        <v>4273</v>
      </c>
      <c r="Y19" s="696">
        <v>3992</v>
      </c>
      <c r="Z19" s="696">
        <v>3963</v>
      </c>
      <c r="AA19" s="696">
        <v>3653</v>
      </c>
      <c r="AB19" s="696">
        <v>3268</v>
      </c>
      <c r="AC19" s="696">
        <v>3384</v>
      </c>
      <c r="AD19" s="697">
        <v>3461</v>
      </c>
      <c r="AE19" s="697">
        <v>3477</v>
      </c>
      <c r="AF19" s="697">
        <v>3444</v>
      </c>
      <c r="AG19" s="687">
        <v>0.46229413464315883</v>
      </c>
      <c r="AH19" s="687">
        <v>-57.400147022788531</v>
      </c>
      <c r="AI19" s="213" t="s">
        <v>67</v>
      </c>
      <c r="AM19" s="1064">
        <v>3444</v>
      </c>
      <c r="AN19" s="1061" t="e">
        <f t="shared" si="0"/>
        <v>#DIV/0!</v>
      </c>
      <c r="AO19" s="1062">
        <f t="shared" si="1"/>
        <v>456.38126009693053</v>
      </c>
      <c r="AP19" s="97" t="s">
        <v>67</v>
      </c>
    </row>
    <row r="20" spans="1:42">
      <c r="A20" s="212"/>
      <c r="B20" s="221" t="s">
        <v>144</v>
      </c>
      <c r="C20" s="701"/>
      <c r="D20" s="702"/>
      <c r="E20" s="700">
        <v>1360</v>
      </c>
      <c r="F20" s="691"/>
      <c r="G20" s="691"/>
      <c r="H20" s="691"/>
      <c r="I20" s="691">
        <v>804</v>
      </c>
      <c r="J20" s="691">
        <v>800</v>
      </c>
      <c r="K20" s="691">
        <v>721</v>
      </c>
      <c r="L20" s="691">
        <v>714</v>
      </c>
      <c r="M20" s="691">
        <v>646</v>
      </c>
      <c r="N20" s="691">
        <v>662</v>
      </c>
      <c r="O20" s="691">
        <v>655</v>
      </c>
      <c r="P20" s="691">
        <v>647</v>
      </c>
      <c r="Q20" s="691">
        <v>627</v>
      </c>
      <c r="R20" s="691">
        <v>701</v>
      </c>
      <c r="S20" s="691">
        <v>608</v>
      </c>
      <c r="T20" s="691">
        <v>597</v>
      </c>
      <c r="U20" s="691">
        <v>614</v>
      </c>
      <c r="V20" s="691">
        <v>619</v>
      </c>
      <c r="W20" s="691">
        <v>664</v>
      </c>
      <c r="X20" s="691">
        <v>548</v>
      </c>
      <c r="Y20" s="691">
        <v>426</v>
      </c>
      <c r="Z20" s="691">
        <v>418</v>
      </c>
      <c r="AA20" s="691">
        <v>390</v>
      </c>
      <c r="AB20" s="691">
        <v>368</v>
      </c>
      <c r="AC20" s="691">
        <v>308</v>
      </c>
      <c r="AD20" s="703">
        <v>348</v>
      </c>
      <c r="AE20" s="703">
        <v>307</v>
      </c>
      <c r="AF20" s="703">
        <v>331</v>
      </c>
      <c r="AG20" s="681">
        <v>-11.781609195402297</v>
      </c>
      <c r="AH20" s="681">
        <v>-52.550231839258117</v>
      </c>
      <c r="AI20" s="221" t="s">
        <v>144</v>
      </c>
      <c r="AM20" s="1065">
        <v>331</v>
      </c>
      <c r="AN20" s="1063" t="e">
        <f t="shared" si="0"/>
        <v>#DIV/0!</v>
      </c>
      <c r="AO20" s="1059">
        <f t="shared" si="1"/>
        <v>-73.133116883116884</v>
      </c>
      <c r="AP20" s="767" t="s">
        <v>144</v>
      </c>
    </row>
    <row r="21" spans="1:42">
      <c r="A21" s="212"/>
      <c r="B21" s="221" t="s">
        <v>77</v>
      </c>
      <c r="C21" s="698" t="s">
        <v>99</v>
      </c>
      <c r="D21" s="699" t="s">
        <v>99</v>
      </c>
      <c r="E21" s="700">
        <v>2432</v>
      </c>
      <c r="F21" s="691">
        <v>2120</v>
      </c>
      <c r="G21" s="691">
        <v>2101</v>
      </c>
      <c r="H21" s="691">
        <v>1678</v>
      </c>
      <c r="I21" s="691">
        <v>1562</v>
      </c>
      <c r="J21" s="691">
        <v>1589</v>
      </c>
      <c r="K21" s="692">
        <v>1370</v>
      </c>
      <c r="L21" s="692">
        <v>1391</v>
      </c>
      <c r="M21" s="692">
        <v>1371</v>
      </c>
      <c r="N21" s="692">
        <v>1306</v>
      </c>
      <c r="O21" s="692">
        <v>1200</v>
      </c>
      <c r="P21" s="692">
        <v>1239</v>
      </c>
      <c r="Q21" s="692">
        <v>1429</v>
      </c>
      <c r="R21" s="692">
        <v>1326</v>
      </c>
      <c r="S21" s="692">
        <v>1296</v>
      </c>
      <c r="T21" s="691">
        <v>1278</v>
      </c>
      <c r="U21" s="679">
        <v>1303</v>
      </c>
      <c r="V21" s="679">
        <v>1232</v>
      </c>
      <c r="W21" s="679">
        <v>996</v>
      </c>
      <c r="X21" s="679">
        <v>822</v>
      </c>
      <c r="Y21" s="679">
        <v>740</v>
      </c>
      <c r="Z21" s="679">
        <v>638</v>
      </c>
      <c r="AA21" s="679">
        <v>606</v>
      </c>
      <c r="AB21" s="679">
        <v>591</v>
      </c>
      <c r="AC21" s="679">
        <v>626</v>
      </c>
      <c r="AD21" s="680">
        <v>644</v>
      </c>
      <c r="AE21" s="680">
        <v>607</v>
      </c>
      <c r="AF21" s="680">
        <v>625</v>
      </c>
      <c r="AG21" s="681">
        <v>-5.7453416149068346</v>
      </c>
      <c r="AH21" s="681">
        <v>-51.008878127522195</v>
      </c>
      <c r="AI21" s="221" t="s">
        <v>77</v>
      </c>
      <c r="AM21" s="1058">
        <v>625</v>
      </c>
      <c r="AN21" s="1063" t="e">
        <f t="shared" si="0"/>
        <v>#DIV/0!</v>
      </c>
      <c r="AO21" s="1059">
        <f t="shared" si="1"/>
        <v>84.911242603550306</v>
      </c>
      <c r="AP21" s="767" t="s">
        <v>77</v>
      </c>
    </row>
    <row r="22" spans="1:42">
      <c r="A22" s="212"/>
      <c r="B22" s="221" t="s">
        <v>68</v>
      </c>
      <c r="C22" s="698">
        <v>540</v>
      </c>
      <c r="D22" s="699">
        <v>564</v>
      </c>
      <c r="E22" s="700">
        <v>478</v>
      </c>
      <c r="F22" s="691">
        <v>445</v>
      </c>
      <c r="G22" s="691">
        <v>415</v>
      </c>
      <c r="H22" s="691">
        <v>431</v>
      </c>
      <c r="I22" s="691">
        <v>404</v>
      </c>
      <c r="J22" s="691">
        <v>437</v>
      </c>
      <c r="K22" s="692">
        <v>453</v>
      </c>
      <c r="L22" s="692">
        <v>473</v>
      </c>
      <c r="M22" s="692">
        <v>458</v>
      </c>
      <c r="N22" s="692">
        <v>414</v>
      </c>
      <c r="O22" s="692">
        <v>418</v>
      </c>
      <c r="P22" s="692">
        <v>412</v>
      </c>
      <c r="Q22" s="692">
        <v>376</v>
      </c>
      <c r="R22" s="692">
        <v>337</v>
      </c>
      <c r="S22" s="692">
        <v>377</v>
      </c>
      <c r="T22" s="691">
        <v>400</v>
      </c>
      <c r="U22" s="679">
        <v>365</v>
      </c>
      <c r="V22" s="679">
        <v>338</v>
      </c>
      <c r="W22" s="679">
        <v>280</v>
      </c>
      <c r="X22" s="679">
        <v>238</v>
      </c>
      <c r="Y22" s="679">
        <v>212</v>
      </c>
      <c r="Z22" s="679">
        <v>186</v>
      </c>
      <c r="AA22" s="679">
        <v>162</v>
      </c>
      <c r="AB22" s="679">
        <v>188</v>
      </c>
      <c r="AC22" s="679">
        <v>193</v>
      </c>
      <c r="AD22" s="680">
        <v>166</v>
      </c>
      <c r="AE22" s="680">
        <v>186</v>
      </c>
      <c r="AF22" s="680">
        <v>156</v>
      </c>
      <c r="AG22" s="681">
        <v>14.81481481481481</v>
      </c>
      <c r="AH22" s="681">
        <v>-54.854368932038831</v>
      </c>
      <c r="AI22" s="221" t="s">
        <v>68</v>
      </c>
      <c r="AM22" s="1058">
        <v>156</v>
      </c>
      <c r="AN22" s="1063" t="e">
        <f t="shared" si="0"/>
        <v>#DIV/0!</v>
      </c>
      <c r="AO22" s="1059">
        <f t="shared" si="1"/>
        <v>-96.959656986942122</v>
      </c>
      <c r="AP22" s="767" t="s">
        <v>68</v>
      </c>
    </row>
    <row r="23" spans="1:42">
      <c r="A23" s="212"/>
      <c r="B23" s="213" t="s">
        <v>69</v>
      </c>
      <c r="C23" s="704">
        <v>11004</v>
      </c>
      <c r="D23" s="705">
        <v>9220</v>
      </c>
      <c r="E23" s="706">
        <v>7151</v>
      </c>
      <c r="F23" s="707">
        <v>8109</v>
      </c>
      <c r="G23" s="707">
        <v>8053</v>
      </c>
      <c r="H23" s="707">
        <v>7187</v>
      </c>
      <c r="I23" s="707">
        <v>7091</v>
      </c>
      <c r="J23" s="707">
        <v>7020</v>
      </c>
      <c r="K23" s="708">
        <v>6676</v>
      </c>
      <c r="L23" s="708">
        <v>6714</v>
      </c>
      <c r="M23" s="708">
        <v>6313</v>
      </c>
      <c r="N23" s="708">
        <v>6688</v>
      </c>
      <c r="O23" s="708">
        <v>7061</v>
      </c>
      <c r="P23" s="708">
        <v>7096</v>
      </c>
      <c r="Q23" s="708">
        <v>6980</v>
      </c>
      <c r="R23" s="708">
        <v>6563</v>
      </c>
      <c r="S23" s="708">
        <v>6122</v>
      </c>
      <c r="T23" s="707">
        <v>5818</v>
      </c>
      <c r="U23" s="709">
        <v>5669</v>
      </c>
      <c r="V23" s="709">
        <v>5131</v>
      </c>
      <c r="W23" s="709">
        <v>4725</v>
      </c>
      <c r="X23" s="709">
        <v>4237</v>
      </c>
      <c r="Y23" s="709">
        <v>4114</v>
      </c>
      <c r="Z23" s="709">
        <v>3860</v>
      </c>
      <c r="AA23" s="709">
        <v>3753</v>
      </c>
      <c r="AB23" s="709">
        <v>3401</v>
      </c>
      <c r="AC23" s="709">
        <v>3381</v>
      </c>
      <c r="AD23" s="710">
        <v>3428</v>
      </c>
      <c r="AE23" s="710">
        <v>3283</v>
      </c>
      <c r="AF23" s="710">
        <v>3378</v>
      </c>
      <c r="AG23" s="687">
        <v>-4.2298716452742013</v>
      </c>
      <c r="AH23" s="687">
        <v>-53.734498308906424</v>
      </c>
      <c r="AI23" s="213" t="s">
        <v>69</v>
      </c>
      <c r="AM23" s="1066">
        <v>3378</v>
      </c>
      <c r="AN23" s="1061" t="e">
        <f t="shared" si="0"/>
        <v>#DIV/0!</v>
      </c>
      <c r="AO23" s="1062">
        <f t="shared" si="1"/>
        <v>356.48648648648651</v>
      </c>
      <c r="AP23" s="946" t="s">
        <v>69</v>
      </c>
    </row>
    <row r="24" spans="1:42">
      <c r="A24" s="212"/>
      <c r="B24" s="221" t="s">
        <v>73</v>
      </c>
      <c r="C24" s="698" t="s">
        <v>99</v>
      </c>
      <c r="D24" s="699" t="s">
        <v>99</v>
      </c>
      <c r="E24" s="700">
        <v>933</v>
      </c>
      <c r="F24" s="691">
        <v>1093</v>
      </c>
      <c r="G24" s="691">
        <v>779</v>
      </c>
      <c r="H24" s="691">
        <v>958</v>
      </c>
      <c r="I24" s="691">
        <v>765</v>
      </c>
      <c r="J24" s="691">
        <v>672</v>
      </c>
      <c r="K24" s="692">
        <v>667</v>
      </c>
      <c r="L24" s="692">
        <v>752</v>
      </c>
      <c r="M24" s="692">
        <v>829</v>
      </c>
      <c r="N24" s="692">
        <v>748</v>
      </c>
      <c r="O24" s="692">
        <v>641</v>
      </c>
      <c r="P24" s="692">
        <v>706</v>
      </c>
      <c r="Q24" s="692">
        <v>697</v>
      </c>
      <c r="R24" s="692">
        <v>709</v>
      </c>
      <c r="S24" s="692">
        <v>752</v>
      </c>
      <c r="T24" s="691">
        <v>773</v>
      </c>
      <c r="U24" s="679">
        <v>760</v>
      </c>
      <c r="V24" s="679">
        <v>740</v>
      </c>
      <c r="W24" s="679">
        <v>499</v>
      </c>
      <c r="X24" s="679">
        <v>370</v>
      </c>
      <c r="Y24" s="679">
        <v>299</v>
      </c>
      <c r="Z24" s="679">
        <v>296</v>
      </c>
      <c r="AA24" s="679">
        <v>302</v>
      </c>
      <c r="AB24" s="679">
        <v>256</v>
      </c>
      <c r="AC24" s="679">
        <v>267</v>
      </c>
      <c r="AD24" s="680">
        <v>242</v>
      </c>
      <c r="AE24" s="680">
        <v>192</v>
      </c>
      <c r="AF24" s="680">
        <v>191</v>
      </c>
      <c r="AG24" s="681">
        <v>-20.661157024793383</v>
      </c>
      <c r="AH24" s="681">
        <v>-72.804532577903672</v>
      </c>
      <c r="AI24" s="221" t="s">
        <v>73</v>
      </c>
      <c r="AM24" s="1058">
        <v>191</v>
      </c>
      <c r="AN24" s="1063" t="e">
        <f t="shared" si="0"/>
        <v>#DIV/0!</v>
      </c>
      <c r="AO24" s="1059">
        <f t="shared" si="1"/>
        <v>315.21739130434787</v>
      </c>
      <c r="AP24" s="767" t="s">
        <v>73</v>
      </c>
    </row>
    <row r="25" spans="1:42">
      <c r="A25" s="212"/>
      <c r="B25" s="213" t="s">
        <v>76</v>
      </c>
      <c r="C25" s="704">
        <v>132</v>
      </c>
      <c r="D25" s="705">
        <v>98</v>
      </c>
      <c r="E25" s="706">
        <v>70</v>
      </c>
      <c r="F25" s="707">
        <v>83</v>
      </c>
      <c r="G25" s="707">
        <v>69</v>
      </c>
      <c r="H25" s="707">
        <v>78</v>
      </c>
      <c r="I25" s="707">
        <v>65</v>
      </c>
      <c r="J25" s="707">
        <v>70</v>
      </c>
      <c r="K25" s="708">
        <v>71</v>
      </c>
      <c r="L25" s="708">
        <v>60</v>
      </c>
      <c r="M25" s="708">
        <v>57</v>
      </c>
      <c r="N25" s="708">
        <v>58</v>
      </c>
      <c r="O25" s="708">
        <v>76</v>
      </c>
      <c r="P25" s="708">
        <v>70</v>
      </c>
      <c r="Q25" s="708">
        <v>62</v>
      </c>
      <c r="R25" s="708">
        <v>53</v>
      </c>
      <c r="S25" s="708">
        <v>50</v>
      </c>
      <c r="T25" s="707">
        <v>47</v>
      </c>
      <c r="U25" s="709">
        <v>43</v>
      </c>
      <c r="V25" s="709">
        <v>46</v>
      </c>
      <c r="W25" s="709">
        <v>35</v>
      </c>
      <c r="X25" s="709">
        <v>48</v>
      </c>
      <c r="Y25" s="709">
        <v>32</v>
      </c>
      <c r="Z25" s="709">
        <v>33</v>
      </c>
      <c r="AA25" s="709">
        <v>34</v>
      </c>
      <c r="AB25" s="709">
        <v>45</v>
      </c>
      <c r="AC25" s="709">
        <v>35</v>
      </c>
      <c r="AD25" s="710">
        <v>36</v>
      </c>
      <c r="AE25" s="710">
        <v>32</v>
      </c>
      <c r="AF25" s="710">
        <v>25</v>
      </c>
      <c r="AG25" s="687">
        <v>-11.111111111111114</v>
      </c>
      <c r="AH25" s="687">
        <v>-54.285714285714285</v>
      </c>
      <c r="AI25" s="213" t="s">
        <v>76</v>
      </c>
      <c r="AM25" s="1066">
        <v>25</v>
      </c>
      <c r="AN25" s="1061" t="e">
        <f t="shared" si="0"/>
        <v>#DIV/0!</v>
      </c>
      <c r="AO25" s="1062">
        <f t="shared" si="1"/>
        <v>-94.033412887828163</v>
      </c>
      <c r="AP25" s="946" t="s">
        <v>76</v>
      </c>
    </row>
    <row r="26" spans="1:42">
      <c r="A26" s="212"/>
      <c r="B26" s="213" t="s">
        <v>72</v>
      </c>
      <c r="C26" s="704" t="s">
        <v>99</v>
      </c>
      <c r="D26" s="705" t="s">
        <v>99</v>
      </c>
      <c r="E26" s="706">
        <v>947</v>
      </c>
      <c r="F26" s="707">
        <v>997</v>
      </c>
      <c r="G26" s="707">
        <v>787</v>
      </c>
      <c r="H26" s="707">
        <v>724</v>
      </c>
      <c r="I26" s="707">
        <v>774</v>
      </c>
      <c r="J26" s="707">
        <v>660</v>
      </c>
      <c r="K26" s="708">
        <v>594</v>
      </c>
      <c r="L26" s="708">
        <v>567</v>
      </c>
      <c r="M26" s="708">
        <v>677</v>
      </c>
      <c r="N26" s="708">
        <v>652</v>
      </c>
      <c r="O26" s="708">
        <v>635</v>
      </c>
      <c r="P26" s="708">
        <v>558</v>
      </c>
      <c r="Q26" s="708">
        <v>559</v>
      </c>
      <c r="R26" s="708">
        <v>532.44000000000005</v>
      </c>
      <c r="S26" s="708">
        <v>516</v>
      </c>
      <c r="T26" s="707">
        <v>442</v>
      </c>
      <c r="U26" s="709">
        <v>407</v>
      </c>
      <c r="V26" s="709">
        <v>419</v>
      </c>
      <c r="W26" s="709">
        <v>316</v>
      </c>
      <c r="X26" s="709">
        <v>254</v>
      </c>
      <c r="Y26" s="709">
        <v>218</v>
      </c>
      <c r="Z26" s="709">
        <v>179</v>
      </c>
      <c r="AA26" s="709">
        <v>177</v>
      </c>
      <c r="AB26" s="709">
        <v>179</v>
      </c>
      <c r="AC26" s="709">
        <v>212</v>
      </c>
      <c r="AD26" s="710">
        <v>188</v>
      </c>
      <c r="AE26" s="710">
        <v>158</v>
      </c>
      <c r="AF26" s="710">
        <v>136</v>
      </c>
      <c r="AG26" s="687">
        <v>-15.957446808510639</v>
      </c>
      <c r="AH26" s="687">
        <v>-71.68458781362007</v>
      </c>
      <c r="AI26" s="213" t="s">
        <v>72</v>
      </c>
      <c r="AM26" s="1066">
        <v>136</v>
      </c>
      <c r="AN26" s="1061" t="e">
        <f t="shared" si="0"/>
        <v>#DIV/0!</v>
      </c>
      <c r="AO26" s="1062">
        <f t="shared" si="1"/>
        <v>871.42857142857133</v>
      </c>
      <c r="AP26" s="946" t="s">
        <v>72</v>
      </c>
    </row>
    <row r="27" spans="1:42">
      <c r="A27" s="212"/>
      <c r="B27" s="213" t="s">
        <v>78</v>
      </c>
      <c r="C27" s="704" t="s">
        <v>99</v>
      </c>
      <c r="D27" s="705" t="s">
        <v>99</v>
      </c>
      <c r="E27" s="706">
        <v>4</v>
      </c>
      <c r="F27" s="707">
        <v>16</v>
      </c>
      <c r="G27" s="707">
        <v>11</v>
      </c>
      <c r="H27" s="707">
        <v>14</v>
      </c>
      <c r="I27" s="707">
        <v>6</v>
      </c>
      <c r="J27" s="707">
        <v>14</v>
      </c>
      <c r="K27" s="708">
        <v>19</v>
      </c>
      <c r="L27" s="708">
        <v>18</v>
      </c>
      <c r="M27" s="708">
        <v>17</v>
      </c>
      <c r="N27" s="708">
        <v>4</v>
      </c>
      <c r="O27" s="708">
        <v>15</v>
      </c>
      <c r="P27" s="708">
        <v>16</v>
      </c>
      <c r="Q27" s="708">
        <v>16</v>
      </c>
      <c r="R27" s="708">
        <v>16</v>
      </c>
      <c r="S27" s="708">
        <v>13</v>
      </c>
      <c r="T27" s="707">
        <v>17</v>
      </c>
      <c r="U27" s="709">
        <v>11</v>
      </c>
      <c r="V27" s="709">
        <v>14</v>
      </c>
      <c r="W27" s="709">
        <v>15</v>
      </c>
      <c r="X27" s="709">
        <v>21</v>
      </c>
      <c r="Y27" s="709">
        <v>13</v>
      </c>
      <c r="Z27" s="709">
        <v>16</v>
      </c>
      <c r="AA27" s="709">
        <v>9</v>
      </c>
      <c r="AB27" s="709">
        <v>17</v>
      </c>
      <c r="AC27" s="709">
        <v>10</v>
      </c>
      <c r="AD27" s="710">
        <v>11</v>
      </c>
      <c r="AE27" s="710">
        <v>23</v>
      </c>
      <c r="AF27" s="710">
        <v>19</v>
      </c>
      <c r="AG27" s="687">
        <v>109.09090909090909</v>
      </c>
      <c r="AH27" s="687">
        <v>43.75</v>
      </c>
      <c r="AI27" s="213" t="s">
        <v>78</v>
      </c>
      <c r="AM27" s="1066">
        <v>19</v>
      </c>
      <c r="AN27" s="1061" t="e">
        <f t="shared" si="0"/>
        <v>#DIV/0!</v>
      </c>
      <c r="AO27" s="1062">
        <f t="shared" si="1"/>
        <v>-97.320169252468261</v>
      </c>
      <c r="AP27" s="946" t="s">
        <v>78</v>
      </c>
    </row>
    <row r="28" spans="1:42">
      <c r="A28" s="212"/>
      <c r="B28" s="221" t="s">
        <v>16</v>
      </c>
      <c r="C28" s="698">
        <v>3181</v>
      </c>
      <c r="D28" s="699">
        <v>1997</v>
      </c>
      <c r="E28" s="700">
        <v>1376</v>
      </c>
      <c r="F28" s="691">
        <v>1281</v>
      </c>
      <c r="G28" s="691">
        <v>1253</v>
      </c>
      <c r="H28" s="691">
        <v>1235</v>
      </c>
      <c r="I28" s="691">
        <v>1298</v>
      </c>
      <c r="J28" s="691">
        <v>1334</v>
      </c>
      <c r="K28" s="692">
        <v>1180</v>
      </c>
      <c r="L28" s="692">
        <v>1163</v>
      </c>
      <c r="M28" s="692">
        <v>1066</v>
      </c>
      <c r="N28" s="692">
        <v>1090</v>
      </c>
      <c r="O28" s="692">
        <v>1082</v>
      </c>
      <c r="P28" s="692">
        <v>993</v>
      </c>
      <c r="Q28" s="692">
        <v>987</v>
      </c>
      <c r="R28" s="692">
        <v>1028</v>
      </c>
      <c r="S28" s="692">
        <v>804</v>
      </c>
      <c r="T28" s="691">
        <v>750</v>
      </c>
      <c r="U28" s="679">
        <v>730</v>
      </c>
      <c r="V28" s="679">
        <v>709</v>
      </c>
      <c r="W28" s="679">
        <v>677</v>
      </c>
      <c r="X28" s="679">
        <v>644</v>
      </c>
      <c r="Y28" s="679">
        <v>537</v>
      </c>
      <c r="Z28" s="679">
        <v>546</v>
      </c>
      <c r="AA28" s="679">
        <v>562</v>
      </c>
      <c r="AB28" s="679">
        <v>476</v>
      </c>
      <c r="AC28" s="679">
        <v>477</v>
      </c>
      <c r="AD28" s="680">
        <v>531</v>
      </c>
      <c r="AE28" s="680">
        <v>533</v>
      </c>
      <c r="AF28" s="680">
        <v>535</v>
      </c>
      <c r="AG28" s="681">
        <v>0.37664783427496218</v>
      </c>
      <c r="AH28" s="681">
        <v>-46.324269889224567</v>
      </c>
      <c r="AI28" s="221" t="s">
        <v>16</v>
      </c>
      <c r="AM28" s="1058">
        <v>535</v>
      </c>
      <c r="AN28" s="1063" t="e">
        <f t="shared" si="0"/>
        <v>#DIV/0!</v>
      </c>
      <c r="AO28" s="1059">
        <f t="shared" si="1"/>
        <v>-90.417338348558118</v>
      </c>
      <c r="AP28" s="767" t="s">
        <v>16</v>
      </c>
    </row>
    <row r="29" spans="1:42">
      <c r="A29" s="212"/>
      <c r="B29" s="221" t="s">
        <v>80</v>
      </c>
      <c r="C29" s="698" t="s">
        <v>99</v>
      </c>
      <c r="D29" s="699" t="s">
        <v>99</v>
      </c>
      <c r="E29" s="700">
        <v>7333</v>
      </c>
      <c r="F29" s="691">
        <v>7901</v>
      </c>
      <c r="G29" s="691">
        <v>6946</v>
      </c>
      <c r="H29" s="691">
        <v>6341</v>
      </c>
      <c r="I29" s="691">
        <v>6744</v>
      </c>
      <c r="J29" s="691">
        <v>6900</v>
      </c>
      <c r="K29" s="692">
        <v>6359</v>
      </c>
      <c r="L29" s="692">
        <v>7310</v>
      </c>
      <c r="M29" s="692">
        <v>7080</v>
      </c>
      <c r="N29" s="692">
        <v>6730</v>
      </c>
      <c r="O29" s="692">
        <v>6294</v>
      </c>
      <c r="P29" s="692">
        <v>5534</v>
      </c>
      <c r="Q29" s="692">
        <v>5826</v>
      </c>
      <c r="R29" s="692">
        <v>5642</v>
      </c>
      <c r="S29" s="692">
        <v>5712</v>
      </c>
      <c r="T29" s="691">
        <v>5444</v>
      </c>
      <c r="U29" s="679">
        <v>5243</v>
      </c>
      <c r="V29" s="679">
        <v>5583</v>
      </c>
      <c r="W29" s="679">
        <v>5437</v>
      </c>
      <c r="X29" s="679">
        <v>4572</v>
      </c>
      <c r="Y29" s="679">
        <v>3908</v>
      </c>
      <c r="Z29" s="679">
        <v>4189</v>
      </c>
      <c r="AA29" s="679">
        <v>3571</v>
      </c>
      <c r="AB29" s="679">
        <v>3357</v>
      </c>
      <c r="AC29" s="679">
        <v>3202</v>
      </c>
      <c r="AD29" s="680">
        <v>2938</v>
      </c>
      <c r="AE29" s="680">
        <v>3026</v>
      </c>
      <c r="AF29" s="680">
        <v>2831</v>
      </c>
      <c r="AG29" s="681">
        <v>2.9952348536419322</v>
      </c>
      <c r="AH29" s="681">
        <v>-45.319840983014089</v>
      </c>
      <c r="AI29" s="221" t="s">
        <v>80</v>
      </c>
      <c r="AM29" s="1058">
        <v>2831</v>
      </c>
      <c r="AN29" s="1063" t="e">
        <f t="shared" si="0"/>
        <v>#DIV/0!</v>
      </c>
      <c r="AO29" s="1059">
        <f t="shared" si="1"/>
        <v>190.78844652615146</v>
      </c>
      <c r="AP29" s="767" t="s">
        <v>80</v>
      </c>
    </row>
    <row r="30" spans="1:42">
      <c r="A30" s="212"/>
      <c r="B30" s="213" t="s">
        <v>92</v>
      </c>
      <c r="C30" s="704">
        <v>1842</v>
      </c>
      <c r="D30" s="705">
        <v>2941</v>
      </c>
      <c r="E30" s="706">
        <v>2646</v>
      </c>
      <c r="F30" s="707">
        <v>3217</v>
      </c>
      <c r="G30" s="707">
        <v>3086</v>
      </c>
      <c r="H30" s="707">
        <v>2701</v>
      </c>
      <c r="I30" s="707">
        <v>2505</v>
      </c>
      <c r="J30" s="707">
        <v>2711</v>
      </c>
      <c r="K30" s="708">
        <v>2730</v>
      </c>
      <c r="L30" s="708">
        <v>2521</v>
      </c>
      <c r="M30" s="708">
        <v>2126</v>
      </c>
      <c r="N30" s="708">
        <v>2028</v>
      </c>
      <c r="O30" s="708">
        <v>1877</v>
      </c>
      <c r="P30" s="708">
        <v>1670</v>
      </c>
      <c r="Q30" s="708">
        <v>1655</v>
      </c>
      <c r="R30" s="708">
        <v>1542</v>
      </c>
      <c r="S30" s="708">
        <v>1294</v>
      </c>
      <c r="T30" s="707">
        <v>1247</v>
      </c>
      <c r="U30" s="709">
        <v>969</v>
      </c>
      <c r="V30" s="709">
        <v>973.56</v>
      </c>
      <c r="W30" s="709">
        <v>884.64</v>
      </c>
      <c r="X30" s="709">
        <v>840</v>
      </c>
      <c r="Y30" s="709">
        <v>937</v>
      </c>
      <c r="Z30" s="709">
        <v>891</v>
      </c>
      <c r="AA30" s="709">
        <v>718</v>
      </c>
      <c r="AB30" s="709">
        <v>637</v>
      </c>
      <c r="AC30" s="709">
        <v>638</v>
      </c>
      <c r="AD30" s="710">
        <v>593</v>
      </c>
      <c r="AE30" s="710">
        <v>563</v>
      </c>
      <c r="AF30" s="710">
        <v>602</v>
      </c>
      <c r="AG30" s="687">
        <v>-5.0590219224283288</v>
      </c>
      <c r="AH30" s="687">
        <v>-66.287425149700596</v>
      </c>
      <c r="AI30" s="213" t="s">
        <v>92</v>
      </c>
      <c r="AM30" s="1066">
        <v>602</v>
      </c>
      <c r="AN30" s="1061" t="e">
        <f t="shared" si="0"/>
        <v>#DIV/0!</v>
      </c>
      <c r="AO30" s="1062">
        <f t="shared" si="1"/>
        <v>-78.5</v>
      </c>
      <c r="AP30" s="946" t="s">
        <v>92</v>
      </c>
    </row>
    <row r="31" spans="1:42">
      <c r="A31" s="212"/>
      <c r="B31" s="221" t="s">
        <v>101</v>
      </c>
      <c r="C31" s="701"/>
      <c r="D31" s="702"/>
      <c r="E31" s="700">
        <v>3782</v>
      </c>
      <c r="F31" s="691">
        <v>3078</v>
      </c>
      <c r="G31" s="691">
        <v>2816</v>
      </c>
      <c r="H31" s="691">
        <v>2826</v>
      </c>
      <c r="I31" s="691">
        <v>2877</v>
      </c>
      <c r="J31" s="691">
        <v>2845</v>
      </c>
      <c r="K31" s="692">
        <v>2845</v>
      </c>
      <c r="L31" s="692">
        <v>2863</v>
      </c>
      <c r="M31" s="692">
        <v>2778</v>
      </c>
      <c r="N31" s="692">
        <v>2505</v>
      </c>
      <c r="O31" s="692">
        <v>2466</v>
      </c>
      <c r="P31" s="692">
        <v>2450</v>
      </c>
      <c r="Q31" s="692">
        <v>2411</v>
      </c>
      <c r="R31" s="692">
        <v>2229</v>
      </c>
      <c r="S31" s="692">
        <v>2442</v>
      </c>
      <c r="T31" s="691">
        <v>2629</v>
      </c>
      <c r="U31" s="691">
        <v>2587</v>
      </c>
      <c r="V31" s="691">
        <v>2800</v>
      </c>
      <c r="W31" s="691">
        <v>3061</v>
      </c>
      <c r="X31" s="691">
        <v>2796</v>
      </c>
      <c r="Y31" s="691">
        <v>2377</v>
      </c>
      <c r="Z31" s="691">
        <v>2018</v>
      </c>
      <c r="AA31" s="691">
        <v>2042</v>
      </c>
      <c r="AB31" s="691">
        <v>1861</v>
      </c>
      <c r="AC31" s="691">
        <v>1818</v>
      </c>
      <c r="AD31" s="703">
        <v>1893</v>
      </c>
      <c r="AE31" s="703">
        <v>1915</v>
      </c>
      <c r="AF31" s="703">
        <v>1951</v>
      </c>
      <c r="AG31" s="681">
        <v>1.1621764395139991</v>
      </c>
      <c r="AH31" s="681">
        <v>-21.836734693877546</v>
      </c>
      <c r="AI31" s="221" t="s">
        <v>101</v>
      </c>
      <c r="AM31" s="1065">
        <v>1951</v>
      </c>
      <c r="AN31" s="1063" t="e">
        <f t="shared" si="0"/>
        <v>#DIV/0!</v>
      </c>
      <c r="AO31" s="1059">
        <f t="shared" si="1"/>
        <v>314.2250530785563</v>
      </c>
      <c r="AP31" s="767" t="s">
        <v>101</v>
      </c>
    </row>
    <row r="32" spans="1:42">
      <c r="A32" s="212"/>
      <c r="B32" s="221" t="s">
        <v>88</v>
      </c>
      <c r="C32" s="698">
        <v>1307</v>
      </c>
      <c r="D32" s="699">
        <v>848</v>
      </c>
      <c r="E32" s="700">
        <v>772</v>
      </c>
      <c r="F32" s="691">
        <v>745</v>
      </c>
      <c r="G32" s="691">
        <v>759</v>
      </c>
      <c r="H32" s="691">
        <v>632</v>
      </c>
      <c r="I32" s="691">
        <v>589</v>
      </c>
      <c r="J32" s="691">
        <v>572</v>
      </c>
      <c r="K32" s="692">
        <v>537</v>
      </c>
      <c r="L32" s="692">
        <v>541</v>
      </c>
      <c r="M32" s="692">
        <v>531</v>
      </c>
      <c r="N32" s="692">
        <v>580</v>
      </c>
      <c r="O32" s="692">
        <v>591</v>
      </c>
      <c r="P32" s="692">
        <v>583</v>
      </c>
      <c r="Q32" s="692">
        <v>560</v>
      </c>
      <c r="R32" s="692">
        <v>529</v>
      </c>
      <c r="S32" s="692">
        <v>480</v>
      </c>
      <c r="T32" s="691">
        <v>440</v>
      </c>
      <c r="U32" s="679">
        <v>445</v>
      </c>
      <c r="V32" s="679">
        <v>471</v>
      </c>
      <c r="W32" s="679">
        <v>397</v>
      </c>
      <c r="X32" s="679">
        <v>358</v>
      </c>
      <c r="Y32" s="679">
        <v>266</v>
      </c>
      <c r="Z32" s="679">
        <v>319</v>
      </c>
      <c r="AA32" s="679">
        <v>285</v>
      </c>
      <c r="AB32" s="679">
        <v>260</v>
      </c>
      <c r="AC32" s="679">
        <v>270</v>
      </c>
      <c r="AD32" s="680">
        <v>259</v>
      </c>
      <c r="AE32" s="680">
        <v>270</v>
      </c>
      <c r="AF32" s="680">
        <v>253</v>
      </c>
      <c r="AG32" s="681">
        <v>4.2471042471042324</v>
      </c>
      <c r="AH32" s="681">
        <v>-53.687821612349914</v>
      </c>
      <c r="AI32" s="221" t="s">
        <v>88</v>
      </c>
      <c r="AM32" s="1058">
        <v>253</v>
      </c>
      <c r="AN32" s="1063" t="e">
        <f t="shared" si="0"/>
        <v>#DIV/0!</v>
      </c>
      <c r="AO32" s="1059">
        <f t="shared" si="1"/>
        <v>-13.651877133105799</v>
      </c>
      <c r="AP32" s="767" t="s">
        <v>88</v>
      </c>
    </row>
    <row r="33" spans="1:42">
      <c r="A33" s="212"/>
      <c r="B33" s="213" t="s">
        <v>83</v>
      </c>
      <c r="C33" s="704" t="s">
        <v>99</v>
      </c>
      <c r="D33" s="705" t="s">
        <v>99</v>
      </c>
      <c r="E33" s="706">
        <v>517</v>
      </c>
      <c r="F33" s="707">
        <v>462</v>
      </c>
      <c r="G33" s="707">
        <v>493</v>
      </c>
      <c r="H33" s="707">
        <v>493</v>
      </c>
      <c r="I33" s="707">
        <v>505</v>
      </c>
      <c r="J33" s="707">
        <v>415</v>
      </c>
      <c r="K33" s="707">
        <v>389</v>
      </c>
      <c r="L33" s="707">
        <v>357</v>
      </c>
      <c r="M33" s="707">
        <v>309</v>
      </c>
      <c r="N33" s="707">
        <v>334</v>
      </c>
      <c r="O33" s="707">
        <v>314</v>
      </c>
      <c r="P33" s="707">
        <v>278</v>
      </c>
      <c r="Q33" s="707">
        <v>269</v>
      </c>
      <c r="R33" s="707">
        <v>242</v>
      </c>
      <c r="S33" s="707">
        <v>274</v>
      </c>
      <c r="T33" s="707">
        <v>258</v>
      </c>
      <c r="U33" s="709">
        <v>262</v>
      </c>
      <c r="V33" s="709">
        <v>293</v>
      </c>
      <c r="W33" s="709">
        <v>214</v>
      </c>
      <c r="X33" s="709">
        <v>171</v>
      </c>
      <c r="Y33" s="709">
        <v>138</v>
      </c>
      <c r="Z33" s="709">
        <v>141</v>
      </c>
      <c r="AA33" s="709">
        <v>130</v>
      </c>
      <c r="AB33" s="709">
        <v>125</v>
      </c>
      <c r="AC33" s="709">
        <v>108</v>
      </c>
      <c r="AD33" s="710">
        <v>120</v>
      </c>
      <c r="AE33" s="710">
        <v>130</v>
      </c>
      <c r="AF33" s="710">
        <v>104</v>
      </c>
      <c r="AG33" s="687">
        <v>8.3333333333333286</v>
      </c>
      <c r="AH33" s="687">
        <v>-53.237410071942449</v>
      </c>
      <c r="AI33" s="213" t="s">
        <v>83</v>
      </c>
      <c r="AM33" s="1066">
        <v>104</v>
      </c>
      <c r="AN33" s="1061" t="e">
        <f t="shared" si="0"/>
        <v>#DIV/0!</v>
      </c>
      <c r="AO33" s="1062">
        <f t="shared" si="1"/>
        <v>-84.407796101949032</v>
      </c>
      <c r="AP33" s="946" t="s">
        <v>83</v>
      </c>
    </row>
    <row r="34" spans="1:42">
      <c r="A34" s="212"/>
      <c r="B34" s="221" t="s">
        <v>85</v>
      </c>
      <c r="C34" s="688"/>
      <c r="D34" s="689"/>
      <c r="E34" s="690">
        <v>731</v>
      </c>
      <c r="F34" s="691">
        <v>614</v>
      </c>
      <c r="G34" s="691">
        <v>677</v>
      </c>
      <c r="H34" s="691">
        <v>584</v>
      </c>
      <c r="I34" s="691">
        <v>633</v>
      </c>
      <c r="J34" s="691">
        <v>660</v>
      </c>
      <c r="K34" s="692">
        <v>616</v>
      </c>
      <c r="L34" s="692">
        <v>788</v>
      </c>
      <c r="M34" s="692">
        <v>819</v>
      </c>
      <c r="N34" s="692">
        <v>647</v>
      </c>
      <c r="O34" s="692">
        <v>628</v>
      </c>
      <c r="P34" s="692">
        <v>614</v>
      </c>
      <c r="Q34" s="692">
        <v>610</v>
      </c>
      <c r="R34" s="692">
        <v>645</v>
      </c>
      <c r="S34" s="692">
        <v>603</v>
      </c>
      <c r="T34" s="691">
        <v>606</v>
      </c>
      <c r="U34" s="679">
        <v>614</v>
      </c>
      <c r="V34" s="679">
        <v>667</v>
      </c>
      <c r="W34" s="679">
        <v>622</v>
      </c>
      <c r="X34" s="679">
        <v>380</v>
      </c>
      <c r="Y34" s="679">
        <v>353</v>
      </c>
      <c r="Z34" s="679">
        <v>328</v>
      </c>
      <c r="AA34" s="679">
        <v>352</v>
      </c>
      <c r="AB34" s="679">
        <v>251</v>
      </c>
      <c r="AC34" s="679">
        <v>291</v>
      </c>
      <c r="AD34" s="680">
        <v>310</v>
      </c>
      <c r="AE34" s="680">
        <v>275</v>
      </c>
      <c r="AF34" s="680">
        <v>276</v>
      </c>
      <c r="AG34" s="681">
        <v>-11.290322580645167</v>
      </c>
      <c r="AH34" s="681">
        <v>-55.211726384364823</v>
      </c>
      <c r="AI34" s="221" t="s">
        <v>85</v>
      </c>
      <c r="AM34" s="1058">
        <v>276</v>
      </c>
      <c r="AN34" s="1063" t="e">
        <f t="shared" si="0"/>
        <v>#DIV/0!</v>
      </c>
      <c r="AO34" s="1059">
        <f t="shared" si="1"/>
        <v>-90.977443609022558</v>
      </c>
      <c r="AP34" s="767" t="s">
        <v>85</v>
      </c>
    </row>
    <row r="35" spans="1:42">
      <c r="A35" s="212"/>
      <c r="B35" s="213" t="s">
        <v>13</v>
      </c>
      <c r="C35" s="704">
        <v>7770</v>
      </c>
      <c r="D35" s="705">
        <v>6240</v>
      </c>
      <c r="E35" s="706">
        <v>5402</v>
      </c>
      <c r="F35" s="707">
        <v>4753</v>
      </c>
      <c r="G35" s="707">
        <v>4379</v>
      </c>
      <c r="H35" s="707">
        <v>3957</v>
      </c>
      <c r="I35" s="707">
        <v>3807</v>
      </c>
      <c r="J35" s="707">
        <v>3765</v>
      </c>
      <c r="K35" s="708">
        <v>3740</v>
      </c>
      <c r="L35" s="708">
        <v>3743</v>
      </c>
      <c r="M35" s="708">
        <v>3581</v>
      </c>
      <c r="N35" s="708">
        <v>3564</v>
      </c>
      <c r="O35" s="708">
        <v>3580</v>
      </c>
      <c r="P35" s="708">
        <v>3598</v>
      </c>
      <c r="Q35" s="708">
        <v>3581</v>
      </c>
      <c r="R35" s="708">
        <v>3658</v>
      </c>
      <c r="S35" s="708">
        <v>3368</v>
      </c>
      <c r="T35" s="707">
        <v>3336</v>
      </c>
      <c r="U35" s="709">
        <v>3298</v>
      </c>
      <c r="V35" s="709">
        <v>3059</v>
      </c>
      <c r="W35" s="709">
        <v>2645</v>
      </c>
      <c r="X35" s="709">
        <v>2337</v>
      </c>
      <c r="Y35" s="709">
        <v>1905</v>
      </c>
      <c r="Z35" s="709">
        <v>1960</v>
      </c>
      <c r="AA35" s="709">
        <v>1802</v>
      </c>
      <c r="AB35" s="709">
        <v>1770</v>
      </c>
      <c r="AC35" s="709">
        <v>1854</v>
      </c>
      <c r="AD35" s="710">
        <v>1804</v>
      </c>
      <c r="AE35" s="742">
        <v>1860</v>
      </c>
      <c r="AF35" s="742">
        <v>1856</v>
      </c>
      <c r="AG35" s="711">
        <v>3.1042128603104118</v>
      </c>
      <c r="AH35" s="687">
        <v>-48.304613674263472</v>
      </c>
      <c r="AI35" s="213" t="s">
        <v>13</v>
      </c>
      <c r="AM35" s="1066">
        <v>1856</v>
      </c>
      <c r="AN35" s="1067" t="e">
        <f t="shared" si="0"/>
        <v>#DIV/0!</v>
      </c>
      <c r="AO35" s="1068">
        <f t="shared" si="1"/>
        <v>383.33333333333331</v>
      </c>
      <c r="AP35" s="946" t="s">
        <v>13</v>
      </c>
    </row>
    <row r="36" spans="1:42">
      <c r="A36" s="212"/>
      <c r="B36" s="251" t="s">
        <v>270</v>
      </c>
      <c r="C36" s="674"/>
      <c r="D36" s="675"/>
      <c r="E36" s="676"/>
      <c r="F36" s="677"/>
      <c r="G36" s="677"/>
      <c r="H36" s="677"/>
      <c r="I36" s="677"/>
      <c r="J36" s="677">
        <v>306</v>
      </c>
      <c r="K36" s="677">
        <v>257</v>
      </c>
      <c r="L36" s="677">
        <v>266</v>
      </c>
      <c r="M36" s="677">
        <v>308</v>
      </c>
      <c r="N36" s="677">
        <v>274</v>
      </c>
      <c r="O36" s="677">
        <v>280</v>
      </c>
      <c r="P36" s="677">
        <v>297</v>
      </c>
      <c r="Q36" s="677">
        <v>250</v>
      </c>
      <c r="R36" s="677">
        <v>264</v>
      </c>
      <c r="S36" s="677">
        <v>315</v>
      </c>
      <c r="T36" s="677">
        <v>307</v>
      </c>
      <c r="U36" s="678">
        <v>277</v>
      </c>
      <c r="V36" s="678">
        <v>384</v>
      </c>
      <c r="W36" s="678">
        <v>303</v>
      </c>
      <c r="X36" s="678">
        <v>378</v>
      </c>
      <c r="Y36" s="678">
        <v>352</v>
      </c>
      <c r="Z36" s="678">
        <v>322</v>
      </c>
      <c r="AA36" s="678">
        <v>334</v>
      </c>
      <c r="AB36" s="678">
        <v>295</v>
      </c>
      <c r="AC36" s="678">
        <v>264</v>
      </c>
      <c r="AD36" s="678">
        <v>270</v>
      </c>
      <c r="AE36" s="679"/>
      <c r="AF36" s="679"/>
      <c r="AG36" s="681">
        <f>AD36/AC36*100-100</f>
        <v>2.2727272727272663</v>
      </c>
      <c r="AH36" s="712">
        <f>AD36/P36*100-100</f>
        <v>-9.0909090909090935</v>
      </c>
      <c r="AI36" s="251" t="s">
        <v>270</v>
      </c>
      <c r="AM36" s="1069">
        <v>222</v>
      </c>
      <c r="AN36" s="1063" t="e">
        <f t="shared" si="0"/>
        <v>#DIV/0!</v>
      </c>
      <c r="AO36" s="1059" t="e">
        <f t="shared" si="1"/>
        <v>#DIV/0!</v>
      </c>
      <c r="AP36" s="916" t="s">
        <v>270</v>
      </c>
    </row>
    <row r="37" spans="1:42">
      <c r="A37" s="212"/>
      <c r="B37" s="213" t="s">
        <v>223</v>
      </c>
      <c r="C37" s="713"/>
      <c r="D37" s="714"/>
      <c r="E37" s="706"/>
      <c r="F37" s="707"/>
      <c r="G37" s="707"/>
      <c r="H37" s="707"/>
      <c r="I37" s="707"/>
      <c r="J37" s="707"/>
      <c r="K37" s="707"/>
      <c r="L37" s="707"/>
      <c r="M37" s="707"/>
      <c r="N37" s="707"/>
      <c r="O37" s="707"/>
      <c r="P37" s="707"/>
      <c r="Q37" s="707"/>
      <c r="R37" s="707"/>
      <c r="S37" s="707"/>
      <c r="T37" s="707"/>
      <c r="U37" s="707"/>
      <c r="V37" s="707"/>
      <c r="W37" s="707"/>
      <c r="X37" s="707"/>
      <c r="Y37" s="707">
        <v>95</v>
      </c>
      <c r="Z37" s="707">
        <v>58</v>
      </c>
      <c r="AA37" s="707">
        <v>46</v>
      </c>
      <c r="AB37" s="707">
        <v>74</v>
      </c>
      <c r="AC37" s="707">
        <v>65</v>
      </c>
      <c r="AD37" s="707">
        <v>51</v>
      </c>
      <c r="AE37" s="707"/>
      <c r="AF37" s="707"/>
      <c r="AG37" s="687">
        <f>AD37/AC37*100-100</f>
        <v>-21.538461538461533</v>
      </c>
      <c r="AH37" s="715"/>
      <c r="AI37" s="213" t="s">
        <v>223</v>
      </c>
      <c r="AM37" s="1070">
        <v>63</v>
      </c>
      <c r="AN37" s="1061" t="e">
        <f t="shared" si="0"/>
        <v>#DIV/0!</v>
      </c>
      <c r="AO37" s="1062"/>
      <c r="AP37" s="946" t="s">
        <v>223</v>
      </c>
    </row>
    <row r="38" spans="1:42">
      <c r="A38" s="212"/>
      <c r="B38" s="221" t="s">
        <v>145</v>
      </c>
      <c r="C38" s="701"/>
      <c r="D38" s="702"/>
      <c r="E38" s="700"/>
      <c r="F38" s="691"/>
      <c r="G38" s="691"/>
      <c r="H38" s="691"/>
      <c r="I38" s="691"/>
      <c r="J38" s="691"/>
      <c r="K38" s="691"/>
      <c r="L38" s="691"/>
      <c r="M38" s="691"/>
      <c r="N38" s="691"/>
      <c r="O38" s="691">
        <v>162</v>
      </c>
      <c r="P38" s="691">
        <v>107</v>
      </c>
      <c r="Q38" s="691">
        <v>176</v>
      </c>
      <c r="R38" s="691">
        <v>118</v>
      </c>
      <c r="S38" s="691">
        <v>155</v>
      </c>
      <c r="T38" s="691">
        <v>143</v>
      </c>
      <c r="U38" s="691">
        <v>140</v>
      </c>
      <c r="V38" s="691">
        <v>173</v>
      </c>
      <c r="W38" s="691">
        <v>162</v>
      </c>
      <c r="X38" s="691">
        <v>160</v>
      </c>
      <c r="Y38" s="691">
        <v>162</v>
      </c>
      <c r="Z38" s="691">
        <v>172</v>
      </c>
      <c r="AA38" s="691">
        <v>132</v>
      </c>
      <c r="AB38" s="691">
        <v>198</v>
      </c>
      <c r="AC38" s="691">
        <v>130</v>
      </c>
      <c r="AD38" s="691">
        <v>148</v>
      </c>
      <c r="AE38" s="691"/>
      <c r="AF38" s="691"/>
      <c r="AG38" s="681">
        <f>AD38/AC38*100-100</f>
        <v>13.84615384615384</v>
      </c>
      <c r="AH38" s="681">
        <f>AD38/P38*100-100</f>
        <v>38.317757009345797</v>
      </c>
      <c r="AI38" s="221" t="s">
        <v>145</v>
      </c>
      <c r="AM38" s="1071">
        <v>155</v>
      </c>
      <c r="AN38" s="1063" t="e">
        <f t="shared" si="0"/>
        <v>#DIV/0!</v>
      </c>
      <c r="AO38" s="1059" t="e">
        <f>AM38/V39*100-100</f>
        <v>#DIV/0!</v>
      </c>
      <c r="AP38" s="767" t="s">
        <v>145</v>
      </c>
    </row>
    <row r="39" spans="1:42">
      <c r="A39" s="212"/>
      <c r="B39" s="213" t="s">
        <v>224</v>
      </c>
      <c r="C39" s="713"/>
      <c r="D39" s="714"/>
      <c r="E39" s="706"/>
      <c r="F39" s="707"/>
      <c r="G39" s="707"/>
      <c r="H39" s="707"/>
      <c r="I39" s="707"/>
      <c r="J39" s="707"/>
      <c r="K39" s="707"/>
      <c r="L39" s="707"/>
      <c r="M39" s="707"/>
      <c r="N39" s="707"/>
      <c r="O39" s="707"/>
      <c r="P39" s="707"/>
      <c r="Q39" s="707"/>
      <c r="R39" s="707"/>
      <c r="S39" s="707"/>
      <c r="T39" s="707"/>
      <c r="U39" s="707"/>
      <c r="V39" s="707"/>
      <c r="W39" s="707"/>
      <c r="X39" s="707"/>
      <c r="Y39" s="707">
        <v>656</v>
      </c>
      <c r="Z39" s="707">
        <v>728</v>
      </c>
      <c r="AA39" s="707">
        <v>668</v>
      </c>
      <c r="AB39" s="707">
        <v>631</v>
      </c>
      <c r="AC39" s="707">
        <v>536</v>
      </c>
      <c r="AD39" s="707">
        <v>601</v>
      </c>
      <c r="AE39" s="707"/>
      <c r="AF39" s="707"/>
      <c r="AG39" s="687">
        <f>AD39/AC39*100-100</f>
        <v>12.126865671641781</v>
      </c>
      <c r="AH39" s="715"/>
      <c r="AI39" s="213" t="s">
        <v>224</v>
      </c>
      <c r="AM39" s="1070">
        <v>578</v>
      </c>
      <c r="AN39" s="1061" t="e">
        <f t="shared" si="0"/>
        <v>#DIV/0!</v>
      </c>
      <c r="AO39" s="1062"/>
      <c r="AP39" s="946" t="s">
        <v>224</v>
      </c>
    </row>
    <row r="40" spans="1:42">
      <c r="A40" s="212"/>
      <c r="B40" s="221" t="s">
        <v>146</v>
      </c>
      <c r="C40" s="698">
        <v>3978</v>
      </c>
      <c r="D40" s="699">
        <v>4100</v>
      </c>
      <c r="E40" s="700">
        <v>6317</v>
      </c>
      <c r="F40" s="691">
        <v>6231</v>
      </c>
      <c r="G40" s="691">
        <v>6214</v>
      </c>
      <c r="H40" s="691">
        <v>6457</v>
      </c>
      <c r="I40" s="691">
        <v>5942</v>
      </c>
      <c r="J40" s="691">
        <v>6004</v>
      </c>
      <c r="K40" s="691">
        <v>5428</v>
      </c>
      <c r="L40" s="691">
        <v>5125</v>
      </c>
      <c r="M40" s="691">
        <v>6083</v>
      </c>
      <c r="N40" s="691">
        <v>5713</v>
      </c>
      <c r="O40" s="691">
        <v>5510</v>
      </c>
      <c r="P40" s="692">
        <v>4386</v>
      </c>
      <c r="Q40" s="692">
        <v>4093</v>
      </c>
      <c r="R40" s="692">
        <v>3946</v>
      </c>
      <c r="S40" s="692">
        <v>4427</v>
      </c>
      <c r="T40" s="691">
        <v>4505</v>
      </c>
      <c r="U40" s="691">
        <v>4633</v>
      </c>
      <c r="V40" s="716">
        <v>5007</v>
      </c>
      <c r="W40" s="716">
        <v>4236</v>
      </c>
      <c r="X40" s="716">
        <v>4324</v>
      </c>
      <c r="Y40" s="716">
        <v>4045</v>
      </c>
      <c r="Z40" s="716">
        <v>3835</v>
      </c>
      <c r="AA40" s="716">
        <v>3750</v>
      </c>
      <c r="AB40" s="716">
        <v>3685</v>
      </c>
      <c r="AC40" s="716">
        <v>3524</v>
      </c>
      <c r="AD40" s="717">
        <v>7530</v>
      </c>
      <c r="AE40" s="741"/>
      <c r="AF40" s="741"/>
      <c r="AG40" s="718" t="s">
        <v>142</v>
      </c>
      <c r="AH40" s="719"/>
      <c r="AI40" s="221" t="s">
        <v>146</v>
      </c>
      <c r="AM40" s="1072">
        <v>7427</v>
      </c>
      <c r="AN40" s="1073" t="e">
        <f t="shared" si="0"/>
        <v>#DIV/0!</v>
      </c>
      <c r="AO40" s="1074">
        <f>AM40/V41*100-100</f>
        <v>49413.333333333336</v>
      </c>
      <c r="AP40" s="767" t="s">
        <v>146</v>
      </c>
    </row>
    <row r="41" spans="1:42">
      <c r="A41" s="212"/>
      <c r="B41" s="378" t="s">
        <v>147</v>
      </c>
      <c r="C41" s="720"/>
      <c r="D41" s="721"/>
      <c r="E41" s="722">
        <v>24</v>
      </c>
      <c r="F41" s="723">
        <v>27</v>
      </c>
      <c r="G41" s="723">
        <v>21</v>
      </c>
      <c r="H41" s="723">
        <v>17</v>
      </c>
      <c r="I41" s="723">
        <v>12</v>
      </c>
      <c r="J41" s="723">
        <v>24</v>
      </c>
      <c r="K41" s="723">
        <v>10</v>
      </c>
      <c r="L41" s="723">
        <v>15</v>
      </c>
      <c r="M41" s="723">
        <v>27</v>
      </c>
      <c r="N41" s="723">
        <v>21</v>
      </c>
      <c r="O41" s="723">
        <v>32</v>
      </c>
      <c r="P41" s="723">
        <v>24</v>
      </c>
      <c r="Q41" s="723">
        <v>29</v>
      </c>
      <c r="R41" s="723">
        <v>23</v>
      </c>
      <c r="S41" s="723">
        <v>23</v>
      </c>
      <c r="T41" s="723">
        <v>19</v>
      </c>
      <c r="U41" s="723">
        <v>31</v>
      </c>
      <c r="V41" s="723">
        <v>15</v>
      </c>
      <c r="W41" s="723">
        <v>12</v>
      </c>
      <c r="X41" s="707">
        <v>17</v>
      </c>
      <c r="Y41" s="707">
        <v>8</v>
      </c>
      <c r="Z41" s="707">
        <v>12</v>
      </c>
      <c r="AA41" s="707">
        <v>9</v>
      </c>
      <c r="AB41" s="707">
        <v>15</v>
      </c>
      <c r="AC41" s="707">
        <v>4</v>
      </c>
      <c r="AD41" s="724">
        <v>16</v>
      </c>
      <c r="AE41" s="724"/>
      <c r="AF41" s="724"/>
      <c r="AG41" s="687">
        <f>AD41/AC41*100-100</f>
        <v>300</v>
      </c>
      <c r="AH41" s="687">
        <f>AD41/P41*100-100</f>
        <v>-33.333333333333343</v>
      </c>
      <c r="AI41" s="378" t="s">
        <v>147</v>
      </c>
      <c r="AM41" s="1075">
        <v>16</v>
      </c>
      <c r="AN41" s="1061" t="e">
        <f t="shared" si="0"/>
        <v>#DIV/0!</v>
      </c>
      <c r="AO41" s="1062">
        <f>AM41/V42*100-100</f>
        <v>-93.133047210300433</v>
      </c>
      <c r="AP41" s="952" t="s">
        <v>147</v>
      </c>
    </row>
    <row r="42" spans="1:42">
      <c r="A42" s="212"/>
      <c r="B42" s="221" t="s">
        <v>148</v>
      </c>
      <c r="C42" s="701"/>
      <c r="D42" s="702"/>
      <c r="E42" s="700">
        <v>332</v>
      </c>
      <c r="F42" s="691">
        <v>323</v>
      </c>
      <c r="G42" s="725">
        <v>325</v>
      </c>
      <c r="H42" s="691">
        <v>281</v>
      </c>
      <c r="I42" s="691">
        <v>283</v>
      </c>
      <c r="J42" s="691">
        <v>305</v>
      </c>
      <c r="K42" s="691">
        <v>255</v>
      </c>
      <c r="L42" s="691">
        <v>303</v>
      </c>
      <c r="M42" s="691">
        <v>352</v>
      </c>
      <c r="N42" s="691">
        <v>304</v>
      </c>
      <c r="O42" s="691">
        <v>341</v>
      </c>
      <c r="P42" s="691">
        <v>275</v>
      </c>
      <c r="Q42" s="691">
        <v>310</v>
      </c>
      <c r="R42" s="691">
        <v>280</v>
      </c>
      <c r="S42" s="691">
        <v>257</v>
      </c>
      <c r="T42" s="691">
        <v>224</v>
      </c>
      <c r="U42" s="691">
        <v>242</v>
      </c>
      <c r="V42" s="691">
        <v>233</v>
      </c>
      <c r="W42" s="691">
        <v>260</v>
      </c>
      <c r="X42" s="691">
        <v>214</v>
      </c>
      <c r="Y42" s="691">
        <v>208</v>
      </c>
      <c r="Z42" s="691">
        <v>168</v>
      </c>
      <c r="AA42" s="691">
        <v>145</v>
      </c>
      <c r="AB42" s="691">
        <v>187</v>
      </c>
      <c r="AC42" s="691">
        <v>147</v>
      </c>
      <c r="AD42" s="703">
        <v>123</v>
      </c>
      <c r="AE42" s="703"/>
      <c r="AF42" s="703"/>
      <c r="AG42" s="681">
        <f>AD42/AC42*100-100</f>
        <v>-16.326530612244895</v>
      </c>
      <c r="AH42" s="681">
        <f>AD42/P42*100-100</f>
        <v>-55.272727272727273</v>
      </c>
      <c r="AI42" s="221" t="s">
        <v>148</v>
      </c>
      <c r="AM42" s="1065">
        <v>106</v>
      </c>
      <c r="AN42" s="1063" t="e">
        <f t="shared" si="0"/>
        <v>#DIV/0!</v>
      </c>
      <c r="AO42" s="1059">
        <f>AM42/V43*100-100</f>
        <v>-72.395833333333329</v>
      </c>
      <c r="AP42" s="767" t="s">
        <v>148</v>
      </c>
    </row>
    <row r="43" spans="1:42">
      <c r="A43" s="212"/>
      <c r="B43" s="217" t="s">
        <v>149</v>
      </c>
      <c r="C43" s="171">
        <v>1694</v>
      </c>
      <c r="D43" s="172">
        <v>1246</v>
      </c>
      <c r="E43" s="173">
        <v>954</v>
      </c>
      <c r="F43" s="174">
        <v>860</v>
      </c>
      <c r="G43" s="174">
        <v>834</v>
      </c>
      <c r="H43" s="174">
        <v>723</v>
      </c>
      <c r="I43" s="174">
        <v>679</v>
      </c>
      <c r="J43" s="174">
        <v>692</v>
      </c>
      <c r="K43" s="174">
        <v>616</v>
      </c>
      <c r="L43" s="174">
        <v>587</v>
      </c>
      <c r="M43" s="174">
        <v>597</v>
      </c>
      <c r="N43" s="174">
        <v>583</v>
      </c>
      <c r="O43" s="174">
        <v>592</v>
      </c>
      <c r="P43" s="174">
        <v>544</v>
      </c>
      <c r="Q43" s="174">
        <v>513</v>
      </c>
      <c r="R43" s="174">
        <v>546</v>
      </c>
      <c r="S43" s="174">
        <v>510</v>
      </c>
      <c r="T43" s="174">
        <v>409</v>
      </c>
      <c r="U43" s="726">
        <v>370</v>
      </c>
      <c r="V43" s="726">
        <v>384</v>
      </c>
      <c r="W43" s="726">
        <v>357</v>
      </c>
      <c r="X43" s="726">
        <v>349</v>
      </c>
      <c r="Y43" s="726">
        <v>328</v>
      </c>
      <c r="Z43" s="726">
        <v>320</v>
      </c>
      <c r="AA43" s="726">
        <v>339</v>
      </c>
      <c r="AB43" s="726">
        <v>269</v>
      </c>
      <c r="AC43" s="726">
        <v>243</v>
      </c>
      <c r="AD43" s="727">
        <v>253</v>
      </c>
      <c r="AE43" s="727"/>
      <c r="AF43" s="727"/>
      <c r="AG43" s="711">
        <f>AD43/AC43*100-100</f>
        <v>4.1152263374485614</v>
      </c>
      <c r="AH43" s="711">
        <f>AD43/P43*100-100</f>
        <v>-53.492647058823529</v>
      </c>
      <c r="AI43" s="217" t="s">
        <v>149</v>
      </c>
      <c r="AM43" s="1076">
        <v>230</v>
      </c>
      <c r="AN43" s="1067" t="e">
        <f t="shared" si="0"/>
        <v>#DIV/0!</v>
      </c>
      <c r="AO43" s="1068" t="e">
        <f>AM43/V44*100-100</f>
        <v>#DIV/0!</v>
      </c>
      <c r="AP43" s="956" t="s">
        <v>149</v>
      </c>
    </row>
    <row r="44" spans="1:42" ht="24.95" customHeight="1">
      <c r="B44" s="1185" t="s">
        <v>160</v>
      </c>
      <c r="C44" s="1185"/>
      <c r="D44" s="1185"/>
      <c r="E44" s="1185"/>
      <c r="F44" s="1185"/>
      <c r="G44" s="1185"/>
      <c r="H44" s="1185"/>
      <c r="I44" s="1185"/>
      <c r="J44" s="1185"/>
      <c r="K44" s="1185"/>
      <c r="L44" s="1185"/>
      <c r="M44" s="1187"/>
      <c r="N44" s="1187"/>
      <c r="O44" s="1187"/>
      <c r="P44" s="1187"/>
      <c r="Q44" s="1187"/>
      <c r="R44" s="1187"/>
      <c r="S44" s="1187"/>
      <c r="T44" s="1187"/>
      <c r="U44" s="1187"/>
      <c r="V44" s="1187"/>
      <c r="W44" s="1187"/>
      <c r="X44" s="1187"/>
      <c r="Y44" s="1187"/>
      <c r="Z44" s="1187"/>
      <c r="AA44" s="1187"/>
      <c r="AB44" s="1187"/>
      <c r="AC44" s="1187"/>
      <c r="AD44" s="1187"/>
      <c r="AE44" s="1187"/>
      <c r="AF44" s="1187"/>
      <c r="AG44" s="1187"/>
      <c r="AH44" s="1187"/>
    </row>
    <row r="45" spans="1:42" ht="10.5" customHeight="1">
      <c r="B45" s="1185" t="s">
        <v>317</v>
      </c>
      <c r="C45" s="1185"/>
      <c r="D45" s="1185"/>
      <c r="E45" s="1185"/>
      <c r="F45" s="1185"/>
      <c r="G45" s="1185"/>
      <c r="H45" s="1185"/>
      <c r="I45" s="1187"/>
      <c r="J45" s="1187"/>
      <c r="K45" s="1187"/>
      <c r="L45" s="1187"/>
      <c r="M45" s="1187"/>
      <c r="N45" s="1187"/>
      <c r="O45" s="1187"/>
      <c r="P45" s="1187"/>
      <c r="Q45" s="1187"/>
      <c r="R45" s="1187"/>
      <c r="S45" s="1187"/>
      <c r="T45" s="1187"/>
      <c r="U45" s="1187"/>
      <c r="V45" s="1187"/>
      <c r="W45" s="1187"/>
      <c r="X45" s="1187"/>
      <c r="Y45" s="1187"/>
      <c r="Z45" s="1187"/>
      <c r="AA45" s="1187"/>
      <c r="AB45" s="1187"/>
      <c r="AC45" s="1187"/>
      <c r="AD45" s="1187"/>
      <c r="AE45" s="1187"/>
      <c r="AF45" s="1187"/>
      <c r="AG45" s="1187"/>
      <c r="AH45" s="1187"/>
    </row>
    <row r="46" spans="1:42" ht="16.5" customHeight="1">
      <c r="B46" s="270"/>
    </row>
  </sheetData>
  <mergeCells count="3">
    <mergeCell ref="B2:AH2"/>
    <mergeCell ref="B44:AH44"/>
    <mergeCell ref="B45:AH45"/>
  </mergeCells>
  <printOptions horizontalCentered="1"/>
  <pageMargins left="0.6692913385826772" right="0.6692913385826772" top="0.51181102362204722" bottom="0.27559055118110237" header="0.51181102362204722" footer="0.51181102362204722"/>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zoomScaleNormal="100" workbookViewId="0">
      <selection activeCell="D8" sqref="D8"/>
    </sheetView>
  </sheetViews>
  <sheetFormatPr defaultRowHeight="12.75"/>
  <cols>
    <col min="1" max="9" width="9.140625" style="182"/>
    <col min="10" max="10" width="9.140625" style="182" customWidth="1"/>
    <col min="11" max="16384" width="9.140625" style="182"/>
  </cols>
  <sheetData>
    <row r="1" spans="1:20" ht="14.25" customHeight="1">
      <c r="A1" s="749"/>
      <c r="B1" s="750"/>
      <c r="C1" s="750"/>
      <c r="D1" s="751" t="s">
        <v>329</v>
      </c>
      <c r="E1"/>
      <c r="F1"/>
      <c r="G1"/>
      <c r="H1"/>
      <c r="I1"/>
    </row>
    <row r="2" spans="1:20" s="183" customFormat="1" ht="30" customHeight="1">
      <c r="A2" s="1128" t="s">
        <v>178</v>
      </c>
      <c r="B2" s="1128"/>
      <c r="C2" s="1128"/>
      <c r="D2" s="1128"/>
      <c r="E2"/>
      <c r="F2"/>
      <c r="G2"/>
      <c r="H2"/>
      <c r="I2"/>
    </row>
    <row r="3" spans="1:20" ht="14.25" customHeight="1">
      <c r="A3" s="753"/>
      <c r="B3" s="1129" t="s">
        <v>17</v>
      </c>
      <c r="C3" s="1130"/>
      <c r="D3" s="1129" t="s">
        <v>178</v>
      </c>
      <c r="E3" s="1130"/>
      <c r="F3"/>
      <c r="G3"/>
      <c r="H3"/>
      <c r="I3"/>
    </row>
    <row r="4" spans="1:20" ht="10.5" customHeight="1">
      <c r="A4" s="753"/>
      <c r="B4" s="1131"/>
      <c r="C4" s="1132"/>
      <c r="D4" s="1131"/>
      <c r="E4" s="1132"/>
      <c r="F4"/>
      <c r="G4"/>
      <c r="H4"/>
      <c r="I4"/>
    </row>
    <row r="5" spans="1:20" ht="12" customHeight="1">
      <c r="A5" s="753"/>
      <c r="B5" s="1083" t="s">
        <v>360</v>
      </c>
      <c r="C5" s="1084"/>
      <c r="D5" s="1085" t="s">
        <v>0</v>
      </c>
      <c r="E5" s="1082"/>
      <c r="F5"/>
      <c r="G5"/>
      <c r="H5"/>
      <c r="I5"/>
    </row>
    <row r="6" spans="1:20" ht="14.25">
      <c r="A6" s="753"/>
      <c r="B6" s="1086"/>
      <c r="C6" s="1087"/>
      <c r="D6" s="1088" t="s">
        <v>361</v>
      </c>
      <c r="E6" s="1089"/>
      <c r="F6"/>
      <c r="G6"/>
      <c r="H6"/>
      <c r="I6"/>
      <c r="N6" s="182" t="s">
        <v>322</v>
      </c>
      <c r="O6" s="764">
        <f>B6+B7+B12+B16+B17+B11+B14+B20+B21+B23+B26+B28+B15+B30+B33</f>
        <v>6610.7650000000003</v>
      </c>
    </row>
    <row r="7" spans="1:20" ht="15" customHeight="1">
      <c r="A7" s="1090" t="s">
        <v>237</v>
      </c>
      <c r="B7" s="1091">
        <v>4470.58</v>
      </c>
      <c r="C7" s="1092"/>
      <c r="D7" s="1093">
        <v>512.37922500000002</v>
      </c>
      <c r="E7" s="1094"/>
      <c r="F7"/>
      <c r="G7"/>
      <c r="H7"/>
      <c r="I7"/>
      <c r="J7" s="732"/>
      <c r="N7" s="182" t="s">
        <v>321</v>
      </c>
    </row>
    <row r="8" spans="1:20" ht="15" customHeight="1">
      <c r="A8" s="1095" t="s">
        <v>347</v>
      </c>
      <c r="B8" s="664">
        <f>B10+B11+B16+B20+B21+B15+B18+B24+B25+B27+B30+B32+B19+B34+B37</f>
        <v>3326.05</v>
      </c>
      <c r="C8" s="1096"/>
      <c r="D8" s="664">
        <f>D10+D11+D16+D20+D21+D15+D18+D24+D25+D27+D30+D32+D19+D34+D37</f>
        <v>408.41560400000003</v>
      </c>
      <c r="E8" s="1097"/>
      <c r="F8"/>
      <c r="G8"/>
      <c r="H8"/>
      <c r="I8"/>
      <c r="J8" s="732"/>
    </row>
    <row r="9" spans="1:20" ht="15" customHeight="1">
      <c r="A9" s="1095"/>
      <c r="B9" s="1098"/>
      <c r="C9" s="1096"/>
      <c r="D9" s="1099"/>
      <c r="E9" s="1097"/>
      <c r="F9"/>
      <c r="G9"/>
      <c r="H9"/>
      <c r="I9"/>
      <c r="O9" s="763"/>
      <c r="S9" s="182" t="s">
        <v>347</v>
      </c>
    </row>
    <row r="10" spans="1:20" ht="15" customHeight="1">
      <c r="A10" s="1095" t="s">
        <v>81</v>
      </c>
      <c r="B10" s="1100">
        <v>83.879000000000005</v>
      </c>
      <c r="C10" s="1101"/>
      <c r="D10" s="1102">
        <v>8.8222670000000001</v>
      </c>
      <c r="E10" s="1103"/>
      <c r="F10"/>
      <c r="G10"/>
      <c r="H10"/>
      <c r="I10"/>
      <c r="M10" s="182">
        <v>1</v>
      </c>
      <c r="N10" s="182" t="s">
        <v>81</v>
      </c>
      <c r="O10" s="182" t="s">
        <v>10</v>
      </c>
      <c r="S10" s="182" t="s">
        <v>81</v>
      </c>
      <c r="T10" s="182" t="s">
        <v>10</v>
      </c>
    </row>
    <row r="11" spans="1:20" ht="15" customHeight="1">
      <c r="A11" s="1104" t="s">
        <v>60</v>
      </c>
      <c r="B11" s="1105">
        <v>30.527999999999999</v>
      </c>
      <c r="C11" s="1106"/>
      <c r="D11" s="1107">
        <v>11.398588999999999</v>
      </c>
      <c r="E11" s="1108"/>
      <c r="F11"/>
      <c r="G11"/>
      <c r="H11"/>
      <c r="I11"/>
      <c r="M11" s="182">
        <v>1</v>
      </c>
      <c r="N11" s="182" t="s">
        <v>60</v>
      </c>
      <c r="O11" s="182" t="s">
        <v>1</v>
      </c>
      <c r="S11" s="182" t="s">
        <v>60</v>
      </c>
      <c r="T11" s="182" t="s">
        <v>1</v>
      </c>
    </row>
    <row r="12" spans="1:20" ht="15" customHeight="1">
      <c r="A12" s="1095" t="s">
        <v>100</v>
      </c>
      <c r="B12" s="1100">
        <v>111.002</v>
      </c>
      <c r="C12" s="1101"/>
      <c r="D12" s="1102">
        <v>7.0500340000000001</v>
      </c>
      <c r="E12" s="1103"/>
      <c r="F12"/>
      <c r="G12"/>
      <c r="H12"/>
      <c r="I12"/>
      <c r="N12" s="182" t="s">
        <v>100</v>
      </c>
      <c r="O12" s="182" t="s">
        <v>102</v>
      </c>
      <c r="S12" s="182" t="s">
        <v>63</v>
      </c>
      <c r="T12" s="182" t="s">
        <v>3</v>
      </c>
    </row>
    <row r="13" spans="1:20" ht="15" customHeight="1">
      <c r="A13" s="1104" t="s">
        <v>71</v>
      </c>
      <c r="B13" s="1105">
        <v>9.25</v>
      </c>
      <c r="C13" s="1106"/>
      <c r="D13" s="1107">
        <v>0.864236</v>
      </c>
      <c r="E13" s="1108"/>
      <c r="F13"/>
      <c r="G13"/>
      <c r="H13"/>
      <c r="I13"/>
      <c r="N13" s="182" t="s">
        <v>71</v>
      </c>
      <c r="O13" s="182" t="s">
        <v>70</v>
      </c>
      <c r="S13" s="182" t="s">
        <v>14</v>
      </c>
      <c r="T13" s="182" t="s">
        <v>2</v>
      </c>
    </row>
    <row r="14" spans="1:20" ht="15" customHeight="1">
      <c r="A14" s="1104" t="s">
        <v>61</v>
      </c>
      <c r="B14" s="1105">
        <v>78.867999999999995</v>
      </c>
      <c r="C14" s="1106"/>
      <c r="D14" s="1107">
        <v>10.610054999999999</v>
      </c>
      <c r="E14" s="1103"/>
      <c r="F14"/>
      <c r="G14"/>
      <c r="H14"/>
      <c r="I14"/>
      <c r="N14" s="182" t="s">
        <v>61</v>
      </c>
      <c r="O14" s="182" t="s">
        <v>62</v>
      </c>
      <c r="S14" s="182" t="s">
        <v>15</v>
      </c>
      <c r="T14" s="182" t="s">
        <v>155</v>
      </c>
    </row>
    <row r="15" spans="1:20" ht="15" customHeight="1">
      <c r="A15" s="1104" t="s">
        <v>63</v>
      </c>
      <c r="B15" s="1105">
        <v>357.10399999999998</v>
      </c>
      <c r="C15" s="1106"/>
      <c r="D15" s="1107">
        <v>82.792350999999996</v>
      </c>
      <c r="E15" s="1108"/>
      <c r="F15"/>
      <c r="G15"/>
      <c r="H15"/>
      <c r="I15"/>
      <c r="M15" s="182">
        <v>1</v>
      </c>
      <c r="N15" s="182" t="s">
        <v>63</v>
      </c>
      <c r="O15" s="182" t="s">
        <v>3</v>
      </c>
      <c r="S15" s="182" t="s">
        <v>66</v>
      </c>
      <c r="T15" s="182" t="s">
        <v>4</v>
      </c>
    </row>
    <row r="16" spans="1:20" ht="15" customHeight="1">
      <c r="A16" s="1095" t="s">
        <v>14</v>
      </c>
      <c r="B16" s="1100">
        <v>43.097999999999999</v>
      </c>
      <c r="C16" s="1101"/>
      <c r="D16" s="1102">
        <v>5.7811899999999996</v>
      </c>
      <c r="E16" s="1103"/>
      <c r="F16"/>
      <c r="G16"/>
      <c r="H16"/>
      <c r="I16"/>
      <c r="M16" s="182">
        <v>1</v>
      </c>
      <c r="N16" s="182" t="s">
        <v>14</v>
      </c>
      <c r="O16" s="182" t="s">
        <v>2</v>
      </c>
      <c r="S16" s="182" t="s">
        <v>87</v>
      </c>
      <c r="T16" s="182" t="s">
        <v>27</v>
      </c>
    </row>
    <row r="17" spans="1:20" ht="15" customHeight="1">
      <c r="A17" s="1095" t="s">
        <v>64</v>
      </c>
      <c r="B17" s="1100">
        <v>45.226999999999997</v>
      </c>
      <c r="C17" s="1101"/>
      <c r="D17" s="1102">
        <v>1.3191329999999999</v>
      </c>
      <c r="E17" s="1108"/>
      <c r="F17"/>
      <c r="G17"/>
      <c r="H17"/>
      <c r="I17"/>
      <c r="N17" s="182" t="s">
        <v>64</v>
      </c>
      <c r="O17" s="182" t="s">
        <v>65</v>
      </c>
      <c r="S17" s="182" t="s">
        <v>67</v>
      </c>
      <c r="T17" s="182" t="s">
        <v>5</v>
      </c>
    </row>
    <row r="18" spans="1:20" ht="15" customHeight="1">
      <c r="A18" s="1095" t="s">
        <v>15</v>
      </c>
      <c r="B18" s="1100">
        <v>131.95699999999999</v>
      </c>
      <c r="C18" s="1101"/>
      <c r="D18" s="1102">
        <v>10.741165000000001</v>
      </c>
      <c r="E18" s="1103"/>
      <c r="F18"/>
      <c r="G18"/>
      <c r="H18"/>
      <c r="I18"/>
      <c r="M18" s="182">
        <v>1</v>
      </c>
      <c r="N18" s="182" t="s">
        <v>15</v>
      </c>
      <c r="O18" s="182" t="s">
        <v>155</v>
      </c>
      <c r="S18" s="182" t="s">
        <v>68</v>
      </c>
      <c r="T18" s="182" t="s">
        <v>6</v>
      </c>
    </row>
    <row r="19" spans="1:20" ht="15" customHeight="1">
      <c r="A19" s="1104" t="s">
        <v>66</v>
      </c>
      <c r="B19" s="1105">
        <v>505.99700000000001</v>
      </c>
      <c r="C19" s="1106"/>
      <c r="D19" s="1107">
        <v>46.658447000000002</v>
      </c>
      <c r="E19" s="1108"/>
      <c r="F19"/>
      <c r="G19"/>
      <c r="H19"/>
      <c r="I19"/>
      <c r="M19" s="182">
        <v>1</v>
      </c>
      <c r="N19" s="182" t="s">
        <v>66</v>
      </c>
      <c r="O19" s="182" t="s">
        <v>4</v>
      </c>
      <c r="S19" s="182" t="s">
        <v>69</v>
      </c>
      <c r="T19" s="182" t="s">
        <v>7</v>
      </c>
    </row>
    <row r="20" spans="1:20" ht="15" customHeight="1">
      <c r="A20" s="1095" t="s">
        <v>87</v>
      </c>
      <c r="B20" s="1100">
        <v>338.41899999999998</v>
      </c>
      <c r="C20" s="1101"/>
      <c r="D20" s="1102">
        <v>5.5131300000000003</v>
      </c>
      <c r="E20" s="1103"/>
      <c r="F20"/>
      <c r="G20"/>
      <c r="H20"/>
      <c r="I20"/>
      <c r="M20" s="182">
        <v>1</v>
      </c>
      <c r="N20" s="182" t="s">
        <v>87</v>
      </c>
      <c r="O20" s="182" t="s">
        <v>27</v>
      </c>
      <c r="S20" s="182" t="s">
        <v>76</v>
      </c>
      <c r="T20" s="182" t="s">
        <v>8</v>
      </c>
    </row>
    <row r="21" spans="1:20" ht="15" customHeight="1">
      <c r="A21" s="1095" t="s">
        <v>67</v>
      </c>
      <c r="B21" s="1100">
        <v>633.13300000000004</v>
      </c>
      <c r="C21" s="1101"/>
      <c r="D21" s="1109">
        <v>66.926165999999995</v>
      </c>
      <c r="E21" s="1108"/>
      <c r="F21"/>
      <c r="G21"/>
      <c r="H21"/>
      <c r="I21"/>
      <c r="M21" s="182">
        <v>1</v>
      </c>
      <c r="N21" s="182" t="s">
        <v>67</v>
      </c>
      <c r="O21" s="182" t="s">
        <v>5</v>
      </c>
      <c r="S21" s="182" t="s">
        <v>16</v>
      </c>
      <c r="T21" s="182" t="s">
        <v>9</v>
      </c>
    </row>
    <row r="22" spans="1:20" ht="15" customHeight="1">
      <c r="A22" s="1104" t="s">
        <v>144</v>
      </c>
      <c r="B22" s="1105">
        <v>56.594000000000001</v>
      </c>
      <c r="C22" s="1106"/>
      <c r="D22" s="1107">
        <v>4.1054930000000001</v>
      </c>
      <c r="E22" s="1103"/>
      <c r="F22"/>
      <c r="G22"/>
      <c r="H22"/>
      <c r="I22"/>
      <c r="N22" s="182" t="s">
        <v>144</v>
      </c>
      <c r="O22" s="182" t="s">
        <v>158</v>
      </c>
      <c r="S22" s="182" t="s">
        <v>92</v>
      </c>
      <c r="T22" s="182" t="s">
        <v>11</v>
      </c>
    </row>
    <row r="23" spans="1:20" ht="15" customHeight="1">
      <c r="A23" s="1104" t="s">
        <v>77</v>
      </c>
      <c r="B23" s="1105">
        <v>93.03</v>
      </c>
      <c r="C23" s="1106"/>
      <c r="D23" s="1107">
        <v>9.7783709999999999</v>
      </c>
      <c r="E23" s="1108"/>
      <c r="F23"/>
      <c r="G23"/>
      <c r="H23"/>
      <c r="I23"/>
      <c r="N23" s="182" t="s">
        <v>77</v>
      </c>
      <c r="O23" s="182" t="s">
        <v>79</v>
      </c>
      <c r="S23" s="182" t="s">
        <v>88</v>
      </c>
      <c r="T23" s="182" t="s">
        <v>12</v>
      </c>
    </row>
    <row r="24" spans="1:20" ht="15" customHeight="1">
      <c r="A24" s="1104" t="s">
        <v>68</v>
      </c>
      <c r="B24" s="1105">
        <v>70.281999999999996</v>
      </c>
      <c r="C24" s="1106"/>
      <c r="D24" s="1107">
        <v>4.8303919999999998</v>
      </c>
      <c r="E24" s="1103"/>
      <c r="F24"/>
      <c r="G24"/>
      <c r="H24"/>
      <c r="I24"/>
      <c r="M24" s="182">
        <v>1</v>
      </c>
      <c r="N24" s="182" t="s">
        <v>68</v>
      </c>
      <c r="O24" s="182" t="s">
        <v>6</v>
      </c>
      <c r="S24" s="182" t="s">
        <v>13</v>
      </c>
      <c r="T24" s="182" t="s">
        <v>157</v>
      </c>
    </row>
    <row r="25" spans="1:20" ht="15" customHeight="1">
      <c r="A25" s="1095" t="s">
        <v>69</v>
      </c>
      <c r="B25" s="1100">
        <v>301.33600000000001</v>
      </c>
      <c r="C25" s="1101"/>
      <c r="D25" s="1102">
        <v>60.483972999999999</v>
      </c>
      <c r="E25" s="1108"/>
      <c r="F25"/>
      <c r="G25"/>
      <c r="H25"/>
      <c r="I25"/>
      <c r="M25" s="182">
        <v>1</v>
      </c>
      <c r="N25" s="182" t="s">
        <v>69</v>
      </c>
      <c r="O25" s="182" t="s">
        <v>7</v>
      </c>
    </row>
    <row r="26" spans="1:20" ht="15" customHeight="1">
      <c r="A26" s="1104" t="s">
        <v>73</v>
      </c>
      <c r="B26" s="1105">
        <v>65.3</v>
      </c>
      <c r="C26" s="1106"/>
      <c r="D26" s="1107">
        <v>2.8089010000000001</v>
      </c>
      <c r="E26" s="1103"/>
      <c r="F26"/>
      <c r="G26"/>
      <c r="H26"/>
      <c r="I26"/>
      <c r="N26" s="182" t="s">
        <v>73</v>
      </c>
      <c r="O26" s="182" t="s">
        <v>75</v>
      </c>
    </row>
    <row r="27" spans="1:20" ht="15" customHeight="1">
      <c r="A27" s="1095" t="s">
        <v>76</v>
      </c>
      <c r="B27" s="1100">
        <v>2.5859999999999999</v>
      </c>
      <c r="C27" s="1101"/>
      <c r="D27" s="1109">
        <v>0.60200500000000001</v>
      </c>
      <c r="E27" s="1108"/>
      <c r="F27"/>
      <c r="G27"/>
      <c r="H27"/>
      <c r="I27"/>
      <c r="M27" s="182">
        <v>1</v>
      </c>
      <c r="N27" s="182" t="s">
        <v>76</v>
      </c>
      <c r="O27" s="182" t="s">
        <v>8</v>
      </c>
    </row>
    <row r="28" spans="1:20" ht="15" customHeight="1">
      <c r="A28" s="1095" t="s">
        <v>72</v>
      </c>
      <c r="B28" s="1100">
        <v>64.558999999999997</v>
      </c>
      <c r="C28" s="1101"/>
      <c r="D28" s="1102">
        <v>1.9343790000000001</v>
      </c>
      <c r="E28" s="1103"/>
      <c r="F28"/>
      <c r="G28"/>
      <c r="H28"/>
      <c r="I28"/>
      <c r="N28" s="182" t="s">
        <v>72</v>
      </c>
      <c r="O28" s="182" t="s">
        <v>74</v>
      </c>
    </row>
    <row r="29" spans="1:20" ht="15" customHeight="1">
      <c r="A29" s="1095" t="s">
        <v>78</v>
      </c>
      <c r="B29" s="1100">
        <v>0.316</v>
      </c>
      <c r="C29" s="1101"/>
      <c r="D29" s="1102">
        <v>0.47570099999999998</v>
      </c>
      <c r="E29" s="1108"/>
      <c r="F29"/>
      <c r="G29"/>
      <c r="H29"/>
      <c r="I29"/>
      <c r="N29" s="182" t="s">
        <v>78</v>
      </c>
      <c r="O29" s="182" t="s">
        <v>156</v>
      </c>
    </row>
    <row r="30" spans="1:20" ht="15" customHeight="1">
      <c r="A30" s="1104" t="s">
        <v>16</v>
      </c>
      <c r="B30" s="1105">
        <v>41.526000000000003</v>
      </c>
      <c r="C30" s="1106"/>
      <c r="D30" s="1107">
        <v>17.181083999999998</v>
      </c>
      <c r="E30" s="1103"/>
      <c r="F30"/>
      <c r="G30"/>
      <c r="H30"/>
      <c r="I30"/>
      <c r="M30" s="182">
        <v>1</v>
      </c>
      <c r="N30" s="182" t="s">
        <v>16</v>
      </c>
      <c r="O30" s="182" t="s">
        <v>9</v>
      </c>
    </row>
    <row r="31" spans="1:20" ht="15" customHeight="1">
      <c r="A31" s="1104" t="s">
        <v>80</v>
      </c>
      <c r="B31" s="1105">
        <v>312.685</v>
      </c>
      <c r="C31" s="1106"/>
      <c r="D31" s="1107">
        <v>37.976686999999998</v>
      </c>
      <c r="E31" s="1108"/>
      <c r="F31"/>
      <c r="G31"/>
      <c r="H31"/>
      <c r="I31"/>
      <c r="N31" s="182" t="s">
        <v>80</v>
      </c>
      <c r="O31" s="182" t="s">
        <v>82</v>
      </c>
    </row>
    <row r="32" spans="1:20" ht="15" customHeight="1">
      <c r="A32" s="1095" t="s">
        <v>92</v>
      </c>
      <c r="B32" s="1100">
        <v>92.09</v>
      </c>
      <c r="C32" s="1101"/>
      <c r="D32" s="1102">
        <v>10.291027</v>
      </c>
      <c r="E32" s="1103"/>
      <c r="F32"/>
      <c r="G32"/>
      <c r="H32"/>
      <c r="I32"/>
      <c r="M32" s="182">
        <v>1</v>
      </c>
      <c r="N32" s="182" t="s">
        <v>92</v>
      </c>
      <c r="O32" s="182" t="s">
        <v>11</v>
      </c>
    </row>
    <row r="33" spans="1:15" ht="15" customHeight="1">
      <c r="A33" s="1104" t="s">
        <v>101</v>
      </c>
      <c r="B33" s="1105">
        <v>238.39099999999999</v>
      </c>
      <c r="C33" s="1106"/>
      <c r="D33" s="1107">
        <v>19.530631</v>
      </c>
      <c r="E33" s="1108"/>
      <c r="F33"/>
      <c r="G33"/>
      <c r="H33"/>
      <c r="I33"/>
      <c r="N33" s="182" t="s">
        <v>101</v>
      </c>
      <c r="O33" s="182" t="s">
        <v>103</v>
      </c>
    </row>
    <row r="34" spans="1:15" ht="15" customHeight="1">
      <c r="A34" s="1104" t="s">
        <v>88</v>
      </c>
      <c r="B34" s="1105">
        <v>450.29500000000002</v>
      </c>
      <c r="C34" s="1106"/>
      <c r="D34" s="1107">
        <v>10.120241999999999</v>
      </c>
      <c r="E34" s="1103"/>
      <c r="F34"/>
      <c r="G34"/>
      <c r="H34"/>
      <c r="I34"/>
      <c r="M34" s="182">
        <v>1</v>
      </c>
      <c r="N34" s="182" t="s">
        <v>88</v>
      </c>
      <c r="O34" s="182" t="s">
        <v>12</v>
      </c>
    </row>
    <row r="35" spans="1:15" ht="15" customHeight="1">
      <c r="A35" s="1095" t="s">
        <v>83</v>
      </c>
      <c r="B35" s="1100">
        <v>20.273</v>
      </c>
      <c r="C35" s="1101"/>
      <c r="D35" s="1102">
        <v>2.0668799999999998</v>
      </c>
      <c r="E35" s="1108"/>
      <c r="F35"/>
      <c r="G35"/>
      <c r="H35"/>
      <c r="I35"/>
      <c r="N35" s="182" t="s">
        <v>83</v>
      </c>
      <c r="O35" s="182" t="s">
        <v>84</v>
      </c>
    </row>
    <row r="36" spans="1:15" ht="15" customHeight="1">
      <c r="A36" s="1104" t="s">
        <v>85</v>
      </c>
      <c r="B36" s="1105">
        <v>49.034999999999997</v>
      </c>
      <c r="C36" s="1106"/>
      <c r="D36" s="1107">
        <v>5.4431200000000004</v>
      </c>
      <c r="E36" s="1103"/>
      <c r="F36"/>
      <c r="G36"/>
      <c r="H36"/>
      <c r="I36"/>
      <c r="N36" s="182" t="s">
        <v>85</v>
      </c>
      <c r="O36" s="182" t="s">
        <v>86</v>
      </c>
    </row>
    <row r="37" spans="1:15" ht="15" customHeight="1">
      <c r="A37" s="1110" t="s">
        <v>13</v>
      </c>
      <c r="B37" s="1111">
        <v>243.82</v>
      </c>
      <c r="C37" s="1112"/>
      <c r="D37" s="1113">
        <v>66.273576000000006</v>
      </c>
      <c r="E37" s="1114"/>
      <c r="F37"/>
      <c r="G37"/>
      <c r="H37"/>
      <c r="I37"/>
      <c r="M37" s="182">
        <v>1</v>
      </c>
      <c r="N37" s="182" t="s">
        <v>13</v>
      </c>
      <c r="O37" s="182" t="s">
        <v>157</v>
      </c>
    </row>
    <row r="38" spans="1:15" ht="15" customHeight="1">
      <c r="A38" s="1079"/>
      <c r="B38" s="1080"/>
      <c r="C38" s="1081"/>
      <c r="D38" s="1079"/>
      <c r="E38"/>
      <c r="F38"/>
      <c r="G38"/>
      <c r="H38"/>
      <c r="I38"/>
    </row>
    <row r="39" spans="1:15" ht="15" customHeight="1">
      <c r="A39" s="1079"/>
      <c r="B39" s="1080"/>
      <c r="C39" s="1081"/>
      <c r="D39" s="1079"/>
      <c r="E39"/>
      <c r="F39"/>
      <c r="G39"/>
      <c r="H39"/>
      <c r="I39"/>
    </row>
    <row r="40" spans="1:15" ht="15" customHeight="1">
      <c r="A40" s="1079"/>
      <c r="B40" s="1080"/>
      <c r="C40" s="1081"/>
      <c r="D40" s="1079"/>
      <c r="E40"/>
      <c r="F40"/>
      <c r="G40"/>
      <c r="H40"/>
      <c r="I40"/>
    </row>
    <row r="41" spans="1:15" ht="15" customHeight="1">
      <c r="A41" s="1079"/>
      <c r="B41" s="1080"/>
      <c r="C41" s="1081"/>
      <c r="D41" s="1079"/>
      <c r="E41"/>
      <c r="F41"/>
      <c r="G41"/>
      <c r="H41"/>
      <c r="I41"/>
    </row>
    <row r="42" spans="1:15" ht="15" customHeight="1">
      <c r="A42" s="1079"/>
      <c r="B42" s="1080"/>
      <c r="C42" s="1081"/>
      <c r="D42" s="1079"/>
      <c r="E42"/>
      <c r="F42"/>
      <c r="G42"/>
      <c r="H42"/>
      <c r="I42"/>
    </row>
    <row r="43" spans="1:15" ht="15" customHeight="1">
      <c r="A43" s="752" t="s">
        <v>330</v>
      </c>
      <c r="B43" s="753"/>
      <c r="C43" s="754"/>
      <c r="D43" s="753"/>
      <c r="E43"/>
      <c r="F43"/>
      <c r="G43"/>
      <c r="H43"/>
      <c r="I43"/>
    </row>
    <row r="44" spans="1:15" ht="15" customHeight="1">
      <c r="A44" s="755" t="s">
        <v>331</v>
      </c>
      <c r="B44" s="756"/>
      <c r="C44" s="757"/>
      <c r="D44" s="758"/>
      <c r="E44"/>
      <c r="F44"/>
      <c r="G44"/>
      <c r="H44"/>
      <c r="I44"/>
    </row>
    <row r="45" spans="1:15" ht="15" customHeight="1">
      <c r="A45" s="759" t="s">
        <v>332</v>
      </c>
      <c r="B45" s="760"/>
      <c r="C45" s="754"/>
      <c r="D45" s="753"/>
      <c r="E45"/>
      <c r="F45"/>
      <c r="G45"/>
      <c r="H45"/>
      <c r="I45"/>
    </row>
    <row r="46" spans="1:15" ht="15" customHeight="1">
      <c r="A46" s="761" t="s">
        <v>333</v>
      </c>
      <c r="B46" s="762"/>
      <c r="C46" s="750"/>
      <c r="D46" s="750"/>
      <c r="E46"/>
      <c r="F46"/>
      <c r="G46"/>
      <c r="H46"/>
      <c r="I46"/>
    </row>
    <row r="47" spans="1:15" ht="12.75" customHeight="1">
      <c r="A47" s="761" t="s">
        <v>334</v>
      </c>
      <c r="B47" s="750"/>
      <c r="C47" s="750"/>
      <c r="D47" s="750"/>
      <c r="E47"/>
      <c r="F47"/>
      <c r="G47"/>
      <c r="H47"/>
      <c r="I47"/>
    </row>
    <row r="48" spans="1:15" ht="25.5" customHeight="1"/>
    <row r="49" ht="36" customHeight="1"/>
    <row r="50" ht="23.25" customHeight="1"/>
    <row r="52" ht="12.75" customHeight="1"/>
  </sheetData>
  <mergeCells count="3">
    <mergeCell ref="A2:D2"/>
    <mergeCell ref="B3:C4"/>
    <mergeCell ref="D3:E4"/>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E53"/>
  <sheetViews>
    <sheetView zoomScaleNormal="100" workbookViewId="0">
      <selection activeCell="B3" sqref="B1:L65536"/>
    </sheetView>
  </sheetViews>
  <sheetFormatPr defaultRowHeight="12.75"/>
  <cols>
    <col min="2" max="12" width="0" hidden="1" customWidth="1"/>
  </cols>
  <sheetData>
    <row r="1" spans="1:31" ht="14.25" customHeight="1">
      <c r="A1" s="1133" t="s">
        <v>225</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row>
    <row r="2" spans="1:31" s="101" customFormat="1" ht="15" customHeight="1">
      <c r="A2" s="1134" t="s">
        <v>208</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row>
    <row r="3" spans="1:31" ht="15" customHeight="1">
      <c r="A3" s="765"/>
      <c r="B3" s="772"/>
      <c r="C3" s="772"/>
      <c r="D3" s="772"/>
      <c r="E3" s="772"/>
      <c r="F3" s="772"/>
      <c r="G3" s="772"/>
      <c r="I3" s="770"/>
      <c r="J3" s="770"/>
      <c r="K3" s="770"/>
      <c r="Q3" s="769"/>
      <c r="R3" s="769"/>
      <c r="S3" s="769"/>
      <c r="T3" s="769"/>
      <c r="U3" s="769"/>
      <c r="V3" s="769"/>
      <c r="X3" s="769" t="s">
        <v>226</v>
      </c>
      <c r="Y3" s="769"/>
      <c r="Z3" s="766"/>
    </row>
    <row r="4" spans="1:31" ht="12" customHeight="1">
      <c r="A4" s="765"/>
      <c r="B4" s="779">
        <v>1995</v>
      </c>
      <c r="C4" s="780">
        <v>1996</v>
      </c>
      <c r="D4" s="780">
        <v>1997</v>
      </c>
      <c r="E4" s="780">
        <v>1998</v>
      </c>
      <c r="F4" s="780">
        <v>1999</v>
      </c>
      <c r="G4" s="780">
        <v>2000</v>
      </c>
      <c r="H4" s="780">
        <v>2001</v>
      </c>
      <c r="I4" s="780">
        <v>2002</v>
      </c>
      <c r="J4" s="780">
        <v>2003</v>
      </c>
      <c r="K4" s="780">
        <v>2004</v>
      </c>
      <c r="L4" s="780">
        <v>2005</v>
      </c>
      <c r="M4" s="780">
        <v>2006</v>
      </c>
      <c r="N4" s="780">
        <v>2007</v>
      </c>
      <c r="O4" s="780">
        <v>2008</v>
      </c>
      <c r="P4" s="780">
        <v>2009</v>
      </c>
      <c r="Q4" s="780">
        <v>2010</v>
      </c>
      <c r="R4" s="780">
        <v>2011</v>
      </c>
      <c r="S4" s="780">
        <v>2012</v>
      </c>
      <c r="T4" s="780">
        <v>2013</v>
      </c>
      <c r="U4" s="780">
        <v>2014</v>
      </c>
      <c r="V4" s="780">
        <v>2015</v>
      </c>
      <c r="W4" s="780">
        <v>2016</v>
      </c>
      <c r="X4" s="780">
        <v>2017</v>
      </c>
      <c r="Y4" s="782" t="s">
        <v>335</v>
      </c>
      <c r="Z4" s="775"/>
      <c r="AA4" s="775" t="s">
        <v>347</v>
      </c>
      <c r="AB4" s="177">
        <f>AA7+AA8+AA12+AA13+AA15+AA16+AA17+AA18+AA21+AA22+AA24+AA27+AA29+AA31+AA34</f>
        <v>1282.4379999999999</v>
      </c>
    </row>
    <row r="5" spans="1:31" ht="20.100000000000001" customHeight="1">
      <c r="A5" s="765"/>
      <c r="B5" s="781"/>
      <c r="C5" s="778"/>
      <c r="D5" s="778"/>
      <c r="E5" s="778"/>
      <c r="F5" s="778"/>
      <c r="G5" s="778"/>
      <c r="H5" s="778"/>
      <c r="I5" s="778"/>
      <c r="J5" s="778"/>
      <c r="K5" s="778"/>
      <c r="L5" s="778"/>
      <c r="M5" s="778"/>
      <c r="N5" s="778"/>
      <c r="O5" s="778"/>
      <c r="P5" s="778"/>
      <c r="Q5" s="778"/>
      <c r="R5" s="778"/>
      <c r="S5" s="778"/>
      <c r="T5" s="778"/>
      <c r="U5" s="778"/>
      <c r="V5" s="778"/>
      <c r="W5" s="778"/>
      <c r="X5" s="778"/>
      <c r="Y5" s="777" t="s">
        <v>143</v>
      </c>
      <c r="Z5" s="776"/>
      <c r="AA5" s="775"/>
    </row>
    <row r="6" spans="1:31" ht="9.9499999999999993" customHeight="1">
      <c r="A6" s="826" t="s">
        <v>237</v>
      </c>
      <c r="B6" s="827">
        <v>1288.6600000000001</v>
      </c>
      <c r="C6" s="828">
        <v>1302.5789999999997</v>
      </c>
      <c r="D6" s="828">
        <v>1351.6780000000001</v>
      </c>
      <c r="E6" s="828">
        <v>1414.2039999999997</v>
      </c>
      <c r="F6" s="828">
        <v>1460.6219999999998</v>
      </c>
      <c r="G6" s="828">
        <v>1509.4880000000001</v>
      </c>
      <c r="H6" s="828">
        <v>1552.5170000000003</v>
      </c>
      <c r="I6" s="828">
        <v>1602.835</v>
      </c>
      <c r="J6" s="828">
        <v>1607.683</v>
      </c>
      <c r="K6" s="828">
        <v>1750.92</v>
      </c>
      <c r="L6" s="828">
        <v>1794.5950000000003</v>
      </c>
      <c r="M6" s="828">
        <v>1857.7469999999998</v>
      </c>
      <c r="N6" s="828">
        <v>1924.9579999999996</v>
      </c>
      <c r="O6" s="828">
        <v>1891.1260000000002</v>
      </c>
      <c r="P6" s="828">
        <v>1699.7570000000003</v>
      </c>
      <c r="Q6" s="828">
        <v>1756.3639999999998</v>
      </c>
      <c r="R6" s="828">
        <v>1740.9</v>
      </c>
      <c r="S6" s="828">
        <v>1687.3500000000001</v>
      </c>
      <c r="T6" s="828">
        <v>1711.473</v>
      </c>
      <c r="U6" s="828">
        <v>1720.1079999999999</v>
      </c>
      <c r="V6" s="828">
        <v>1766.2220000000002</v>
      </c>
      <c r="W6" s="828">
        <v>1835.2809999999997</v>
      </c>
      <c r="X6" s="828">
        <v>1920.865</v>
      </c>
      <c r="Y6" s="829">
        <v>4.6632640996120216</v>
      </c>
      <c r="Z6" s="826" t="s">
        <v>237</v>
      </c>
      <c r="AA6" s="820"/>
    </row>
    <row r="7" spans="1:31" ht="12.75" customHeight="1">
      <c r="A7" s="767" t="s">
        <v>60</v>
      </c>
      <c r="B7" s="788">
        <v>45.6</v>
      </c>
      <c r="C7" s="789">
        <v>41.8</v>
      </c>
      <c r="D7" s="789">
        <v>43.7</v>
      </c>
      <c r="E7" s="789">
        <v>41.1</v>
      </c>
      <c r="F7" s="790">
        <v>37.283999999999999</v>
      </c>
      <c r="G7" s="789">
        <v>51.046999999999997</v>
      </c>
      <c r="H7" s="789">
        <v>53.182000000000002</v>
      </c>
      <c r="I7" s="789">
        <v>52.889000000000003</v>
      </c>
      <c r="J7" s="789">
        <v>50.542000000000002</v>
      </c>
      <c r="K7" s="789">
        <v>47.878</v>
      </c>
      <c r="L7" s="789">
        <v>43.847000000000001</v>
      </c>
      <c r="M7" s="789">
        <v>43.017000000000003</v>
      </c>
      <c r="N7" s="789">
        <v>42.085000000000001</v>
      </c>
      <c r="O7" s="789">
        <v>38.356000000000002</v>
      </c>
      <c r="P7" s="789">
        <v>36.173999999999999</v>
      </c>
      <c r="Q7" s="789">
        <v>35.002000000000002</v>
      </c>
      <c r="R7" s="789">
        <v>33.106999999999999</v>
      </c>
      <c r="S7" s="789">
        <v>32.104999999999997</v>
      </c>
      <c r="T7" s="789">
        <v>32.795999999999999</v>
      </c>
      <c r="U7" s="789">
        <v>31.808</v>
      </c>
      <c r="V7" s="789">
        <v>36.078000000000003</v>
      </c>
      <c r="W7" s="803">
        <v>35.192</v>
      </c>
      <c r="X7" s="797">
        <v>34.22</v>
      </c>
      <c r="Y7" s="797">
        <v>-2.7619913616731111</v>
      </c>
      <c r="Z7" s="767" t="s">
        <v>336</v>
      </c>
      <c r="AA7" s="793">
        <v>25.978000000000002</v>
      </c>
      <c r="AB7" s="793">
        <v>-0.61213558803274282</v>
      </c>
      <c r="AC7" s="97" t="s">
        <v>81</v>
      </c>
      <c r="AE7" t="s">
        <v>81</v>
      </c>
    </row>
    <row r="8" spans="1:31" ht="12.75" customHeight="1">
      <c r="A8" s="97" t="s">
        <v>100</v>
      </c>
      <c r="B8" s="791">
        <v>5.2</v>
      </c>
      <c r="C8" s="792">
        <v>5.4</v>
      </c>
      <c r="D8" s="792">
        <v>5.6</v>
      </c>
      <c r="E8" s="792">
        <v>5.8</v>
      </c>
      <c r="F8" s="792">
        <v>6</v>
      </c>
      <c r="G8" s="792">
        <v>6.4039999999999999</v>
      </c>
      <c r="H8" s="792">
        <v>8.0470000000000006</v>
      </c>
      <c r="I8" s="792">
        <v>8.8040000000000003</v>
      </c>
      <c r="J8" s="792">
        <v>9.4969999999999999</v>
      </c>
      <c r="K8" s="792">
        <v>11.961</v>
      </c>
      <c r="L8" s="792">
        <v>14.371</v>
      </c>
      <c r="M8" s="792">
        <v>13.765000000000001</v>
      </c>
      <c r="N8" s="792">
        <v>14.624000000000001</v>
      </c>
      <c r="O8" s="792">
        <v>15.321999999999999</v>
      </c>
      <c r="P8" s="792">
        <v>17.742000000000001</v>
      </c>
      <c r="Q8" s="792">
        <v>19.433</v>
      </c>
      <c r="R8" s="792">
        <v>21.213999999999999</v>
      </c>
      <c r="S8" s="792">
        <v>24.372</v>
      </c>
      <c r="T8" s="792">
        <v>27.097000000000001</v>
      </c>
      <c r="U8" s="792">
        <v>27.853999999999999</v>
      </c>
      <c r="V8" s="792">
        <v>32.296999999999997</v>
      </c>
      <c r="W8" s="792">
        <v>35.408999999999999</v>
      </c>
      <c r="X8" s="793">
        <v>35.15</v>
      </c>
      <c r="Y8" s="793">
        <v>-0.73145245559038585</v>
      </c>
      <c r="Z8" s="97" t="s">
        <v>100</v>
      </c>
      <c r="AA8" s="797">
        <v>34.22</v>
      </c>
      <c r="AB8" s="797">
        <v>-2.7619913616731111</v>
      </c>
      <c r="AC8" s="767" t="s">
        <v>336</v>
      </c>
      <c r="AE8" t="s">
        <v>60</v>
      </c>
    </row>
    <row r="9" spans="1:31" ht="12.75" customHeight="1">
      <c r="A9" s="767" t="s">
        <v>61</v>
      </c>
      <c r="B9" s="784">
        <v>31.3</v>
      </c>
      <c r="C9" s="773">
        <v>30.1</v>
      </c>
      <c r="D9" s="773">
        <v>30.64</v>
      </c>
      <c r="E9" s="773">
        <v>33.911000000000001</v>
      </c>
      <c r="F9" s="773">
        <v>36.963999999999999</v>
      </c>
      <c r="G9" s="773">
        <v>37.31</v>
      </c>
      <c r="H9" s="773">
        <v>39.067</v>
      </c>
      <c r="I9" s="773">
        <v>43.673999999999999</v>
      </c>
      <c r="J9" s="773">
        <v>46.534999999999997</v>
      </c>
      <c r="K9" s="773">
        <v>46.011000000000003</v>
      </c>
      <c r="L9" s="773">
        <v>43.447000000000003</v>
      </c>
      <c r="M9" s="773">
        <v>50.375999999999998</v>
      </c>
      <c r="N9" s="773">
        <v>48.140999999999998</v>
      </c>
      <c r="O9" s="773">
        <v>50.877000000000002</v>
      </c>
      <c r="P9" s="773">
        <v>44.954999999999998</v>
      </c>
      <c r="Q9" s="773">
        <v>51.832000000000001</v>
      </c>
      <c r="R9" s="773">
        <v>54.83</v>
      </c>
      <c r="S9" s="773">
        <v>51.228000000000002</v>
      </c>
      <c r="T9" s="773">
        <v>54.893000000000001</v>
      </c>
      <c r="U9" s="773">
        <v>54.091999999999999</v>
      </c>
      <c r="V9" s="773">
        <v>58.715000000000003</v>
      </c>
      <c r="W9" s="773">
        <v>50.314999999999998</v>
      </c>
      <c r="X9" s="798">
        <v>44.274000000000001</v>
      </c>
      <c r="Y9" s="798">
        <v>-12.00635993242571</v>
      </c>
      <c r="Z9" s="767" t="s">
        <v>61</v>
      </c>
      <c r="AA9" s="793">
        <v>35.15</v>
      </c>
      <c r="AB9" s="793">
        <v>-0.73145245559038585</v>
      </c>
      <c r="AC9" s="97" t="s">
        <v>100</v>
      </c>
      <c r="AE9" t="s">
        <v>63</v>
      </c>
    </row>
    <row r="10" spans="1:31" ht="12.75" customHeight="1">
      <c r="A10" s="97" t="s">
        <v>14</v>
      </c>
      <c r="B10" s="791">
        <v>22.4</v>
      </c>
      <c r="C10" s="792">
        <v>21.3</v>
      </c>
      <c r="D10" s="792">
        <v>21.5</v>
      </c>
      <c r="E10" s="792">
        <v>21.4</v>
      </c>
      <c r="F10" s="792">
        <v>23.236000000000001</v>
      </c>
      <c r="G10" s="792">
        <v>24.021000000000001</v>
      </c>
      <c r="H10" s="792">
        <v>22.155999999999999</v>
      </c>
      <c r="I10" s="792">
        <v>22.515999999999998</v>
      </c>
      <c r="J10" s="792">
        <v>23.009</v>
      </c>
      <c r="K10" s="792">
        <v>23.114000000000001</v>
      </c>
      <c r="L10" s="792">
        <v>23.298999999999999</v>
      </c>
      <c r="M10" s="792">
        <v>21.254000000000001</v>
      </c>
      <c r="N10" s="792">
        <v>20.96</v>
      </c>
      <c r="O10" s="792">
        <v>19.48</v>
      </c>
      <c r="P10" s="792">
        <v>16.876000000000001</v>
      </c>
      <c r="Q10" s="792">
        <v>15.018000000000001</v>
      </c>
      <c r="R10" s="792">
        <v>16.12</v>
      </c>
      <c r="S10" s="792">
        <v>16.678999999999998</v>
      </c>
      <c r="T10" s="792">
        <v>16.071999999999999</v>
      </c>
      <c r="U10" s="792">
        <v>16.184000000000001</v>
      </c>
      <c r="V10" s="792">
        <v>15.5</v>
      </c>
      <c r="W10" s="792">
        <v>16.094000000000001</v>
      </c>
      <c r="X10" s="793">
        <v>15.502000000000001</v>
      </c>
      <c r="Y10" s="793">
        <v>-3.6783894619112658</v>
      </c>
      <c r="Z10" s="97" t="s">
        <v>14</v>
      </c>
      <c r="AA10" s="798">
        <v>0.82599999999999996</v>
      </c>
      <c r="AB10" s="798">
        <v>17.496443812233295</v>
      </c>
      <c r="AC10" s="767" t="s">
        <v>71</v>
      </c>
      <c r="AE10" t="s">
        <v>14</v>
      </c>
    </row>
    <row r="11" spans="1:31" ht="12.75" customHeight="1">
      <c r="A11" s="767" t="s">
        <v>63</v>
      </c>
      <c r="B11" s="784">
        <v>237.8</v>
      </c>
      <c r="C11" s="773">
        <v>236.6</v>
      </c>
      <c r="D11" s="773">
        <v>245.9</v>
      </c>
      <c r="E11" s="773">
        <v>257.39999999999998</v>
      </c>
      <c r="F11" s="773">
        <v>278.42700000000002</v>
      </c>
      <c r="G11" s="773">
        <v>280.70800000000003</v>
      </c>
      <c r="H11" s="773">
        <v>288.964</v>
      </c>
      <c r="I11" s="773">
        <v>285.214</v>
      </c>
      <c r="J11" s="773">
        <v>290.745</v>
      </c>
      <c r="K11" s="773">
        <v>303.75200000000001</v>
      </c>
      <c r="L11" s="773">
        <v>310.10300000000001</v>
      </c>
      <c r="M11" s="773">
        <v>330.01600000000002</v>
      </c>
      <c r="N11" s="773">
        <v>343.447</v>
      </c>
      <c r="O11" s="773">
        <v>341.53199999999998</v>
      </c>
      <c r="P11" s="773">
        <v>307.54700000000003</v>
      </c>
      <c r="Q11" s="773">
        <v>313.10399999999998</v>
      </c>
      <c r="R11" s="773">
        <v>323.83300000000003</v>
      </c>
      <c r="S11" s="773">
        <v>307.00900000000001</v>
      </c>
      <c r="T11" s="773">
        <v>305.74400000000003</v>
      </c>
      <c r="U11" s="773">
        <v>310.142</v>
      </c>
      <c r="V11" s="773">
        <v>314.81599999999997</v>
      </c>
      <c r="W11" s="773">
        <v>315.774</v>
      </c>
      <c r="X11" s="798">
        <v>313.149</v>
      </c>
      <c r="Y11" s="798">
        <v>-0.83129073324592184</v>
      </c>
      <c r="Z11" s="767" t="s">
        <v>63</v>
      </c>
      <c r="AA11" s="798">
        <v>44.274000000000001</v>
      </c>
      <c r="AB11" s="798">
        <v>-12.00635993242571</v>
      </c>
      <c r="AC11" s="767" t="s">
        <v>61</v>
      </c>
      <c r="AE11" t="s">
        <v>15</v>
      </c>
    </row>
    <row r="12" spans="1:31" ht="12.75" customHeight="1">
      <c r="A12" s="97" t="s">
        <v>64</v>
      </c>
      <c r="B12" s="791">
        <v>1.5489999999999999</v>
      </c>
      <c r="C12" s="792">
        <v>1.897</v>
      </c>
      <c r="D12" s="792">
        <v>2.7730000000000001</v>
      </c>
      <c r="E12" s="792">
        <v>3.7909999999999999</v>
      </c>
      <c r="F12" s="792">
        <v>3.9750000000000001</v>
      </c>
      <c r="G12" s="792">
        <v>3.9319999999999999</v>
      </c>
      <c r="H12" s="792">
        <v>4.6769999999999996</v>
      </c>
      <c r="I12" s="794">
        <v>4.3869999999999996</v>
      </c>
      <c r="J12" s="792">
        <v>3.9740000000000002</v>
      </c>
      <c r="K12" s="792">
        <v>5.0990000000000002</v>
      </c>
      <c r="L12" s="792">
        <v>5.8239999999999998</v>
      </c>
      <c r="M12" s="792">
        <v>5.548</v>
      </c>
      <c r="N12" s="792">
        <v>6.4169999999999998</v>
      </c>
      <c r="O12" s="792">
        <v>7.3540000000000001</v>
      </c>
      <c r="P12" s="792">
        <v>5.34</v>
      </c>
      <c r="Q12" s="792">
        <v>5.6139999999999999</v>
      </c>
      <c r="R12" s="792">
        <v>5.9119999999999999</v>
      </c>
      <c r="S12" s="792">
        <v>5.7910000000000004</v>
      </c>
      <c r="T12" s="792">
        <v>5.9859999999999998</v>
      </c>
      <c r="U12" s="792">
        <v>6.31</v>
      </c>
      <c r="V12" s="792">
        <v>6.2629999999999999</v>
      </c>
      <c r="W12" s="792">
        <v>6.7160000000000002</v>
      </c>
      <c r="X12" s="793">
        <v>6.1890000000000001</v>
      </c>
      <c r="Y12" s="793">
        <v>-7.84693269803455</v>
      </c>
      <c r="Z12" s="97" t="s">
        <v>64</v>
      </c>
      <c r="AA12" s="798">
        <v>313.149</v>
      </c>
      <c r="AB12" s="798">
        <v>-0.83129073324592184</v>
      </c>
      <c r="AC12" s="767" t="s">
        <v>63</v>
      </c>
      <c r="AE12" t="s">
        <v>66</v>
      </c>
    </row>
    <row r="13" spans="1:31" ht="12.75" customHeight="1">
      <c r="A13" s="767" t="s">
        <v>68</v>
      </c>
      <c r="B13" s="788">
        <v>5.5</v>
      </c>
      <c r="C13" s="789">
        <v>6.3</v>
      </c>
      <c r="D13" s="789">
        <v>7</v>
      </c>
      <c r="E13" s="789">
        <v>8.1999999999999993</v>
      </c>
      <c r="F13" s="789">
        <v>10.206</v>
      </c>
      <c r="G13" s="789">
        <v>12.275</v>
      </c>
      <c r="H13" s="789">
        <v>12.324999999999999</v>
      </c>
      <c r="I13" s="789">
        <v>14.275</v>
      </c>
      <c r="J13" s="789">
        <v>15.65</v>
      </c>
      <c r="K13" s="789">
        <v>17.143999999999998</v>
      </c>
      <c r="L13" s="789">
        <v>17.91</v>
      </c>
      <c r="M13" s="789">
        <v>17.454000000000001</v>
      </c>
      <c r="N13" s="789">
        <v>19.02</v>
      </c>
      <c r="O13" s="789">
        <v>17.402000000000001</v>
      </c>
      <c r="P13" s="789">
        <v>11.686999999999999</v>
      </c>
      <c r="Q13" s="789">
        <v>10.939</v>
      </c>
      <c r="R13" s="789">
        <v>10.108000000000001</v>
      </c>
      <c r="S13" s="789">
        <v>9.9760000000000009</v>
      </c>
      <c r="T13" s="789">
        <v>9.2149999999999999</v>
      </c>
      <c r="U13" s="789">
        <v>9.7509999999999994</v>
      </c>
      <c r="V13" s="789">
        <v>9.9</v>
      </c>
      <c r="W13" s="789">
        <v>11.616</v>
      </c>
      <c r="X13" s="797">
        <v>11.836</v>
      </c>
      <c r="Y13" s="797">
        <v>1.8939393939394051</v>
      </c>
      <c r="Z13" s="767" t="s">
        <v>68</v>
      </c>
      <c r="AA13" s="793">
        <v>15.502000000000001</v>
      </c>
      <c r="AB13" s="793">
        <v>-3.6783894619112658</v>
      </c>
      <c r="AC13" s="97" t="s">
        <v>14</v>
      </c>
      <c r="AE13" t="s">
        <v>87</v>
      </c>
    </row>
    <row r="14" spans="1:31" ht="12.75" customHeight="1">
      <c r="A14" s="97" t="s">
        <v>15</v>
      </c>
      <c r="B14" s="795">
        <v>24</v>
      </c>
      <c r="C14" s="796">
        <v>25.05</v>
      </c>
      <c r="D14" s="796">
        <v>26.12</v>
      </c>
      <c r="E14" s="796">
        <v>27.2</v>
      </c>
      <c r="F14" s="796">
        <v>28.1</v>
      </c>
      <c r="G14" s="796">
        <v>29</v>
      </c>
      <c r="H14" s="796">
        <v>30</v>
      </c>
      <c r="I14" s="796">
        <v>31</v>
      </c>
      <c r="J14" s="810">
        <v>19.34</v>
      </c>
      <c r="K14" s="792">
        <v>36.773000000000003</v>
      </c>
      <c r="L14" s="792">
        <v>23.760999999999999</v>
      </c>
      <c r="M14" s="792">
        <v>34.002000000000002</v>
      </c>
      <c r="N14" s="792">
        <v>27.791</v>
      </c>
      <c r="O14" s="792">
        <v>28.85</v>
      </c>
      <c r="P14" s="792">
        <v>28.585000000000001</v>
      </c>
      <c r="Q14" s="792">
        <v>29.815000000000001</v>
      </c>
      <c r="R14" s="792">
        <v>20.597000000000001</v>
      </c>
      <c r="S14" s="792">
        <v>20.838999999999999</v>
      </c>
      <c r="T14" s="792">
        <v>16.582999999999998</v>
      </c>
      <c r="U14" s="792">
        <v>19.222999999999999</v>
      </c>
      <c r="V14" s="792">
        <v>19.763999999999999</v>
      </c>
      <c r="W14" s="810">
        <v>24.56</v>
      </c>
      <c r="X14" s="793">
        <v>28.376999999999999</v>
      </c>
      <c r="Y14" s="793">
        <v>15.541530944625407</v>
      </c>
      <c r="Z14" s="97" t="s">
        <v>15</v>
      </c>
      <c r="AA14" s="793">
        <v>6.1890000000000001</v>
      </c>
      <c r="AB14" s="793">
        <v>-7.84693269803455</v>
      </c>
      <c r="AC14" s="97" t="s">
        <v>64</v>
      </c>
      <c r="AE14" t="s">
        <v>67</v>
      </c>
    </row>
    <row r="15" spans="1:31" ht="12.75" customHeight="1">
      <c r="A15" s="767" t="s">
        <v>66</v>
      </c>
      <c r="B15" s="788">
        <v>101.6</v>
      </c>
      <c r="C15" s="789">
        <v>102</v>
      </c>
      <c r="D15" s="789">
        <v>109.5</v>
      </c>
      <c r="E15" s="789">
        <v>125</v>
      </c>
      <c r="F15" s="789">
        <v>134.262</v>
      </c>
      <c r="G15" s="789">
        <v>148.71700000000001</v>
      </c>
      <c r="H15" s="789">
        <v>161.04499999999999</v>
      </c>
      <c r="I15" s="789">
        <v>184.54900000000001</v>
      </c>
      <c r="J15" s="789">
        <v>192.596</v>
      </c>
      <c r="K15" s="789">
        <v>220.822</v>
      </c>
      <c r="L15" s="789">
        <v>233.23</v>
      </c>
      <c r="M15" s="789">
        <v>241.78800000000001</v>
      </c>
      <c r="N15" s="789">
        <v>258.875</v>
      </c>
      <c r="O15" s="789">
        <v>242.983</v>
      </c>
      <c r="P15" s="789">
        <v>211.89500000000001</v>
      </c>
      <c r="Q15" s="789">
        <v>210.06800000000001</v>
      </c>
      <c r="R15" s="789">
        <v>206.84299999999999</v>
      </c>
      <c r="S15" s="789">
        <v>199.209</v>
      </c>
      <c r="T15" s="789">
        <v>192.59700000000001</v>
      </c>
      <c r="U15" s="789">
        <v>195.767</v>
      </c>
      <c r="V15" s="789">
        <v>209.39</v>
      </c>
      <c r="W15" s="789">
        <v>216.99700000000001</v>
      </c>
      <c r="X15" s="797">
        <v>231.10900000000001</v>
      </c>
      <c r="Y15" s="797">
        <v>6.5033157140421167</v>
      </c>
      <c r="Z15" s="767" t="s">
        <v>66</v>
      </c>
      <c r="AA15" s="793">
        <v>28.376999999999999</v>
      </c>
      <c r="AB15" s="793">
        <v>15.541530944625407</v>
      </c>
      <c r="AC15" s="97" t="s">
        <v>15</v>
      </c>
      <c r="AE15" t="s">
        <v>68</v>
      </c>
    </row>
    <row r="16" spans="1:31" ht="12.75" customHeight="1">
      <c r="A16" s="97" t="s">
        <v>67</v>
      </c>
      <c r="B16" s="791">
        <v>178.2</v>
      </c>
      <c r="C16" s="792">
        <v>180</v>
      </c>
      <c r="D16" s="792">
        <v>181.4</v>
      </c>
      <c r="E16" s="792">
        <v>189.1</v>
      </c>
      <c r="F16" s="792">
        <v>204.71299999999999</v>
      </c>
      <c r="G16" s="792">
        <v>203.999</v>
      </c>
      <c r="H16" s="792">
        <v>206.87</v>
      </c>
      <c r="I16" s="792">
        <v>204.35900000000001</v>
      </c>
      <c r="J16" s="792">
        <v>203.608</v>
      </c>
      <c r="K16" s="792">
        <v>212.20099999999999</v>
      </c>
      <c r="L16" s="792">
        <v>205.28399999999999</v>
      </c>
      <c r="M16" s="792">
        <v>211.44499999999999</v>
      </c>
      <c r="N16" s="792">
        <v>219.21199999999999</v>
      </c>
      <c r="O16" s="792">
        <v>206.304</v>
      </c>
      <c r="P16" s="792">
        <v>173.62100000000001</v>
      </c>
      <c r="Q16" s="792">
        <v>182.19300000000001</v>
      </c>
      <c r="R16" s="792">
        <v>185.685</v>
      </c>
      <c r="S16" s="792">
        <v>172.44499999999999</v>
      </c>
      <c r="T16" s="792">
        <v>171.47200000000001</v>
      </c>
      <c r="U16" s="792">
        <v>165.22499999999999</v>
      </c>
      <c r="V16" s="792">
        <v>153.58000000000001</v>
      </c>
      <c r="W16" s="792">
        <v>155.84299999999999</v>
      </c>
      <c r="X16" s="793">
        <v>167.691</v>
      </c>
      <c r="Y16" s="793">
        <v>7.6025230520459814</v>
      </c>
      <c r="Z16" s="97" t="s">
        <v>67</v>
      </c>
      <c r="AA16" s="797">
        <v>231.10900000000001</v>
      </c>
      <c r="AB16" s="797">
        <v>6.5033157140421167</v>
      </c>
      <c r="AC16" s="767" t="s">
        <v>66</v>
      </c>
      <c r="AE16" t="s">
        <v>69</v>
      </c>
    </row>
    <row r="17" spans="1:31" ht="12.75" customHeight="1">
      <c r="A17" s="767" t="s">
        <v>144</v>
      </c>
      <c r="B17" s="784"/>
      <c r="C17" s="773"/>
      <c r="D17" s="773"/>
      <c r="E17" s="786"/>
      <c r="F17" s="773">
        <v>2.4239999999999999</v>
      </c>
      <c r="G17" s="773">
        <v>2.8559999999999999</v>
      </c>
      <c r="H17" s="773">
        <v>6.7829999999999995</v>
      </c>
      <c r="I17" s="773">
        <v>7.4130000000000003</v>
      </c>
      <c r="J17" s="773">
        <v>8.2409999999999997</v>
      </c>
      <c r="K17" s="773">
        <v>8.8189999999999991</v>
      </c>
      <c r="L17" s="773">
        <v>9.3279999999999994</v>
      </c>
      <c r="M17" s="773">
        <v>10.175000000000001</v>
      </c>
      <c r="N17" s="773">
        <v>10.502000000000001</v>
      </c>
      <c r="O17" s="773">
        <v>11.042</v>
      </c>
      <c r="P17" s="773">
        <v>9.4260000000000002</v>
      </c>
      <c r="Q17" s="773">
        <v>8.7799999999999994</v>
      </c>
      <c r="R17" s="773">
        <v>8.9260000000000002</v>
      </c>
      <c r="S17" s="773">
        <v>8.6489999999999991</v>
      </c>
      <c r="T17" s="773">
        <v>9.1329999999999991</v>
      </c>
      <c r="U17" s="773">
        <v>9.3810000000000002</v>
      </c>
      <c r="V17" s="773">
        <v>10.439</v>
      </c>
      <c r="W17" s="773">
        <v>11.337</v>
      </c>
      <c r="X17" s="798">
        <v>11.834</v>
      </c>
      <c r="Y17" s="798">
        <v>4.3838758048866566</v>
      </c>
      <c r="Z17" s="767" t="s">
        <v>144</v>
      </c>
      <c r="AA17" s="793">
        <v>27.966000000000001</v>
      </c>
      <c r="AB17" s="793">
        <v>4.1719436787603428</v>
      </c>
      <c r="AC17" s="97" t="s">
        <v>87</v>
      </c>
      <c r="AE17" t="s">
        <v>76</v>
      </c>
    </row>
    <row r="18" spans="1:31" ht="12.75" customHeight="1">
      <c r="A18" s="97" t="s">
        <v>69</v>
      </c>
      <c r="B18" s="795">
        <v>174.43100000000001</v>
      </c>
      <c r="C18" s="796">
        <v>175.45</v>
      </c>
      <c r="D18" s="796">
        <v>178.35300000000001</v>
      </c>
      <c r="E18" s="796">
        <v>180.482</v>
      </c>
      <c r="F18" s="796">
        <v>177.291</v>
      </c>
      <c r="G18" s="796">
        <v>184.67699999999999</v>
      </c>
      <c r="H18" s="796">
        <v>186.51300000000001</v>
      </c>
      <c r="I18" s="792">
        <v>192.68100000000001</v>
      </c>
      <c r="J18" s="792">
        <v>174.08799999999999</v>
      </c>
      <c r="K18" s="792">
        <v>196.98</v>
      </c>
      <c r="L18" s="792">
        <v>211.804</v>
      </c>
      <c r="M18" s="792">
        <v>187.065</v>
      </c>
      <c r="N18" s="792">
        <v>179.411</v>
      </c>
      <c r="O18" s="792">
        <v>180.46100000000001</v>
      </c>
      <c r="P18" s="792">
        <v>167.62700000000001</v>
      </c>
      <c r="Q18" s="792">
        <v>175.77500000000001</v>
      </c>
      <c r="R18" s="792">
        <v>142.84299999999999</v>
      </c>
      <c r="S18" s="792">
        <v>124.015</v>
      </c>
      <c r="T18" s="792">
        <v>127.241</v>
      </c>
      <c r="U18" s="792">
        <v>117.813</v>
      </c>
      <c r="V18" s="792">
        <v>116.82</v>
      </c>
      <c r="W18" s="792">
        <v>112.637</v>
      </c>
      <c r="X18" s="793">
        <v>119.687</v>
      </c>
      <c r="Y18" s="793">
        <v>6.2590445413141396</v>
      </c>
      <c r="Z18" s="97" t="s">
        <v>69</v>
      </c>
      <c r="AA18" s="793">
        <v>167.691</v>
      </c>
      <c r="AB18" s="793">
        <v>7.6025230520459814</v>
      </c>
      <c r="AC18" s="97" t="s">
        <v>67</v>
      </c>
      <c r="AE18" t="s">
        <v>16</v>
      </c>
    </row>
    <row r="19" spans="1:31" ht="12.75" customHeight="1">
      <c r="A19" s="767" t="s">
        <v>71</v>
      </c>
      <c r="B19" s="784">
        <v>1.2</v>
      </c>
      <c r="C19" s="773">
        <v>1.23</v>
      </c>
      <c r="D19" s="773">
        <v>1.25</v>
      </c>
      <c r="E19" s="773">
        <v>1.29</v>
      </c>
      <c r="F19" s="773">
        <v>1.3</v>
      </c>
      <c r="G19" s="773">
        <v>1.31</v>
      </c>
      <c r="H19" s="773">
        <v>1.32</v>
      </c>
      <c r="I19" s="773">
        <v>1.3220000000000001</v>
      </c>
      <c r="J19" s="773">
        <v>1.401</v>
      </c>
      <c r="K19" s="773">
        <v>1.119</v>
      </c>
      <c r="L19" s="773">
        <v>1.393</v>
      </c>
      <c r="M19" s="773">
        <v>1.165</v>
      </c>
      <c r="N19" s="773">
        <v>1.202</v>
      </c>
      <c r="O19" s="773">
        <v>1.3080000000000001</v>
      </c>
      <c r="P19" s="773">
        <v>0.96299999999999997</v>
      </c>
      <c r="Q19" s="773">
        <v>1.087</v>
      </c>
      <c r="R19" s="773">
        <v>0.94099999999999995</v>
      </c>
      <c r="S19" s="773">
        <v>0.89600000000000002</v>
      </c>
      <c r="T19" s="773">
        <v>0.63400000000000001</v>
      </c>
      <c r="U19" s="773">
        <v>0.53800000000000003</v>
      </c>
      <c r="V19" s="773">
        <v>0.56299999999999994</v>
      </c>
      <c r="W19" s="773">
        <v>0.70299999999999996</v>
      </c>
      <c r="X19" s="798">
        <v>0.82599999999999996</v>
      </c>
      <c r="Y19" s="798">
        <v>17.496443812233295</v>
      </c>
      <c r="Z19" s="767" t="s">
        <v>71</v>
      </c>
      <c r="AA19" s="798">
        <v>11.834</v>
      </c>
      <c r="AB19" s="798">
        <v>4.3838758048866566</v>
      </c>
      <c r="AC19" s="767" t="s">
        <v>144</v>
      </c>
      <c r="AE19" t="s">
        <v>92</v>
      </c>
    </row>
    <row r="20" spans="1:31" ht="12.75" customHeight="1">
      <c r="A20" s="97" t="s">
        <v>72</v>
      </c>
      <c r="B20" s="791">
        <v>1.83</v>
      </c>
      <c r="C20" s="792">
        <v>2.2080000000000002</v>
      </c>
      <c r="D20" s="792">
        <v>3.3519999999999999</v>
      </c>
      <c r="E20" s="792">
        <v>4.1079999999999997</v>
      </c>
      <c r="F20" s="792">
        <v>4.1609999999999996</v>
      </c>
      <c r="G20" s="792">
        <v>4.7889999999999997</v>
      </c>
      <c r="H20" s="792">
        <v>5.36</v>
      </c>
      <c r="I20" s="792">
        <v>6.2</v>
      </c>
      <c r="J20" s="792">
        <v>6.8079999999999998</v>
      </c>
      <c r="K20" s="792">
        <v>7.3810000000000002</v>
      </c>
      <c r="L20" s="792">
        <v>8.3940000000000001</v>
      </c>
      <c r="M20" s="792">
        <v>10.753</v>
      </c>
      <c r="N20" s="792">
        <v>13.204000000000001</v>
      </c>
      <c r="O20" s="792">
        <v>12.343999999999999</v>
      </c>
      <c r="P20" s="792">
        <v>8.1150000000000002</v>
      </c>
      <c r="Q20" s="792">
        <v>10.59</v>
      </c>
      <c r="R20" s="792">
        <v>12.131</v>
      </c>
      <c r="S20" s="792">
        <v>12.178000000000001</v>
      </c>
      <c r="T20" s="792">
        <v>12.816000000000001</v>
      </c>
      <c r="U20" s="792">
        <v>13.67</v>
      </c>
      <c r="V20" s="792">
        <v>14.69</v>
      </c>
      <c r="W20" s="792">
        <v>14.227</v>
      </c>
      <c r="X20" s="793">
        <v>14.972</v>
      </c>
      <c r="Y20" s="793">
        <v>5.2365221058550588</v>
      </c>
      <c r="Z20" s="97" t="s">
        <v>72</v>
      </c>
      <c r="AA20" s="798">
        <v>39.683999999999997</v>
      </c>
      <c r="AB20" s="798">
        <v>-0.79496025198740483</v>
      </c>
      <c r="AC20" s="767" t="s">
        <v>77</v>
      </c>
      <c r="AE20" t="s">
        <v>88</v>
      </c>
    </row>
    <row r="21" spans="1:31" ht="12.75" customHeight="1">
      <c r="A21" s="767" t="s">
        <v>73</v>
      </c>
      <c r="B21" s="784">
        <v>5.2</v>
      </c>
      <c r="C21" s="773">
        <v>4.1909999999999998</v>
      </c>
      <c r="D21" s="773">
        <v>5.1459999999999999</v>
      </c>
      <c r="E21" s="773">
        <v>5.6109999999999998</v>
      </c>
      <c r="F21" s="773">
        <v>7.74</v>
      </c>
      <c r="G21" s="773">
        <v>7.7690000000000001</v>
      </c>
      <c r="H21" s="773">
        <v>8.2739999999999991</v>
      </c>
      <c r="I21" s="773">
        <v>10.709</v>
      </c>
      <c r="J21" s="773">
        <v>11.462</v>
      </c>
      <c r="K21" s="773">
        <v>12.279</v>
      </c>
      <c r="L21" s="773">
        <v>15.907999999999999</v>
      </c>
      <c r="M21" s="773">
        <v>18.134</v>
      </c>
      <c r="N21" s="773">
        <v>20.277999999999999</v>
      </c>
      <c r="O21" s="773">
        <v>20.419</v>
      </c>
      <c r="P21" s="773">
        <v>17.757000000000001</v>
      </c>
      <c r="Q21" s="773">
        <v>19.398</v>
      </c>
      <c r="R21" s="773">
        <v>21.512</v>
      </c>
      <c r="S21" s="773">
        <v>23.449000000000002</v>
      </c>
      <c r="T21" s="773">
        <v>26.338000000000001</v>
      </c>
      <c r="U21" s="773">
        <v>28.067</v>
      </c>
      <c r="V21" s="773">
        <v>26.484999999999999</v>
      </c>
      <c r="W21" s="773">
        <v>30.974</v>
      </c>
      <c r="X21" s="798">
        <v>39.098999999999997</v>
      </c>
      <c r="Y21" s="798">
        <v>26.231678181700772</v>
      </c>
      <c r="Z21" s="767" t="s">
        <v>73</v>
      </c>
      <c r="AA21" s="797">
        <v>11.836</v>
      </c>
      <c r="AB21" s="797">
        <v>1.8939393939394051</v>
      </c>
      <c r="AC21" s="767" t="s">
        <v>68</v>
      </c>
      <c r="AE21" t="s">
        <v>13</v>
      </c>
    </row>
    <row r="22" spans="1:31" ht="12.75" customHeight="1">
      <c r="A22" s="97" t="s">
        <v>76</v>
      </c>
      <c r="B22" s="791">
        <v>5.5</v>
      </c>
      <c r="C22" s="792">
        <v>3.5</v>
      </c>
      <c r="D22" s="792">
        <v>4.4000000000000004</v>
      </c>
      <c r="E22" s="792">
        <v>5</v>
      </c>
      <c r="F22" s="792">
        <v>6.3129999999999997</v>
      </c>
      <c r="G22" s="792">
        <v>7.609</v>
      </c>
      <c r="H22" s="792">
        <v>8.6999999999999993</v>
      </c>
      <c r="I22" s="792">
        <v>9.1790000000000003</v>
      </c>
      <c r="J22" s="792">
        <v>9.6449999999999996</v>
      </c>
      <c r="K22" s="792">
        <v>9.5749999999999993</v>
      </c>
      <c r="L22" s="792">
        <v>8.8030000000000008</v>
      </c>
      <c r="M22" s="792">
        <v>8.8070000000000004</v>
      </c>
      <c r="N22" s="792">
        <v>9.5619999999999994</v>
      </c>
      <c r="O22" s="792">
        <v>8.9649999999999999</v>
      </c>
      <c r="P22" s="792">
        <v>8.4</v>
      </c>
      <c r="Q22" s="792">
        <v>8.6940000000000008</v>
      </c>
      <c r="R22" s="792">
        <v>8.8350000000000009</v>
      </c>
      <c r="S22" s="792">
        <v>7.95</v>
      </c>
      <c r="T22" s="792">
        <v>8.6059999999999999</v>
      </c>
      <c r="U22" s="792">
        <v>9.5990000000000002</v>
      </c>
      <c r="V22" s="792">
        <v>8.85</v>
      </c>
      <c r="W22" s="792">
        <v>9.3239999999999998</v>
      </c>
      <c r="X22" s="793">
        <v>9.4139999999999997</v>
      </c>
      <c r="Y22" s="793">
        <v>0.96525096525097354</v>
      </c>
      <c r="Z22" s="97" t="s">
        <v>76</v>
      </c>
      <c r="AA22" s="793">
        <v>119.687</v>
      </c>
      <c r="AB22" s="793">
        <v>6.2590445413141396</v>
      </c>
      <c r="AC22" s="97" t="s">
        <v>69</v>
      </c>
    </row>
    <row r="23" spans="1:31" ht="12.75" customHeight="1">
      <c r="A23" s="767" t="s">
        <v>77</v>
      </c>
      <c r="B23" s="784">
        <v>13.8</v>
      </c>
      <c r="C23" s="773">
        <v>14.3</v>
      </c>
      <c r="D23" s="773">
        <v>14.9</v>
      </c>
      <c r="E23" s="773">
        <v>18.673999999999999</v>
      </c>
      <c r="F23" s="773">
        <v>18.599</v>
      </c>
      <c r="G23" s="773">
        <v>19.123999999999999</v>
      </c>
      <c r="H23" s="773">
        <v>18.486000000000001</v>
      </c>
      <c r="I23" s="773">
        <v>17.913</v>
      </c>
      <c r="J23" s="773">
        <v>18.207999999999998</v>
      </c>
      <c r="K23" s="773">
        <v>20.608000000000001</v>
      </c>
      <c r="L23" s="773">
        <v>25.152000000000001</v>
      </c>
      <c r="M23" s="773">
        <v>30.478999999999999</v>
      </c>
      <c r="N23" s="773">
        <v>35.805</v>
      </c>
      <c r="O23" s="773">
        <v>35.759</v>
      </c>
      <c r="P23" s="773">
        <v>35.372999999999998</v>
      </c>
      <c r="Q23" s="773">
        <v>33.720999999999997</v>
      </c>
      <c r="R23" s="773">
        <v>34.529000000000003</v>
      </c>
      <c r="S23" s="773">
        <v>33.735999999999997</v>
      </c>
      <c r="T23" s="773">
        <v>35.817999999999998</v>
      </c>
      <c r="U23" s="773">
        <v>37.517000000000003</v>
      </c>
      <c r="V23" s="773">
        <v>38.353000000000002</v>
      </c>
      <c r="W23" s="773">
        <v>40.002000000000002</v>
      </c>
      <c r="X23" s="798">
        <v>39.683999999999997</v>
      </c>
      <c r="Y23" s="798">
        <v>-0.79496025198740483</v>
      </c>
      <c r="Z23" s="767" t="s">
        <v>77</v>
      </c>
      <c r="AA23" s="798">
        <v>39.098999999999997</v>
      </c>
      <c r="AB23" s="798">
        <v>26.231678181700772</v>
      </c>
      <c r="AC23" s="767" t="s">
        <v>73</v>
      </c>
    </row>
    <row r="24" spans="1:31" ht="12.75" customHeight="1">
      <c r="A24" s="97" t="s">
        <v>78</v>
      </c>
      <c r="B24" s="795">
        <v>0.25</v>
      </c>
      <c r="C24" s="796">
        <v>0.25</v>
      </c>
      <c r="D24" s="796">
        <v>0.25</v>
      </c>
      <c r="E24" s="796">
        <v>0.25</v>
      </c>
      <c r="F24" s="796">
        <v>0.25</v>
      </c>
      <c r="G24" s="796">
        <v>0.25</v>
      </c>
      <c r="H24" s="796">
        <v>0.25</v>
      </c>
      <c r="I24" s="796">
        <v>0.25</v>
      </c>
      <c r="J24" s="796">
        <v>0.25</v>
      </c>
      <c r="K24" s="796">
        <v>0.25</v>
      </c>
      <c r="L24" s="796">
        <v>0.25</v>
      </c>
      <c r="M24" s="796">
        <v>0.25</v>
      </c>
      <c r="N24" s="796">
        <v>0.25</v>
      </c>
      <c r="O24" s="796">
        <v>0.25</v>
      </c>
      <c r="P24" s="796">
        <v>0.25</v>
      </c>
      <c r="Q24" s="796">
        <v>0.25</v>
      </c>
      <c r="R24" s="796">
        <v>0.25</v>
      </c>
      <c r="S24" s="796">
        <v>0.25</v>
      </c>
      <c r="T24" s="796">
        <v>0.25</v>
      </c>
      <c r="U24" s="796">
        <v>0.25</v>
      </c>
      <c r="V24" s="796">
        <v>0.25</v>
      </c>
      <c r="W24" s="796">
        <v>0.25</v>
      </c>
      <c r="X24" s="805">
        <v>0.25</v>
      </c>
      <c r="Y24" s="796">
        <v>0</v>
      </c>
      <c r="Z24" s="97" t="s">
        <v>78</v>
      </c>
      <c r="AA24" s="793">
        <v>9.4139999999999997</v>
      </c>
      <c r="AB24" s="792">
        <v>0.96525096525097354</v>
      </c>
      <c r="AC24" s="97" t="s">
        <v>76</v>
      </c>
    </row>
    <row r="25" spans="1:31" ht="12.75" customHeight="1">
      <c r="A25" s="767" t="s">
        <v>16</v>
      </c>
      <c r="B25" s="784">
        <v>67.099999999999994</v>
      </c>
      <c r="C25" s="773">
        <v>69.400000000000006</v>
      </c>
      <c r="D25" s="773">
        <v>70.599999999999994</v>
      </c>
      <c r="E25" s="773">
        <v>78.5</v>
      </c>
      <c r="F25" s="773">
        <v>83.563999999999993</v>
      </c>
      <c r="G25" s="773">
        <v>79.564999999999998</v>
      </c>
      <c r="H25" s="773">
        <v>78.492000000000004</v>
      </c>
      <c r="I25" s="773">
        <v>77.418000000000006</v>
      </c>
      <c r="J25" s="773">
        <v>79.765000000000001</v>
      </c>
      <c r="K25" s="773">
        <v>89.694999999999993</v>
      </c>
      <c r="L25" s="773">
        <v>84.162999999999997</v>
      </c>
      <c r="M25" s="773">
        <v>83.192999999999998</v>
      </c>
      <c r="N25" s="773">
        <v>77.921000000000006</v>
      </c>
      <c r="O25" s="773">
        <v>78.159000000000006</v>
      </c>
      <c r="P25" s="773">
        <v>72.674999999999997</v>
      </c>
      <c r="Q25" s="773">
        <v>76.835999999999999</v>
      </c>
      <c r="R25" s="773">
        <v>75.543000000000006</v>
      </c>
      <c r="S25" s="773">
        <v>70.084999999999994</v>
      </c>
      <c r="T25" s="773">
        <v>72.081000000000003</v>
      </c>
      <c r="U25" s="773">
        <v>72.337999999999994</v>
      </c>
      <c r="V25" s="773">
        <v>68.900000000000006</v>
      </c>
      <c r="W25" s="773">
        <v>67.963999999999999</v>
      </c>
      <c r="X25" s="798">
        <v>67.533000000000001</v>
      </c>
      <c r="Y25" s="798">
        <v>-0.6341592607851112</v>
      </c>
      <c r="Z25" s="767" t="s">
        <v>16</v>
      </c>
      <c r="AA25" s="793">
        <v>14.972</v>
      </c>
      <c r="AB25" s="793">
        <v>5.2365221058550588</v>
      </c>
      <c r="AC25" s="97" t="s">
        <v>72</v>
      </c>
    </row>
    <row r="26" spans="1:31" ht="12.75" customHeight="1">
      <c r="A26" s="97" t="s">
        <v>81</v>
      </c>
      <c r="B26" s="791">
        <v>26.5</v>
      </c>
      <c r="C26" s="792">
        <v>27.8</v>
      </c>
      <c r="D26" s="792">
        <v>28.6</v>
      </c>
      <c r="E26" s="792">
        <v>30.3</v>
      </c>
      <c r="F26" s="792">
        <v>33.981999999999999</v>
      </c>
      <c r="G26" s="792">
        <v>35.122</v>
      </c>
      <c r="H26" s="792">
        <v>37.531999999999996</v>
      </c>
      <c r="I26" s="792">
        <v>38.497999999999998</v>
      </c>
      <c r="J26" s="792">
        <v>39.557000000000002</v>
      </c>
      <c r="K26" s="792">
        <v>39.186</v>
      </c>
      <c r="L26" s="792">
        <v>37.043999999999997</v>
      </c>
      <c r="M26" s="792">
        <v>39.186999999999998</v>
      </c>
      <c r="N26" s="792">
        <v>37.402000000000001</v>
      </c>
      <c r="O26" s="792">
        <v>34.313000000000002</v>
      </c>
      <c r="P26" s="792">
        <v>29.074999999999999</v>
      </c>
      <c r="Q26" s="792">
        <v>28.658999999999999</v>
      </c>
      <c r="R26" s="792">
        <v>28.542000000000002</v>
      </c>
      <c r="S26" s="792">
        <v>26.088999999999999</v>
      </c>
      <c r="T26" s="792">
        <v>24.213000000000001</v>
      </c>
      <c r="U26" s="792">
        <v>25.26</v>
      </c>
      <c r="V26" s="792">
        <v>25.457999999999998</v>
      </c>
      <c r="W26" s="792">
        <v>26.138000000000002</v>
      </c>
      <c r="X26" s="793">
        <v>25.978000000000002</v>
      </c>
      <c r="Y26" s="793">
        <v>-0.61213558803274282</v>
      </c>
      <c r="Z26" s="97" t="s">
        <v>81</v>
      </c>
      <c r="AA26" s="805">
        <v>0.25</v>
      </c>
      <c r="AB26" s="805">
        <v>0</v>
      </c>
      <c r="AC26" s="97" t="s">
        <v>78</v>
      </c>
    </row>
    <row r="27" spans="1:31" ht="12.75" customHeight="1">
      <c r="A27" s="767" t="s">
        <v>80</v>
      </c>
      <c r="B27" s="787">
        <v>51.2</v>
      </c>
      <c r="C27" s="786">
        <v>56.513000000000005</v>
      </c>
      <c r="D27" s="786">
        <v>63.683999999999997</v>
      </c>
      <c r="E27" s="786">
        <v>69.542000000000002</v>
      </c>
      <c r="F27" s="786">
        <v>70.451999999999998</v>
      </c>
      <c r="G27" s="786">
        <v>75.022999999999996</v>
      </c>
      <c r="H27" s="786">
        <v>77.227999999999994</v>
      </c>
      <c r="I27" s="786">
        <v>80.317999999999998</v>
      </c>
      <c r="J27" s="786">
        <v>85.989000000000004</v>
      </c>
      <c r="K27" s="773">
        <v>102.807</v>
      </c>
      <c r="L27" s="773">
        <v>111.82599999999999</v>
      </c>
      <c r="M27" s="773">
        <v>128.315</v>
      </c>
      <c r="N27" s="773">
        <v>150.87899999999999</v>
      </c>
      <c r="O27" s="773">
        <v>164.93</v>
      </c>
      <c r="P27" s="773">
        <v>180.74199999999999</v>
      </c>
      <c r="Q27" s="773">
        <v>202.30799999999999</v>
      </c>
      <c r="R27" s="773">
        <v>207.65100000000001</v>
      </c>
      <c r="S27" s="773">
        <v>222.33199999999999</v>
      </c>
      <c r="T27" s="773">
        <v>247.59399999999999</v>
      </c>
      <c r="U27" s="773">
        <v>250.93100000000001</v>
      </c>
      <c r="V27" s="773">
        <v>260.71300000000002</v>
      </c>
      <c r="W27" s="773">
        <v>290.74900000000002</v>
      </c>
      <c r="X27" s="798">
        <v>335.22</v>
      </c>
      <c r="Y27" s="798">
        <v>15.295323457690316</v>
      </c>
      <c r="Z27" s="767" t="s">
        <v>80</v>
      </c>
      <c r="AA27" s="798">
        <v>67.533000000000001</v>
      </c>
      <c r="AB27" s="798">
        <v>-0.6341592607851112</v>
      </c>
      <c r="AC27" s="767" t="s">
        <v>16</v>
      </c>
    </row>
    <row r="28" spans="1:31" ht="12.75" customHeight="1">
      <c r="A28" s="97" t="s">
        <v>92</v>
      </c>
      <c r="B28" s="791">
        <v>32</v>
      </c>
      <c r="C28" s="792">
        <v>33.64</v>
      </c>
      <c r="D28" s="792">
        <v>35.96</v>
      </c>
      <c r="E28" s="792">
        <v>36.68</v>
      </c>
      <c r="F28" s="810">
        <v>26.087</v>
      </c>
      <c r="G28" s="792">
        <v>26.835999999999999</v>
      </c>
      <c r="H28" s="792">
        <v>29.966999999999999</v>
      </c>
      <c r="I28" s="792">
        <v>29.724</v>
      </c>
      <c r="J28" s="792">
        <v>27.425000000000001</v>
      </c>
      <c r="K28" s="810">
        <v>40.819000000000003</v>
      </c>
      <c r="L28" s="792">
        <v>42.606999999999999</v>
      </c>
      <c r="M28" s="792">
        <v>44.835000000000001</v>
      </c>
      <c r="N28" s="792">
        <v>46.203000000000003</v>
      </c>
      <c r="O28" s="792">
        <v>39.091000000000001</v>
      </c>
      <c r="P28" s="792">
        <v>35.808</v>
      </c>
      <c r="Q28" s="792">
        <v>35.368000000000002</v>
      </c>
      <c r="R28" s="792">
        <v>36.453000000000003</v>
      </c>
      <c r="S28" s="792">
        <v>32.935000000000002</v>
      </c>
      <c r="T28" s="792">
        <v>36.555</v>
      </c>
      <c r="U28" s="792">
        <v>34.863</v>
      </c>
      <c r="V28" s="792">
        <v>31.835000000000001</v>
      </c>
      <c r="W28" s="792">
        <v>34.877000000000002</v>
      </c>
      <c r="X28" s="793">
        <v>34.186</v>
      </c>
      <c r="Y28" s="793">
        <v>-1.9812483871892681</v>
      </c>
      <c r="Z28" s="97" t="s">
        <v>92</v>
      </c>
      <c r="AA28" s="798">
        <v>335.22</v>
      </c>
      <c r="AB28" s="798">
        <v>15.295323457690316</v>
      </c>
      <c r="AC28" s="767" t="s">
        <v>80</v>
      </c>
    </row>
    <row r="29" spans="1:31" ht="12.75" customHeight="1">
      <c r="A29" s="767" t="s">
        <v>101</v>
      </c>
      <c r="B29" s="788">
        <v>19.7</v>
      </c>
      <c r="C29" s="789">
        <v>19.8</v>
      </c>
      <c r="D29" s="789">
        <v>21.8</v>
      </c>
      <c r="E29" s="789">
        <v>15.785</v>
      </c>
      <c r="F29" s="789">
        <v>13.456</v>
      </c>
      <c r="G29" s="802">
        <v>14.288</v>
      </c>
      <c r="H29" s="789">
        <v>18.544</v>
      </c>
      <c r="I29" s="789">
        <v>25.35</v>
      </c>
      <c r="J29" s="789">
        <v>30.853000000000002</v>
      </c>
      <c r="K29" s="789">
        <v>37.22</v>
      </c>
      <c r="L29" s="789">
        <v>51.531999999999996</v>
      </c>
      <c r="M29" s="789">
        <v>57.287999999999997</v>
      </c>
      <c r="N29" s="789">
        <v>59.524000000000001</v>
      </c>
      <c r="O29" s="789">
        <v>56.386000000000003</v>
      </c>
      <c r="P29" s="789">
        <v>34.268999999999998</v>
      </c>
      <c r="Q29" s="789">
        <v>25.888999999999999</v>
      </c>
      <c r="R29" s="789">
        <v>26.349</v>
      </c>
      <c r="S29" s="789">
        <v>29.661999999999999</v>
      </c>
      <c r="T29" s="789">
        <v>34.026000000000003</v>
      </c>
      <c r="U29" s="789">
        <v>35.136000000000003</v>
      </c>
      <c r="V29" s="789">
        <v>39.023000000000003</v>
      </c>
      <c r="W29" s="789">
        <v>48.176000000000002</v>
      </c>
      <c r="X29" s="797">
        <v>54.704000000000001</v>
      </c>
      <c r="Y29" s="797">
        <v>13.550315509797414</v>
      </c>
      <c r="Z29" s="767" t="s">
        <v>101</v>
      </c>
      <c r="AA29" s="793">
        <v>34.186</v>
      </c>
      <c r="AB29" s="793">
        <v>-1.9812483871892681</v>
      </c>
      <c r="AC29" s="97" t="s">
        <v>92</v>
      </c>
    </row>
    <row r="30" spans="1:31" ht="12.75" customHeight="1">
      <c r="A30" s="97" t="s">
        <v>83</v>
      </c>
      <c r="B30" s="791">
        <v>3.3</v>
      </c>
      <c r="C30" s="792">
        <v>3.5</v>
      </c>
      <c r="D30" s="792">
        <v>3.9</v>
      </c>
      <c r="E30" s="792">
        <v>3.8</v>
      </c>
      <c r="F30" s="792">
        <v>4.2</v>
      </c>
      <c r="G30" s="792">
        <v>5.3</v>
      </c>
      <c r="H30" s="792">
        <v>7.0350000000000001</v>
      </c>
      <c r="I30" s="792">
        <v>6.609</v>
      </c>
      <c r="J30" s="792">
        <v>7.04</v>
      </c>
      <c r="K30" s="792">
        <v>9.0069999999999997</v>
      </c>
      <c r="L30" s="792">
        <v>11.032</v>
      </c>
      <c r="M30" s="792">
        <v>12.112</v>
      </c>
      <c r="N30" s="792">
        <v>13.734</v>
      </c>
      <c r="O30" s="792">
        <v>16.260999999999999</v>
      </c>
      <c r="P30" s="792">
        <v>14.762</v>
      </c>
      <c r="Q30" s="792">
        <v>15.930999999999999</v>
      </c>
      <c r="R30" s="792">
        <v>16.439</v>
      </c>
      <c r="S30" s="792">
        <v>15.888</v>
      </c>
      <c r="T30" s="792">
        <v>15.904999999999999</v>
      </c>
      <c r="U30" s="792">
        <v>16.273</v>
      </c>
      <c r="V30" s="792">
        <v>17.908999999999999</v>
      </c>
      <c r="W30" s="792">
        <v>18.707000000000001</v>
      </c>
      <c r="X30" s="793">
        <v>20.814</v>
      </c>
      <c r="Y30" s="793">
        <v>11.263163521676375</v>
      </c>
      <c r="Z30" s="97" t="s">
        <v>83</v>
      </c>
      <c r="AA30" s="797">
        <v>54.704000000000001</v>
      </c>
      <c r="AB30" s="797">
        <v>13.550315509797414</v>
      </c>
      <c r="AC30" s="767" t="s">
        <v>101</v>
      </c>
    </row>
    <row r="31" spans="1:31" ht="12.75" customHeight="1">
      <c r="A31" s="767" t="s">
        <v>85</v>
      </c>
      <c r="B31" s="788">
        <v>15.9</v>
      </c>
      <c r="C31" s="789">
        <v>15.85</v>
      </c>
      <c r="D31" s="789">
        <v>15.35</v>
      </c>
      <c r="E31" s="789">
        <v>17.88</v>
      </c>
      <c r="F31" s="789">
        <v>18.52</v>
      </c>
      <c r="G31" s="789">
        <v>14.34</v>
      </c>
      <c r="H31" s="789">
        <v>13.8</v>
      </c>
      <c r="I31" s="789">
        <v>14.93</v>
      </c>
      <c r="J31" s="789">
        <v>16.748000000000001</v>
      </c>
      <c r="K31" s="789">
        <v>18.527000000000001</v>
      </c>
      <c r="L31" s="789">
        <v>22.565999999999999</v>
      </c>
      <c r="M31" s="789">
        <v>22.212</v>
      </c>
      <c r="N31" s="789">
        <v>27.158999999999999</v>
      </c>
      <c r="O31" s="789">
        <v>29.276</v>
      </c>
      <c r="P31" s="789">
        <v>27.704999999999998</v>
      </c>
      <c r="Q31" s="789">
        <v>27.574999999999999</v>
      </c>
      <c r="R31" s="789">
        <v>29.178999999999998</v>
      </c>
      <c r="S31" s="789">
        <v>29.693000000000001</v>
      </c>
      <c r="T31" s="789">
        <v>30.146999999999998</v>
      </c>
      <c r="U31" s="789">
        <v>31.358000000000001</v>
      </c>
      <c r="V31" s="789">
        <v>33.54</v>
      </c>
      <c r="W31" s="789">
        <v>36.139000000000003</v>
      </c>
      <c r="X31" s="797">
        <v>35.411000000000001</v>
      </c>
      <c r="Y31" s="797">
        <v>-2.0144442292260578</v>
      </c>
      <c r="Z31" s="767" t="s">
        <v>85</v>
      </c>
      <c r="AA31" s="797">
        <v>41.850999999999999</v>
      </c>
      <c r="AB31" s="797">
        <v>-1.9262765683218959</v>
      </c>
      <c r="AC31" s="767" t="s">
        <v>337</v>
      </c>
    </row>
    <row r="32" spans="1:31" ht="12.75" customHeight="1">
      <c r="A32" s="97" t="s">
        <v>87</v>
      </c>
      <c r="B32" s="791">
        <v>24.5</v>
      </c>
      <c r="C32" s="792">
        <v>25</v>
      </c>
      <c r="D32" s="792">
        <v>25.7</v>
      </c>
      <c r="E32" s="792">
        <v>28.1</v>
      </c>
      <c r="F32" s="792">
        <v>29.655999999999999</v>
      </c>
      <c r="G32" s="792">
        <v>31.975000000000001</v>
      </c>
      <c r="H32" s="792">
        <v>30.478000000000002</v>
      </c>
      <c r="I32" s="792">
        <v>31.966999999999999</v>
      </c>
      <c r="J32" s="792">
        <v>30.925999999999998</v>
      </c>
      <c r="K32" s="792">
        <v>32.29</v>
      </c>
      <c r="L32" s="792">
        <v>31.856999999999999</v>
      </c>
      <c r="M32" s="792">
        <v>29.715</v>
      </c>
      <c r="N32" s="792">
        <v>29.818999999999999</v>
      </c>
      <c r="O32" s="792">
        <v>31.036000000000001</v>
      </c>
      <c r="P32" s="792">
        <v>27.805</v>
      </c>
      <c r="Q32" s="792">
        <v>29.532</v>
      </c>
      <c r="R32" s="792">
        <v>26.863</v>
      </c>
      <c r="S32" s="792">
        <v>25.46</v>
      </c>
      <c r="T32" s="792">
        <v>24.428999999999998</v>
      </c>
      <c r="U32" s="792">
        <v>23.401</v>
      </c>
      <c r="V32" s="792">
        <v>24.488</v>
      </c>
      <c r="W32" s="792">
        <v>26.846</v>
      </c>
      <c r="X32" s="793">
        <v>27.966000000000001</v>
      </c>
      <c r="Y32" s="793">
        <v>4.1719436787603428</v>
      </c>
      <c r="Z32" s="97" t="s">
        <v>87</v>
      </c>
      <c r="AA32" s="793">
        <v>20.814</v>
      </c>
      <c r="AB32" s="793">
        <v>11.263163521676375</v>
      </c>
      <c r="AC32" s="97" t="s">
        <v>83</v>
      </c>
    </row>
    <row r="33" spans="1:31" ht="12.75" customHeight="1">
      <c r="A33" s="767" t="s">
        <v>88</v>
      </c>
      <c r="B33" s="788">
        <v>31.6</v>
      </c>
      <c r="C33" s="789">
        <v>33.299999999999997</v>
      </c>
      <c r="D33" s="789">
        <v>35.1</v>
      </c>
      <c r="E33" s="789">
        <v>33.299999999999997</v>
      </c>
      <c r="F33" s="789">
        <v>33.200000000000003</v>
      </c>
      <c r="G33" s="789">
        <v>35.621000000000002</v>
      </c>
      <c r="H33" s="789">
        <v>34.158000000000001</v>
      </c>
      <c r="I33" s="789">
        <v>36.652000000000001</v>
      </c>
      <c r="J33" s="789">
        <v>36.637999999999998</v>
      </c>
      <c r="K33" s="789">
        <v>36.948999999999998</v>
      </c>
      <c r="L33" s="789">
        <v>38.575000000000003</v>
      </c>
      <c r="M33" s="789">
        <v>39.917999999999999</v>
      </c>
      <c r="N33" s="789">
        <v>40.54</v>
      </c>
      <c r="O33" s="789">
        <v>42.37</v>
      </c>
      <c r="P33" s="789">
        <v>35.046999999999997</v>
      </c>
      <c r="Q33" s="789">
        <v>36.268000000000001</v>
      </c>
      <c r="R33" s="789">
        <v>36.932000000000002</v>
      </c>
      <c r="S33" s="789">
        <v>33.481000000000002</v>
      </c>
      <c r="T33" s="789">
        <v>33.529000000000003</v>
      </c>
      <c r="U33" s="824">
        <v>41.963999999999999</v>
      </c>
      <c r="V33" s="789">
        <v>41.502000000000002</v>
      </c>
      <c r="W33" s="789">
        <v>42.673000000000002</v>
      </c>
      <c r="X33" s="797">
        <v>41.850999999999999</v>
      </c>
      <c r="Y33" s="797">
        <v>-1.9262765683218959</v>
      </c>
      <c r="Z33" s="767" t="s">
        <v>337</v>
      </c>
      <c r="AA33" s="797">
        <v>35.411000000000001</v>
      </c>
      <c r="AB33" s="797">
        <v>-2.0144442292260578</v>
      </c>
      <c r="AC33" s="767" t="s">
        <v>85</v>
      </c>
    </row>
    <row r="34" spans="1:31" ht="12.75" customHeight="1">
      <c r="A34" s="98" t="s">
        <v>13</v>
      </c>
      <c r="B34" s="799">
        <v>161.5</v>
      </c>
      <c r="C34" s="800">
        <v>166.2</v>
      </c>
      <c r="D34" s="800">
        <v>169.2</v>
      </c>
      <c r="E34" s="800">
        <v>172</v>
      </c>
      <c r="F34" s="800">
        <v>166.26</v>
      </c>
      <c r="G34" s="800">
        <v>165.62100000000001</v>
      </c>
      <c r="H34" s="800">
        <v>163.26400000000001</v>
      </c>
      <c r="I34" s="800">
        <v>164.035</v>
      </c>
      <c r="J34" s="800">
        <v>167.143</v>
      </c>
      <c r="K34" s="800">
        <v>162.654</v>
      </c>
      <c r="L34" s="800">
        <v>161.285</v>
      </c>
      <c r="M34" s="800">
        <v>165.47900000000001</v>
      </c>
      <c r="N34" s="800">
        <v>170.99100000000001</v>
      </c>
      <c r="O34" s="800">
        <v>160.29599999999999</v>
      </c>
      <c r="P34" s="800">
        <v>139.536</v>
      </c>
      <c r="Q34" s="800">
        <v>146.685</v>
      </c>
      <c r="R34" s="800">
        <v>148.733</v>
      </c>
      <c r="S34" s="800">
        <v>150.94900000000001</v>
      </c>
      <c r="T34" s="800">
        <v>139.703</v>
      </c>
      <c r="U34" s="800">
        <v>135.393</v>
      </c>
      <c r="V34" s="800">
        <v>150.101</v>
      </c>
      <c r="W34" s="800">
        <v>155.042</v>
      </c>
      <c r="X34" s="804">
        <v>153.93899999999999</v>
      </c>
      <c r="Y34" s="804">
        <v>-0.71142013131925808</v>
      </c>
      <c r="Z34" s="98" t="s">
        <v>13</v>
      </c>
      <c r="AA34" s="804">
        <v>153.93899999999999</v>
      </c>
      <c r="AB34" s="804">
        <v>-0.71142013131925808</v>
      </c>
      <c r="AC34" s="98" t="s">
        <v>13</v>
      </c>
    </row>
    <row r="35" spans="1:31" ht="12.75" customHeight="1">
      <c r="A35" s="767" t="s">
        <v>270</v>
      </c>
      <c r="B35" s="784">
        <v>2.077</v>
      </c>
      <c r="C35" s="773">
        <v>2.2480000000000002</v>
      </c>
      <c r="D35" s="773">
        <v>1.34</v>
      </c>
      <c r="E35" s="773">
        <v>1.83</v>
      </c>
      <c r="F35" s="773">
        <v>2.0110000000000001</v>
      </c>
      <c r="G35" s="773">
        <v>2.1640000000000001</v>
      </c>
      <c r="H35" s="773">
        <v>2.2309999999999999</v>
      </c>
      <c r="I35" s="773">
        <v>2.3519999999999999</v>
      </c>
      <c r="J35" s="773">
        <v>2.5299999999999998</v>
      </c>
      <c r="K35" s="773">
        <v>2.798</v>
      </c>
      <c r="L35" s="773">
        <v>3.21</v>
      </c>
      <c r="M35" s="773">
        <v>3.306</v>
      </c>
      <c r="N35" s="773">
        <v>3.5840000000000001</v>
      </c>
      <c r="O35" s="773">
        <v>4.0979999999999999</v>
      </c>
      <c r="P35" s="773">
        <v>4.4450000000000003</v>
      </c>
      <c r="Q35" s="773">
        <v>4.6260000000000003</v>
      </c>
      <c r="R35" s="773">
        <v>3.8050000000000002</v>
      </c>
      <c r="S35" s="773">
        <v>3.2229999999999999</v>
      </c>
      <c r="T35" s="773">
        <v>3.4969999999999999</v>
      </c>
      <c r="U35" s="786">
        <v>3.5083333333333333</v>
      </c>
      <c r="V35" s="786">
        <v>3.4094444444444445</v>
      </c>
      <c r="W35" s="786">
        <v>3.4715925925925926</v>
      </c>
      <c r="X35" s="783">
        <v>3.4631234567901235</v>
      </c>
      <c r="Y35" s="783">
        <v>-0.24395534834761179</v>
      </c>
      <c r="Z35" s="767" t="s">
        <v>270</v>
      </c>
      <c r="AA35" s="820"/>
    </row>
    <row r="36" spans="1:31" ht="12.75" customHeight="1">
      <c r="A36" s="806" t="s">
        <v>223</v>
      </c>
      <c r="B36" s="812"/>
      <c r="C36" s="807"/>
      <c r="D36" s="807"/>
      <c r="E36" s="807"/>
      <c r="F36" s="807"/>
      <c r="G36" s="807"/>
      <c r="H36" s="807">
        <v>7.8E-2</v>
      </c>
      <c r="I36" s="807">
        <v>7.0999999999999994E-2</v>
      </c>
      <c r="J36" s="807">
        <v>7.0999999999999994E-2</v>
      </c>
      <c r="K36" s="807">
        <v>6.5000000000000002E-2</v>
      </c>
      <c r="L36" s="807">
        <v>6.0999999999999999E-2</v>
      </c>
      <c r="M36" s="807">
        <v>7.2999999999999995E-2</v>
      </c>
      <c r="N36" s="807">
        <v>9.1999999999999998E-2</v>
      </c>
      <c r="O36" s="807">
        <v>0.13700000000000001</v>
      </c>
      <c r="P36" s="807">
        <v>0.17899999999999999</v>
      </c>
      <c r="Q36" s="807">
        <v>0.16700000000000001</v>
      </c>
      <c r="R36" s="807">
        <v>0.10199999999999999</v>
      </c>
      <c r="S36" s="807">
        <v>7.5999999999999998E-2</v>
      </c>
      <c r="T36" s="807">
        <v>6.7000000000000004E-2</v>
      </c>
      <c r="U36" s="807">
        <v>0.122</v>
      </c>
      <c r="V36" s="830">
        <v>0.13971700000000001</v>
      </c>
      <c r="W36" s="830">
        <v>0.12058199999999999</v>
      </c>
      <c r="X36" s="825">
        <v>0.1</v>
      </c>
      <c r="Y36" s="825">
        <v>-17.068882586123962</v>
      </c>
      <c r="Z36" s="806" t="s">
        <v>223</v>
      </c>
      <c r="AA36" s="820"/>
    </row>
    <row r="37" spans="1:31" ht="12.75" customHeight="1">
      <c r="A37" s="767" t="s">
        <v>145</v>
      </c>
      <c r="B37" s="784" t="s">
        <v>99</v>
      </c>
      <c r="C37" s="773" t="s">
        <v>99</v>
      </c>
      <c r="D37" s="773" t="s">
        <v>99</v>
      </c>
      <c r="E37" s="773" t="s">
        <v>99</v>
      </c>
      <c r="F37" s="773"/>
      <c r="G37" s="773"/>
      <c r="H37" s="773">
        <v>3.1309999999999998</v>
      </c>
      <c r="I37" s="773">
        <v>4</v>
      </c>
      <c r="J37" s="773">
        <v>5.4509999999999996</v>
      </c>
      <c r="K37" s="773">
        <v>5.3410000000000002</v>
      </c>
      <c r="L37" s="773">
        <v>5.577</v>
      </c>
      <c r="M37" s="773">
        <v>8.2989999999999995</v>
      </c>
      <c r="N37" s="773">
        <v>5.9379999999999997</v>
      </c>
      <c r="O37" s="773">
        <v>3.9780000000000002</v>
      </c>
      <c r="P37" s="773">
        <v>4.0350000000000001</v>
      </c>
      <c r="Q37" s="773">
        <v>4.2350000000000003</v>
      </c>
      <c r="R37" s="773">
        <v>5.3810000000000002</v>
      </c>
      <c r="S37" s="773">
        <v>5.8019999999999996</v>
      </c>
      <c r="T37" s="773">
        <v>5.1449999999999996</v>
      </c>
      <c r="U37" s="811">
        <v>10.621</v>
      </c>
      <c r="V37" s="773">
        <v>10.19</v>
      </c>
      <c r="W37" s="773">
        <v>10.589</v>
      </c>
      <c r="X37" s="798">
        <v>10.9</v>
      </c>
      <c r="Y37" s="798">
        <v>2.9370101048257595</v>
      </c>
      <c r="Z37" s="767" t="s">
        <v>145</v>
      </c>
      <c r="AA37" s="771"/>
    </row>
    <row r="38" spans="1:31" ht="12.75" customHeight="1">
      <c r="A38" s="806" t="s">
        <v>224</v>
      </c>
      <c r="B38" s="812"/>
      <c r="C38" s="807"/>
      <c r="D38" s="807">
        <v>0.96799999999999997</v>
      </c>
      <c r="E38" s="807">
        <v>0.875</v>
      </c>
      <c r="F38" s="807">
        <v>0.55200000000000005</v>
      </c>
      <c r="G38" s="807">
        <v>0.58199999999999996</v>
      </c>
      <c r="H38" s="807">
        <v>0.47499999999999998</v>
      </c>
      <c r="I38" s="807">
        <v>0.45900000000000002</v>
      </c>
      <c r="J38" s="807">
        <v>0.45200000000000001</v>
      </c>
      <c r="K38" s="807">
        <v>0.27700000000000002</v>
      </c>
      <c r="L38" s="807">
        <v>0.68</v>
      </c>
      <c r="M38" s="807">
        <v>0.79800000000000004</v>
      </c>
      <c r="N38" s="807">
        <v>1.161</v>
      </c>
      <c r="O38" s="807">
        <v>1.1120000000000001</v>
      </c>
      <c r="P38" s="807">
        <v>1.1850000000000001</v>
      </c>
      <c r="Q38" s="807">
        <v>1.6890000000000001</v>
      </c>
      <c r="R38" s="807">
        <v>1.907</v>
      </c>
      <c r="S38" s="807">
        <v>2.4740000000000002</v>
      </c>
      <c r="T38" s="807">
        <v>2.8239999999999998</v>
      </c>
      <c r="U38" s="807">
        <v>2.9590000000000001</v>
      </c>
      <c r="V38" s="807">
        <v>2.9729999999999999</v>
      </c>
      <c r="W38" s="807">
        <v>4.2990000000000004</v>
      </c>
      <c r="X38" s="813">
        <v>4.9800000000000004</v>
      </c>
      <c r="Y38" s="813">
        <v>15.840893230983937</v>
      </c>
      <c r="Z38" s="806" t="s">
        <v>224</v>
      </c>
      <c r="AA38" s="771"/>
    </row>
    <row r="39" spans="1:31" ht="12.75" customHeight="1">
      <c r="A39" s="768" t="s">
        <v>227</v>
      </c>
      <c r="B39" s="785">
        <v>112.5</v>
      </c>
      <c r="C39" s="774">
        <v>135.80000000000001</v>
      </c>
      <c r="D39" s="774">
        <v>139.80000000000001</v>
      </c>
      <c r="E39" s="774">
        <v>152.21</v>
      </c>
      <c r="F39" s="774">
        <v>150.97399999999999</v>
      </c>
      <c r="G39" s="774">
        <v>161.55199999999999</v>
      </c>
      <c r="H39" s="774">
        <v>151.42099999999999</v>
      </c>
      <c r="I39" s="774">
        <v>150.91200000000001</v>
      </c>
      <c r="J39" s="774">
        <v>152.16300000000001</v>
      </c>
      <c r="K39" s="774">
        <v>156.85300000000001</v>
      </c>
      <c r="L39" s="774">
        <v>166.83099999999999</v>
      </c>
      <c r="M39" s="774">
        <v>177.399</v>
      </c>
      <c r="N39" s="774">
        <v>181.33</v>
      </c>
      <c r="O39" s="774">
        <v>181.935</v>
      </c>
      <c r="P39" s="774">
        <v>176.45500000000001</v>
      </c>
      <c r="Q39" s="774">
        <v>190.36500000000001</v>
      </c>
      <c r="R39" s="774">
        <v>203.072</v>
      </c>
      <c r="S39" s="774">
        <v>216.12299999999999</v>
      </c>
      <c r="T39" s="774">
        <v>224.048</v>
      </c>
      <c r="U39" s="774">
        <v>234.49199999999999</v>
      </c>
      <c r="V39" s="774">
        <v>244.32900000000001</v>
      </c>
      <c r="W39" s="774">
        <v>253.13900000000001</v>
      </c>
      <c r="X39" s="801">
        <v>262.8</v>
      </c>
      <c r="Y39" s="801">
        <v>3.8164802736836236</v>
      </c>
      <c r="Z39" s="768" t="s">
        <v>338</v>
      </c>
      <c r="AA39" s="771"/>
    </row>
    <row r="40" spans="1:31" ht="12.75" customHeight="1">
      <c r="A40" s="814" t="s">
        <v>271</v>
      </c>
      <c r="B40" s="815">
        <v>0.5</v>
      </c>
      <c r="C40" s="816">
        <v>0.5</v>
      </c>
      <c r="D40" s="816">
        <v>0.5</v>
      </c>
      <c r="E40" s="816">
        <v>0.5</v>
      </c>
      <c r="F40" s="816">
        <v>0.6</v>
      </c>
      <c r="G40" s="816">
        <v>0.6</v>
      </c>
      <c r="H40" s="817">
        <v>0.64200000000000002</v>
      </c>
      <c r="I40" s="817">
        <v>0.66</v>
      </c>
      <c r="J40" s="817">
        <v>0.67900000000000005</v>
      </c>
      <c r="K40" s="817">
        <v>0.69899999999999995</v>
      </c>
      <c r="L40" s="817">
        <v>0.74099999999999999</v>
      </c>
      <c r="M40" s="817">
        <v>0.78600000000000003</v>
      </c>
      <c r="N40" s="817">
        <v>0.82499999999999996</v>
      </c>
      <c r="O40" s="817">
        <v>0.80500000000000005</v>
      </c>
      <c r="P40" s="817">
        <v>0.81299999999999994</v>
      </c>
      <c r="Q40" s="817">
        <v>0.80600000000000005</v>
      </c>
      <c r="R40" s="817">
        <v>0.77700000000000002</v>
      </c>
      <c r="S40" s="817">
        <v>0.78600000000000003</v>
      </c>
      <c r="T40" s="817">
        <v>0.80800000000000005</v>
      </c>
      <c r="U40" s="817">
        <v>0.85</v>
      </c>
      <c r="V40" s="817">
        <v>0.91100000000000003</v>
      </c>
      <c r="W40" s="818">
        <v>0.85633333333333328</v>
      </c>
      <c r="X40" s="819">
        <v>1</v>
      </c>
      <c r="Y40" s="819">
        <v>16.776956014013237</v>
      </c>
      <c r="Z40" s="814" t="s">
        <v>339</v>
      </c>
      <c r="AA40" s="771"/>
    </row>
    <row r="41" spans="1:31" ht="12.75" customHeight="1">
      <c r="A41" s="767" t="s">
        <v>148</v>
      </c>
      <c r="B41" s="784">
        <v>9.6999999999999993</v>
      </c>
      <c r="C41" s="773">
        <v>12.5</v>
      </c>
      <c r="D41" s="773">
        <v>14.1</v>
      </c>
      <c r="E41" s="773">
        <v>14.8</v>
      </c>
      <c r="F41" s="773">
        <v>14.916</v>
      </c>
      <c r="G41" s="773">
        <v>15.132</v>
      </c>
      <c r="H41" s="773">
        <v>15.179</v>
      </c>
      <c r="I41" s="773">
        <v>15.426</v>
      </c>
      <c r="J41" s="773">
        <v>16.59</v>
      </c>
      <c r="K41" s="773">
        <v>17.46</v>
      </c>
      <c r="L41" s="773">
        <v>18.247</v>
      </c>
      <c r="M41" s="773">
        <v>19.387</v>
      </c>
      <c r="N41" s="773">
        <v>19.375</v>
      </c>
      <c r="O41" s="773">
        <v>20.594999999999999</v>
      </c>
      <c r="P41" s="773">
        <v>18.446999999999999</v>
      </c>
      <c r="Q41" s="773">
        <v>19.751000000000001</v>
      </c>
      <c r="R41" s="773">
        <v>19.187999999999999</v>
      </c>
      <c r="S41" s="773">
        <v>20.170999999999999</v>
      </c>
      <c r="T41" s="773">
        <v>21.317</v>
      </c>
      <c r="U41" s="773">
        <v>21.594000000000001</v>
      </c>
      <c r="V41" s="773">
        <v>23.135999999999999</v>
      </c>
      <c r="W41" s="773">
        <v>20.931999999999999</v>
      </c>
      <c r="X41" s="798">
        <v>21.385000000000002</v>
      </c>
      <c r="Y41" s="798">
        <v>2.1641505828396816</v>
      </c>
      <c r="Z41" s="767" t="s">
        <v>148</v>
      </c>
      <c r="AA41" s="771"/>
    </row>
    <row r="42" spans="1:31" ht="12.75" customHeight="1">
      <c r="A42" s="821" t="s">
        <v>228</v>
      </c>
      <c r="B42" s="823">
        <v>9.1106999999999996</v>
      </c>
      <c r="C42" s="809">
        <v>8.9961000000000002</v>
      </c>
      <c r="D42" s="809">
        <v>9.1339000000000006</v>
      </c>
      <c r="E42" s="809">
        <v>9.5456000000000003</v>
      </c>
      <c r="F42" s="809">
        <v>9.5649999999999995</v>
      </c>
      <c r="G42" s="809">
        <v>9.7912999999999997</v>
      </c>
      <c r="H42" s="809">
        <v>9.5617999999999999</v>
      </c>
      <c r="I42" s="809">
        <v>9.8147000000000002</v>
      </c>
      <c r="J42" s="809">
        <v>9.8916000000000004</v>
      </c>
      <c r="K42" s="809">
        <v>10.126178484062402</v>
      </c>
      <c r="L42" s="809">
        <v>10.198044499594255</v>
      </c>
      <c r="M42" s="809">
        <v>10.43279130775176</v>
      </c>
      <c r="N42" s="808">
        <v>10.794153844901221</v>
      </c>
      <c r="O42" s="809">
        <v>13.911</v>
      </c>
      <c r="P42" s="809">
        <v>13.173999999999999</v>
      </c>
      <c r="Q42" s="809">
        <v>13.237</v>
      </c>
      <c r="R42" s="809">
        <v>13.567</v>
      </c>
      <c r="S42" s="809">
        <v>12.965999999999999</v>
      </c>
      <c r="T42" s="809">
        <v>12.817</v>
      </c>
      <c r="U42" s="809">
        <v>13.067</v>
      </c>
      <c r="V42" s="809">
        <v>12.441000000000001</v>
      </c>
      <c r="W42" s="809">
        <v>12.134</v>
      </c>
      <c r="X42" s="822">
        <v>11.946999999999999</v>
      </c>
      <c r="Y42" s="822">
        <v>-1.5411241140596843</v>
      </c>
      <c r="Z42" s="821" t="s">
        <v>340</v>
      </c>
      <c r="AA42" s="771"/>
    </row>
    <row r="43" spans="1:31" ht="12.75" customHeight="1"/>
    <row r="44" spans="1:31" ht="12.75" customHeight="1">
      <c r="A44" t="s">
        <v>341</v>
      </c>
    </row>
    <row r="45" spans="1:31" ht="12.75" customHeight="1">
      <c r="A45" t="s">
        <v>166</v>
      </c>
      <c r="S45" s="182" t="s">
        <v>321</v>
      </c>
      <c r="T45" s="182"/>
      <c r="U45" s="182"/>
      <c r="V45" s="182"/>
      <c r="W45" s="182"/>
      <c r="X45" s="182"/>
      <c r="Y45" s="182"/>
      <c r="Z45" s="182"/>
      <c r="AA45" s="182"/>
      <c r="AB45" s="182"/>
      <c r="AC45" s="182"/>
      <c r="AD45" s="182"/>
      <c r="AE45" s="182"/>
    </row>
    <row r="46" spans="1:31" ht="12.75" customHeight="1">
      <c r="A46" t="s">
        <v>342</v>
      </c>
    </row>
    <row r="47" spans="1:31" ht="15.75" customHeight="1">
      <c r="A47" t="s">
        <v>209</v>
      </c>
    </row>
    <row r="48" spans="1:31" ht="12.75" customHeight="1">
      <c r="A48" t="s">
        <v>343</v>
      </c>
    </row>
    <row r="49" spans="1:1" ht="12.75" customHeight="1">
      <c r="A49" t="s">
        <v>344</v>
      </c>
    </row>
    <row r="50" spans="1:1" ht="12.75" customHeight="1">
      <c r="A50" t="s">
        <v>345</v>
      </c>
    </row>
    <row r="51" spans="1:1">
      <c r="A51" t="s">
        <v>346</v>
      </c>
    </row>
    <row r="52" spans="1:1" ht="12.75" customHeight="1"/>
    <row r="53" spans="1:1" ht="14.25" customHeight="1"/>
  </sheetData>
  <mergeCells count="2">
    <mergeCell ref="A1:AA1"/>
    <mergeCell ref="A2:AA2"/>
  </mergeCells>
  <pageMargins left="0.7" right="0.7" top="0.75" bottom="0.75" header="0.3" footer="0.3"/>
  <pageSetup paperSize="9" scale="54" orientation="portrait" r:id="rId1"/>
  <colBreaks count="1" manualBreakCount="1">
    <brk id="29"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J53"/>
  <sheetViews>
    <sheetView zoomScaleNormal="100" workbookViewId="0">
      <selection activeCell="B1" sqref="B1:S65536"/>
    </sheetView>
  </sheetViews>
  <sheetFormatPr defaultRowHeight="11.25"/>
  <cols>
    <col min="1" max="1" width="9.140625" style="93"/>
    <col min="2" max="19" width="0" style="93" hidden="1" customWidth="1"/>
    <col min="20" max="16384" width="9.140625" style="93"/>
  </cols>
  <sheetData>
    <row r="1" spans="1:36" ht="14.25" customHeight="1">
      <c r="A1" s="189"/>
      <c r="B1" s="437"/>
      <c r="C1" s="437"/>
      <c r="D1" s="337"/>
      <c r="E1" s="337"/>
      <c r="F1" s="337"/>
      <c r="G1" s="337"/>
      <c r="H1" s="337"/>
      <c r="I1" s="337"/>
      <c r="J1" s="337"/>
      <c r="K1" s="337"/>
      <c r="L1" s="337"/>
      <c r="M1" s="337"/>
      <c r="N1" s="337"/>
      <c r="O1" s="337"/>
      <c r="P1" s="337"/>
      <c r="Q1" s="333"/>
      <c r="R1" s="333"/>
      <c r="S1" s="333"/>
      <c r="T1" s="191"/>
      <c r="U1" s="191"/>
      <c r="V1" s="191"/>
      <c r="W1" s="191"/>
      <c r="X1" s="191"/>
      <c r="Y1" s="191"/>
      <c r="Z1" s="191"/>
      <c r="AA1" s="191"/>
      <c r="AB1" s="191"/>
      <c r="AC1" s="191"/>
      <c r="AD1" s="191"/>
      <c r="AE1" s="191"/>
      <c r="AF1" s="333"/>
      <c r="AG1" s="191" t="s">
        <v>210</v>
      </c>
    </row>
    <row r="2" spans="1:36" s="100" customFormat="1" ht="30" customHeight="1">
      <c r="A2" s="1135" t="s">
        <v>22</v>
      </c>
      <c r="B2" s="1135"/>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row>
    <row r="3" spans="1:36" ht="12.75">
      <c r="A3" s="202"/>
      <c r="B3" s="202"/>
      <c r="C3" s="333"/>
      <c r="D3" s="265"/>
      <c r="E3" s="265"/>
      <c r="F3" s="265"/>
      <c r="G3" s="265"/>
      <c r="H3" s="265"/>
      <c r="I3" s="333"/>
      <c r="J3" s="435"/>
      <c r="K3" s="435"/>
      <c r="L3" s="435"/>
      <c r="M3" s="435"/>
      <c r="N3" s="435"/>
      <c r="O3" s="333"/>
      <c r="P3" s="832"/>
      <c r="Q3" s="832"/>
      <c r="R3" s="333"/>
      <c r="S3" s="333"/>
      <c r="T3" s="333"/>
      <c r="U3" s="333"/>
      <c r="V3" s="333"/>
      <c r="W3" s="195"/>
      <c r="X3" s="195"/>
      <c r="Y3" s="195"/>
      <c r="Z3" s="195"/>
      <c r="AA3" s="195"/>
      <c r="AB3" s="195"/>
      <c r="AC3" s="195"/>
      <c r="AD3" s="333"/>
      <c r="AE3" s="195" t="s">
        <v>226</v>
      </c>
      <c r="AF3" s="197"/>
      <c r="AG3" s="833"/>
    </row>
    <row r="4" spans="1:36" ht="20.100000000000001" customHeight="1">
      <c r="A4" s="198"/>
      <c r="B4" s="199">
        <v>1970</v>
      </c>
      <c r="C4" s="199">
        <v>1980</v>
      </c>
      <c r="D4" s="200">
        <v>1990</v>
      </c>
      <c r="E4" s="200">
        <v>1991</v>
      </c>
      <c r="F4" s="200">
        <v>1992</v>
      </c>
      <c r="G4" s="200">
        <v>1993</v>
      </c>
      <c r="H4" s="200">
        <v>1994</v>
      </c>
      <c r="I4" s="200">
        <v>1995</v>
      </c>
      <c r="J4" s="200">
        <v>1996</v>
      </c>
      <c r="K4" s="200">
        <v>1997</v>
      </c>
      <c r="L4" s="200">
        <v>1998</v>
      </c>
      <c r="M4" s="200">
        <v>1999</v>
      </c>
      <c r="N4" s="200">
        <v>2000</v>
      </c>
      <c r="O4" s="200">
        <v>2001</v>
      </c>
      <c r="P4" s="200">
        <v>2002</v>
      </c>
      <c r="Q4" s="200">
        <v>2003</v>
      </c>
      <c r="R4" s="200">
        <v>2004</v>
      </c>
      <c r="S4" s="200">
        <v>2005</v>
      </c>
      <c r="T4" s="200">
        <v>2006</v>
      </c>
      <c r="U4" s="200">
        <v>2007</v>
      </c>
      <c r="V4" s="200">
        <v>2008</v>
      </c>
      <c r="W4" s="200">
        <v>2009</v>
      </c>
      <c r="X4" s="200">
        <v>2010</v>
      </c>
      <c r="Y4" s="200">
        <v>2011</v>
      </c>
      <c r="Z4" s="200">
        <v>2012</v>
      </c>
      <c r="AA4" s="200">
        <v>2013</v>
      </c>
      <c r="AB4" s="200">
        <v>2014</v>
      </c>
      <c r="AC4" s="200">
        <v>2015</v>
      </c>
      <c r="AD4" s="200">
        <v>2016</v>
      </c>
      <c r="AE4" s="200">
        <v>2017</v>
      </c>
      <c r="AF4" s="201" t="s">
        <v>335</v>
      </c>
      <c r="AG4" s="272"/>
      <c r="AH4" s="775" t="s">
        <v>347</v>
      </c>
      <c r="AI4" s="177">
        <f>AH7+AH8+AH12+AH13+AH15+AH16+AH17+AH18+AH21+AH22+AH24+AH27+AH29+AH31+AH34</f>
        <v>270.13800000000003</v>
      </c>
    </row>
    <row r="5" spans="1:36" ht="9.9499999999999993" customHeight="1">
      <c r="A5" s="203"/>
      <c r="B5" s="204"/>
      <c r="C5" s="204"/>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7" t="s">
        <v>143</v>
      </c>
      <c r="AG5" s="834"/>
    </row>
    <row r="6" spans="1:36" ht="12.75" customHeight="1">
      <c r="A6" s="378" t="s">
        <v>237</v>
      </c>
      <c r="B6" s="311">
        <v>551.06899999999996</v>
      </c>
      <c r="C6" s="311">
        <v>641.43200000000002</v>
      </c>
      <c r="D6" s="342">
        <v>526.34299999999996</v>
      </c>
      <c r="E6" s="342">
        <v>443.929011</v>
      </c>
      <c r="F6" s="342">
        <v>394.46459099999998</v>
      </c>
      <c r="G6" s="342">
        <v>371.69550899999996</v>
      </c>
      <c r="H6" s="342">
        <v>380.15225799999996</v>
      </c>
      <c r="I6" s="342">
        <v>388.11806800000005</v>
      </c>
      <c r="J6" s="342">
        <v>393.86300000000011</v>
      </c>
      <c r="K6" s="342">
        <v>411.2519999999999</v>
      </c>
      <c r="L6" s="342">
        <v>394.33752500000003</v>
      </c>
      <c r="M6" s="342">
        <v>385.31001500293985</v>
      </c>
      <c r="N6" s="342">
        <v>406.02075464222412</v>
      </c>
      <c r="O6" s="342">
        <v>388.65330225225699</v>
      </c>
      <c r="P6" s="342">
        <v>386.66119255303101</v>
      </c>
      <c r="Q6" s="342">
        <v>395.04326875462397</v>
      </c>
      <c r="R6" s="343">
        <v>412.58699999999999</v>
      </c>
      <c r="S6" s="343">
        <v>416.02400000000006</v>
      </c>
      <c r="T6" s="343">
        <v>438.16500000000002</v>
      </c>
      <c r="U6" s="343">
        <v>451.98900000000003</v>
      </c>
      <c r="V6" s="343">
        <v>442.76299999999992</v>
      </c>
      <c r="W6" s="343">
        <v>363.54</v>
      </c>
      <c r="X6" s="343">
        <v>393.53100000000001</v>
      </c>
      <c r="Y6" s="343">
        <v>422.09599999999983</v>
      </c>
      <c r="Z6" s="342">
        <v>406.63299999999998</v>
      </c>
      <c r="AA6" s="342">
        <v>406.72000000000008</v>
      </c>
      <c r="AB6" s="342">
        <v>411.09500000000003</v>
      </c>
      <c r="AC6" s="342">
        <v>415.80300000000011</v>
      </c>
      <c r="AD6" s="342">
        <v>411.81700000000001</v>
      </c>
      <c r="AE6" s="861">
        <v>420.79700000000003</v>
      </c>
      <c r="AF6" s="857">
        <v>2.1805802091705857</v>
      </c>
      <c r="AG6" s="378" t="s">
        <v>237</v>
      </c>
      <c r="AI6" s="831"/>
    </row>
    <row r="7" spans="1:36" ht="12.75" customHeight="1">
      <c r="A7" s="251" t="s">
        <v>60</v>
      </c>
      <c r="B7" s="858">
        <v>7.8760000000000003</v>
      </c>
      <c r="C7" s="858">
        <v>8.0370000000000008</v>
      </c>
      <c r="D7" s="858">
        <v>8.3699999999999992</v>
      </c>
      <c r="E7" s="839">
        <v>8.2029999999999994</v>
      </c>
      <c r="F7" s="839">
        <v>8.3610000000000007</v>
      </c>
      <c r="G7" s="839">
        <v>7.5960000000000001</v>
      </c>
      <c r="H7" s="839">
        <v>8.0969999999999995</v>
      </c>
      <c r="I7" s="839">
        <v>7.3040000000000003</v>
      </c>
      <c r="J7" s="839">
        <v>7.2439999999999998</v>
      </c>
      <c r="K7" s="839">
        <v>7.4649999999999999</v>
      </c>
      <c r="L7" s="839">
        <v>7.6</v>
      </c>
      <c r="M7" s="859">
        <v>7.3920000000000003</v>
      </c>
      <c r="N7" s="839">
        <v>7.6740000000000004</v>
      </c>
      <c r="O7" s="839">
        <v>7.0810000000000004</v>
      </c>
      <c r="P7" s="839">
        <v>7.2969999999999997</v>
      </c>
      <c r="Q7" s="839">
        <v>7.2930000000000001</v>
      </c>
      <c r="R7" s="839">
        <v>7.6909999999999998</v>
      </c>
      <c r="S7" s="839">
        <v>8.1300000000000008</v>
      </c>
      <c r="T7" s="839">
        <v>8.5719999999999992</v>
      </c>
      <c r="U7" s="839">
        <v>9.2579999999999991</v>
      </c>
      <c r="V7" s="839">
        <v>8.9269999999999996</v>
      </c>
      <c r="W7" s="839">
        <v>6.3739999999999997</v>
      </c>
      <c r="X7" s="839">
        <v>7.476</v>
      </c>
      <c r="Y7" s="839">
        <v>7.593</v>
      </c>
      <c r="Z7" s="845">
        <v>7.28</v>
      </c>
      <c r="AA7" s="845">
        <v>7.28</v>
      </c>
      <c r="AB7" s="845">
        <v>7.3</v>
      </c>
      <c r="AC7" s="845">
        <v>7.3</v>
      </c>
      <c r="AD7" s="845">
        <v>7.3</v>
      </c>
      <c r="AE7" s="860">
        <v>7.3</v>
      </c>
      <c r="AF7" s="243">
        <v>0</v>
      </c>
      <c r="AG7" s="251" t="s">
        <v>60</v>
      </c>
      <c r="AH7" s="299">
        <v>22.256</v>
      </c>
      <c r="AI7" s="225">
        <v>4.1898787509947937</v>
      </c>
      <c r="AJ7" s="378" t="s">
        <v>81</v>
      </c>
    </row>
    <row r="8" spans="1:36" ht="12.75" customHeight="1">
      <c r="A8" s="213" t="s">
        <v>100</v>
      </c>
      <c r="B8" s="245">
        <v>13.7</v>
      </c>
      <c r="C8" s="245">
        <v>17.68</v>
      </c>
      <c r="D8" s="245">
        <v>14.13</v>
      </c>
      <c r="E8" s="225">
        <v>8.6999999999999993</v>
      </c>
      <c r="F8" s="225">
        <v>7.76</v>
      </c>
      <c r="G8" s="225">
        <v>7.7</v>
      </c>
      <c r="H8" s="225">
        <v>7.77</v>
      </c>
      <c r="I8" s="225">
        <v>8.6</v>
      </c>
      <c r="J8" s="225">
        <v>7.5170000000000003</v>
      </c>
      <c r="K8" s="225">
        <v>7.4050000000000002</v>
      </c>
      <c r="L8" s="225">
        <v>6.1520000000000001</v>
      </c>
      <c r="M8" s="225">
        <v>5.2</v>
      </c>
      <c r="N8" s="225">
        <v>5.5380000000000003</v>
      </c>
      <c r="O8" s="225">
        <v>4.9000000000000004</v>
      </c>
      <c r="P8" s="225">
        <v>4.6269999999999998</v>
      </c>
      <c r="Q8" s="225">
        <v>5.274</v>
      </c>
      <c r="R8" s="225">
        <v>5.2110000000000003</v>
      </c>
      <c r="S8" s="225">
        <v>5.1630000000000003</v>
      </c>
      <c r="T8" s="225">
        <v>5.3959999999999999</v>
      </c>
      <c r="U8" s="225">
        <v>5.2409999999999997</v>
      </c>
      <c r="V8" s="225">
        <v>4.6929999999999996</v>
      </c>
      <c r="W8" s="225">
        <v>3.145</v>
      </c>
      <c r="X8" s="225">
        <v>3.0640000000000001</v>
      </c>
      <c r="Y8" s="225">
        <v>3.2909999999999999</v>
      </c>
      <c r="Z8" s="225">
        <v>2.907</v>
      </c>
      <c r="AA8" s="225">
        <v>3.246</v>
      </c>
      <c r="AB8" s="225">
        <v>3.4390000000000001</v>
      </c>
      <c r="AC8" s="225">
        <v>3.65</v>
      </c>
      <c r="AD8" s="225">
        <v>3.4340000000000002</v>
      </c>
      <c r="AE8" s="288">
        <v>3.931</v>
      </c>
      <c r="AF8" s="225">
        <v>14.472917880023289</v>
      </c>
      <c r="AG8" s="213" t="s">
        <v>100</v>
      </c>
      <c r="AH8" s="285">
        <v>7.3</v>
      </c>
      <c r="AI8" s="243">
        <v>0</v>
      </c>
      <c r="AJ8" s="221" t="s">
        <v>60</v>
      </c>
    </row>
    <row r="9" spans="1:36" ht="12.75" customHeight="1">
      <c r="A9" s="221" t="s">
        <v>61</v>
      </c>
      <c r="B9" s="645"/>
      <c r="C9" s="645"/>
      <c r="D9" s="645"/>
      <c r="E9" s="230"/>
      <c r="F9" s="230"/>
      <c r="G9" s="230">
        <v>25.2</v>
      </c>
      <c r="H9" s="230">
        <v>22.8</v>
      </c>
      <c r="I9" s="230">
        <v>22.623000000000001</v>
      </c>
      <c r="J9" s="230">
        <v>22.338999999999999</v>
      </c>
      <c r="K9" s="230">
        <v>21.01</v>
      </c>
      <c r="L9" s="230">
        <v>18.709</v>
      </c>
      <c r="M9" s="230">
        <v>16.713000000000001</v>
      </c>
      <c r="N9" s="230">
        <v>17.495999999999999</v>
      </c>
      <c r="O9" s="230">
        <v>16.899999999999999</v>
      </c>
      <c r="P9" s="230">
        <v>15.81</v>
      </c>
      <c r="Q9" s="230">
        <v>15.862</v>
      </c>
      <c r="R9" s="230">
        <v>15.092000000000001</v>
      </c>
      <c r="S9" s="230">
        <v>14.866</v>
      </c>
      <c r="T9" s="230">
        <v>15.779</v>
      </c>
      <c r="U9" s="230">
        <v>16.303999999999998</v>
      </c>
      <c r="V9" s="230">
        <v>15.436999999999999</v>
      </c>
      <c r="W9" s="230">
        <v>12.791</v>
      </c>
      <c r="X9" s="230">
        <v>13.77</v>
      </c>
      <c r="Y9" s="230">
        <v>14.316000000000001</v>
      </c>
      <c r="Z9" s="230">
        <v>14.266999999999999</v>
      </c>
      <c r="AA9" s="230">
        <v>13.965</v>
      </c>
      <c r="AB9" s="230">
        <v>14.574999999999999</v>
      </c>
      <c r="AC9" s="230">
        <v>15.260999999999999</v>
      </c>
      <c r="AD9" s="230">
        <v>15.619</v>
      </c>
      <c r="AE9" s="249">
        <v>15.843</v>
      </c>
      <c r="AF9" s="230">
        <v>1.4341507138741321</v>
      </c>
      <c r="AG9" s="221" t="s">
        <v>61</v>
      </c>
      <c r="AH9" s="288">
        <v>3.931</v>
      </c>
      <c r="AI9" s="225">
        <v>14.472917880023289</v>
      </c>
      <c r="AJ9" s="213" t="s">
        <v>100</v>
      </c>
    </row>
    <row r="10" spans="1:36" ht="12.75" customHeight="1">
      <c r="A10" s="213" t="s">
        <v>14</v>
      </c>
      <c r="B10" s="245">
        <v>1.7010000000000001</v>
      </c>
      <c r="C10" s="245">
        <v>1.619</v>
      </c>
      <c r="D10" s="245">
        <v>1.73</v>
      </c>
      <c r="E10" s="225">
        <v>1.8580000000000001</v>
      </c>
      <c r="F10" s="225">
        <v>1.87</v>
      </c>
      <c r="G10" s="225">
        <v>1.796</v>
      </c>
      <c r="H10" s="225">
        <v>2.008</v>
      </c>
      <c r="I10" s="225">
        <v>1.9850000000000001</v>
      </c>
      <c r="J10" s="225">
        <v>1.7569999999999999</v>
      </c>
      <c r="K10" s="225">
        <v>1.9830000000000001</v>
      </c>
      <c r="L10" s="225">
        <v>2.0579999999999998</v>
      </c>
      <c r="M10" s="225">
        <v>1.9379999999999999</v>
      </c>
      <c r="N10" s="225">
        <v>2.0249999999999999</v>
      </c>
      <c r="O10" s="225">
        <v>2.0910000000000002</v>
      </c>
      <c r="P10" s="225">
        <v>1.877</v>
      </c>
      <c r="Q10" s="225">
        <v>1.9850000000000001</v>
      </c>
      <c r="R10" s="225">
        <v>2.3210000000000002</v>
      </c>
      <c r="S10" s="225">
        <v>1.976</v>
      </c>
      <c r="T10" s="225">
        <v>1.8919999999999999</v>
      </c>
      <c r="U10" s="225">
        <v>1.7789999999999999</v>
      </c>
      <c r="V10" s="225">
        <v>1.8660000000000001</v>
      </c>
      <c r="W10" s="225">
        <v>1.7</v>
      </c>
      <c r="X10" s="225">
        <v>2.2389999999999999</v>
      </c>
      <c r="Y10" s="225">
        <v>2.6139999999999999</v>
      </c>
      <c r="Z10" s="225">
        <v>2.278</v>
      </c>
      <c r="AA10" s="225">
        <v>2.4489999999999998</v>
      </c>
      <c r="AB10" s="225">
        <v>2.4529999999999998</v>
      </c>
      <c r="AC10" s="225">
        <v>2.6030000000000002</v>
      </c>
      <c r="AD10" s="225">
        <v>2.6160000000000001</v>
      </c>
      <c r="AE10" s="288">
        <v>2.653</v>
      </c>
      <c r="AF10" s="225">
        <v>1.4143730886850108</v>
      </c>
      <c r="AG10" s="213" t="s">
        <v>14</v>
      </c>
      <c r="AH10" s="249" t="s">
        <v>142</v>
      </c>
      <c r="AI10" s="230" t="s">
        <v>142</v>
      </c>
      <c r="AJ10" s="221" t="s">
        <v>71</v>
      </c>
    </row>
    <row r="11" spans="1:36" ht="12.75" customHeight="1">
      <c r="A11" s="221" t="s">
        <v>63</v>
      </c>
      <c r="B11" s="645">
        <v>113</v>
      </c>
      <c r="C11" s="645">
        <v>121.3</v>
      </c>
      <c r="D11" s="645">
        <v>101.7</v>
      </c>
      <c r="E11" s="230">
        <v>82.2</v>
      </c>
      <c r="F11" s="230">
        <v>72.8</v>
      </c>
      <c r="G11" s="230">
        <v>65.599999999999994</v>
      </c>
      <c r="H11" s="230">
        <v>70.7</v>
      </c>
      <c r="I11" s="230">
        <v>70.5</v>
      </c>
      <c r="J11" s="230">
        <v>70</v>
      </c>
      <c r="K11" s="230">
        <v>73.900000000000006</v>
      </c>
      <c r="L11" s="230">
        <v>74.2</v>
      </c>
      <c r="M11" s="230">
        <v>76.822000000000003</v>
      </c>
      <c r="N11" s="230">
        <v>82.674999999999997</v>
      </c>
      <c r="O11" s="230">
        <v>81.042000000000002</v>
      </c>
      <c r="P11" s="230">
        <v>81.058999999999997</v>
      </c>
      <c r="Q11" s="230">
        <v>85.128</v>
      </c>
      <c r="R11" s="230">
        <v>86.409000000000006</v>
      </c>
      <c r="S11" s="230">
        <v>95.42</v>
      </c>
      <c r="T11" s="230">
        <v>107.00700000000001</v>
      </c>
      <c r="U11" s="230">
        <v>114.61499999999999</v>
      </c>
      <c r="V11" s="230">
        <v>115.652</v>
      </c>
      <c r="W11" s="230">
        <v>95.834000000000003</v>
      </c>
      <c r="X11" s="230">
        <v>107.31699999999999</v>
      </c>
      <c r="Y11" s="230">
        <v>113.31699999999999</v>
      </c>
      <c r="Z11" s="230">
        <v>110.065</v>
      </c>
      <c r="AA11" s="230">
        <v>112.613</v>
      </c>
      <c r="AB11" s="230">
        <v>112.629</v>
      </c>
      <c r="AC11" s="230">
        <v>116.63200000000001</v>
      </c>
      <c r="AD11" s="230">
        <v>116.164</v>
      </c>
      <c r="AE11" s="249">
        <v>112.232</v>
      </c>
      <c r="AF11" s="242">
        <v>-3.3848696670224854</v>
      </c>
      <c r="AG11" s="221" t="s">
        <v>63</v>
      </c>
      <c r="AH11" s="249">
        <v>15.843</v>
      </c>
      <c r="AI11" s="230">
        <v>1.4341507138741321</v>
      </c>
      <c r="AJ11" s="221" t="s">
        <v>61</v>
      </c>
    </row>
    <row r="12" spans="1:36" ht="12.75" customHeight="1">
      <c r="A12" s="213" t="s">
        <v>64</v>
      </c>
      <c r="B12" s="245">
        <v>5.7</v>
      </c>
      <c r="C12" s="245">
        <v>6.5</v>
      </c>
      <c r="D12" s="245">
        <v>6.98</v>
      </c>
      <c r="E12" s="225">
        <v>6.5</v>
      </c>
      <c r="F12" s="225">
        <v>3.4</v>
      </c>
      <c r="G12" s="225">
        <v>4.2</v>
      </c>
      <c r="H12" s="225">
        <v>3.6</v>
      </c>
      <c r="I12" s="225">
        <v>3.8450000000000002</v>
      </c>
      <c r="J12" s="225">
        <v>4.1980000000000004</v>
      </c>
      <c r="K12" s="225">
        <v>5.1020000000000003</v>
      </c>
      <c r="L12" s="225">
        <v>6.0789999999999997</v>
      </c>
      <c r="M12" s="225">
        <v>7.2949999999999999</v>
      </c>
      <c r="N12" s="225">
        <v>8.1020000000000003</v>
      </c>
      <c r="O12" s="225">
        <v>8.5570000000000004</v>
      </c>
      <c r="P12" s="246">
        <v>9.6969999999999992</v>
      </c>
      <c r="Q12" s="225">
        <v>9.67</v>
      </c>
      <c r="R12" s="225">
        <v>10.488</v>
      </c>
      <c r="S12" s="225">
        <v>10.638999999999999</v>
      </c>
      <c r="T12" s="225">
        <v>10.417999999999999</v>
      </c>
      <c r="U12" s="225">
        <v>8.43</v>
      </c>
      <c r="V12" s="225">
        <v>5.9429999999999996</v>
      </c>
      <c r="W12" s="225">
        <v>5.9470000000000001</v>
      </c>
      <c r="X12" s="225">
        <v>6.6379999999999999</v>
      </c>
      <c r="Y12" s="225">
        <v>6.2709999999999999</v>
      </c>
      <c r="Z12" s="225">
        <v>5.1289999999999996</v>
      </c>
      <c r="AA12" s="225">
        <v>4.7220000000000004</v>
      </c>
      <c r="AB12" s="225">
        <v>3.2559999999999998</v>
      </c>
      <c r="AC12" s="225">
        <v>3.117</v>
      </c>
      <c r="AD12" s="225">
        <v>2.34</v>
      </c>
      <c r="AE12" s="288">
        <v>2.3250000000000002</v>
      </c>
      <c r="AF12" s="225">
        <v>-0.64102564102562098</v>
      </c>
      <c r="AG12" s="213" t="s">
        <v>64</v>
      </c>
      <c r="AH12" s="249">
        <v>112.232</v>
      </c>
      <c r="AI12" s="242">
        <v>-3.3848696670224854</v>
      </c>
      <c r="AJ12" s="221" t="s">
        <v>63</v>
      </c>
    </row>
    <row r="13" spans="1:36" ht="12.75" customHeight="1">
      <c r="A13" s="221" t="s">
        <v>68</v>
      </c>
      <c r="B13" s="837">
        <v>0.54500000000000004</v>
      </c>
      <c r="C13" s="837">
        <v>0.63700000000000001</v>
      </c>
      <c r="D13" s="837">
        <v>0.58899999999999997</v>
      </c>
      <c r="E13" s="242">
        <v>0.60299999999999998</v>
      </c>
      <c r="F13" s="242">
        <v>0.63300000000000001</v>
      </c>
      <c r="G13" s="242">
        <v>0.57499999999999996</v>
      </c>
      <c r="H13" s="242">
        <v>0.56899999999999995</v>
      </c>
      <c r="I13" s="242">
        <v>0.60199999999999998</v>
      </c>
      <c r="J13" s="242">
        <v>0.56999999999999995</v>
      </c>
      <c r="K13" s="242">
        <v>0.52200000000000002</v>
      </c>
      <c r="L13" s="242">
        <v>0.46600000000000003</v>
      </c>
      <c r="M13" s="242">
        <v>0.52600000000000002</v>
      </c>
      <c r="N13" s="242">
        <v>0.49099999999999999</v>
      </c>
      <c r="O13" s="242">
        <v>0.51600000000000001</v>
      </c>
      <c r="P13" s="242">
        <v>0.42599999999999999</v>
      </c>
      <c r="Q13" s="242">
        <v>0.39800000000000002</v>
      </c>
      <c r="R13" s="242">
        <v>0.39900000000000002</v>
      </c>
      <c r="S13" s="242">
        <v>0.30299999999999999</v>
      </c>
      <c r="T13" s="242">
        <v>0.20499999999999999</v>
      </c>
      <c r="U13" s="242">
        <v>0.129</v>
      </c>
      <c r="V13" s="242">
        <v>0.10299999999999999</v>
      </c>
      <c r="W13" s="242">
        <v>7.9000000000000001E-2</v>
      </c>
      <c r="X13" s="242">
        <v>9.1999999999999998E-2</v>
      </c>
      <c r="Y13" s="242">
        <v>0.105</v>
      </c>
      <c r="Z13" s="242">
        <v>9.0999999999999998E-2</v>
      </c>
      <c r="AA13" s="242">
        <v>9.9000000000000005E-2</v>
      </c>
      <c r="AB13" s="242">
        <v>0.1</v>
      </c>
      <c r="AC13" s="242">
        <v>9.6000000000000002E-2</v>
      </c>
      <c r="AD13" s="242">
        <v>0.10100000000000001</v>
      </c>
      <c r="AE13" s="281">
        <v>0.1</v>
      </c>
      <c r="AF13" s="230">
        <v>-0.99009900990098743</v>
      </c>
      <c r="AG13" s="221" t="s">
        <v>68</v>
      </c>
      <c r="AH13" s="288">
        <v>2.653</v>
      </c>
      <c r="AI13" s="225">
        <v>1.4143730886850108</v>
      </c>
      <c r="AJ13" s="213" t="s">
        <v>14</v>
      </c>
    </row>
    <row r="14" spans="1:36" ht="12.75" customHeight="1">
      <c r="A14" s="213" t="s">
        <v>15</v>
      </c>
      <c r="B14" s="375">
        <v>0.68799999999999994</v>
      </c>
      <c r="C14" s="375">
        <v>0.81399999999999995</v>
      </c>
      <c r="D14" s="375">
        <v>0.60899999999999999</v>
      </c>
      <c r="E14" s="226">
        <v>0.56100000000000005</v>
      </c>
      <c r="F14" s="226">
        <v>0.52700000000000002</v>
      </c>
      <c r="G14" s="226">
        <v>0.503</v>
      </c>
      <c r="H14" s="226">
        <v>0.31</v>
      </c>
      <c r="I14" s="226">
        <v>0.29199999999999998</v>
      </c>
      <c r="J14" s="226">
        <v>0.33700000000000002</v>
      </c>
      <c r="K14" s="226">
        <v>0.317</v>
      </c>
      <c r="L14" s="226">
        <v>0.32600000000000001</v>
      </c>
      <c r="M14" s="226">
        <v>0.32600000000000001</v>
      </c>
      <c r="N14" s="226">
        <v>0.42699999999999999</v>
      </c>
      <c r="O14" s="226">
        <v>0.38</v>
      </c>
      <c r="P14" s="226">
        <v>0.32700000000000001</v>
      </c>
      <c r="Q14" s="225">
        <v>0.45600000000000002</v>
      </c>
      <c r="R14" s="225">
        <v>0.59199999999999997</v>
      </c>
      <c r="S14" s="225">
        <v>0.61299999999999999</v>
      </c>
      <c r="T14" s="225">
        <v>0.66200000000000003</v>
      </c>
      <c r="U14" s="225">
        <v>0.83499999999999996</v>
      </c>
      <c r="V14" s="225">
        <v>0.78600000000000003</v>
      </c>
      <c r="W14" s="225">
        <v>0.55200000000000005</v>
      </c>
      <c r="X14" s="225">
        <v>0.61399999999999999</v>
      </c>
      <c r="Y14" s="225">
        <v>0.35199999999999998</v>
      </c>
      <c r="Z14" s="225">
        <v>0.28299999999999997</v>
      </c>
      <c r="AA14" s="225">
        <v>0.23699999999999999</v>
      </c>
      <c r="AB14" s="225">
        <v>0.311</v>
      </c>
      <c r="AC14" s="225">
        <v>0.29399999999999998</v>
      </c>
      <c r="AD14" s="225">
        <v>0.254</v>
      </c>
      <c r="AE14" s="288">
        <v>0.35799999999999998</v>
      </c>
      <c r="AF14" s="225">
        <v>40.944881889763764</v>
      </c>
      <c r="AG14" s="213" t="s">
        <v>15</v>
      </c>
      <c r="AH14" s="288">
        <v>2.3250000000000002</v>
      </c>
      <c r="AI14" s="225">
        <v>-0.64102564102562098</v>
      </c>
      <c r="AJ14" s="213" t="s">
        <v>64</v>
      </c>
    </row>
    <row r="15" spans="1:36" ht="12.75" customHeight="1">
      <c r="A15" s="221" t="s">
        <v>66</v>
      </c>
      <c r="B15" s="837">
        <v>9.7409999999999997</v>
      </c>
      <c r="C15" s="837">
        <v>11.281000000000001</v>
      </c>
      <c r="D15" s="837">
        <v>11.153</v>
      </c>
      <c r="E15" s="242">
        <v>10.462</v>
      </c>
      <c r="F15" s="242">
        <v>9.2050000000000001</v>
      </c>
      <c r="G15" s="242">
        <v>7.8360000000000003</v>
      </c>
      <c r="H15" s="242">
        <v>9.0890000000000004</v>
      </c>
      <c r="I15" s="242">
        <v>10.955</v>
      </c>
      <c r="J15" s="242">
        <v>11.125</v>
      </c>
      <c r="K15" s="242">
        <v>12.510999999999999</v>
      </c>
      <c r="L15" s="242">
        <v>11.321999999999999</v>
      </c>
      <c r="M15" s="242">
        <v>11.487</v>
      </c>
      <c r="N15" s="287">
        <v>12.170999999999999</v>
      </c>
      <c r="O15" s="242">
        <v>12.321999999999999</v>
      </c>
      <c r="P15" s="242">
        <v>12.247</v>
      </c>
      <c r="Q15" s="242">
        <v>12.411</v>
      </c>
      <c r="R15" s="242">
        <v>12.436</v>
      </c>
      <c r="S15" s="242">
        <v>11.585000000000001</v>
      </c>
      <c r="T15" s="242">
        <v>11.541</v>
      </c>
      <c r="U15" s="242">
        <v>11.237</v>
      </c>
      <c r="V15" s="242">
        <v>10.971</v>
      </c>
      <c r="W15" s="242">
        <v>7.806</v>
      </c>
      <c r="X15" s="242">
        <v>8.9130000000000003</v>
      </c>
      <c r="Y15" s="242">
        <v>9.4510000000000005</v>
      </c>
      <c r="Z15" s="242">
        <v>9.4580000000000002</v>
      </c>
      <c r="AA15" s="242">
        <v>9.3379999999999992</v>
      </c>
      <c r="AB15" s="242">
        <v>10.385</v>
      </c>
      <c r="AC15" s="242">
        <v>11.028</v>
      </c>
      <c r="AD15" s="242">
        <v>10.55</v>
      </c>
      <c r="AE15" s="281">
        <v>10.677</v>
      </c>
      <c r="AF15" s="242">
        <v>1.2037914691943001</v>
      </c>
      <c r="AG15" s="221" t="s">
        <v>66</v>
      </c>
      <c r="AH15" s="288">
        <v>0.35799999999999998</v>
      </c>
      <c r="AI15" s="225">
        <v>40.944881889763764</v>
      </c>
      <c r="AJ15" s="213" t="s">
        <v>15</v>
      </c>
    </row>
    <row r="16" spans="1:36" ht="12.75" customHeight="1">
      <c r="A16" s="213" t="s">
        <v>67</v>
      </c>
      <c r="B16" s="245">
        <v>67.585999999999999</v>
      </c>
      <c r="C16" s="245">
        <v>68.814999999999998</v>
      </c>
      <c r="D16" s="245">
        <v>52.24</v>
      </c>
      <c r="E16" s="225">
        <v>52.430011</v>
      </c>
      <c r="F16" s="225">
        <v>51.180591</v>
      </c>
      <c r="G16" s="225">
        <v>45.582509000000002</v>
      </c>
      <c r="H16" s="225">
        <v>48.871257999999997</v>
      </c>
      <c r="I16" s="225">
        <v>48.266067999999997</v>
      </c>
      <c r="J16" s="225">
        <v>50.113</v>
      </c>
      <c r="K16" s="225">
        <v>54.246000000000002</v>
      </c>
      <c r="L16" s="225">
        <v>54.099525000000007</v>
      </c>
      <c r="M16" s="225">
        <v>54.53801500294</v>
      </c>
      <c r="N16" s="225">
        <v>57.72575464222399</v>
      </c>
      <c r="O16" s="225">
        <v>51.718302252257004</v>
      </c>
      <c r="P16" s="225">
        <v>51.288192553031003</v>
      </c>
      <c r="Q16" s="225">
        <v>48.057268754624005</v>
      </c>
      <c r="R16" s="225">
        <v>45.121000000000002</v>
      </c>
      <c r="S16" s="225">
        <v>40.701000000000001</v>
      </c>
      <c r="T16" s="225">
        <v>41.179000000000002</v>
      </c>
      <c r="U16" s="225">
        <v>42.612000000000002</v>
      </c>
      <c r="V16" s="225">
        <v>40.436</v>
      </c>
      <c r="W16" s="225">
        <v>32.128999999999998</v>
      </c>
      <c r="X16" s="225">
        <v>29.965</v>
      </c>
      <c r="Y16" s="225">
        <v>34.201999999999998</v>
      </c>
      <c r="Z16" s="225">
        <v>32.539000000000001</v>
      </c>
      <c r="AA16" s="225">
        <v>32.229999999999997</v>
      </c>
      <c r="AB16" s="225">
        <v>32.595999999999997</v>
      </c>
      <c r="AC16" s="225">
        <v>34.252000000000002</v>
      </c>
      <c r="AD16" s="225">
        <v>32.569000000000003</v>
      </c>
      <c r="AE16" s="288">
        <v>33.442</v>
      </c>
      <c r="AF16" s="225">
        <v>2.6804630169793313</v>
      </c>
      <c r="AG16" s="213" t="s">
        <v>67</v>
      </c>
      <c r="AH16" s="281">
        <v>10.677</v>
      </c>
      <c r="AI16" s="242">
        <v>1.2037914691943001</v>
      </c>
      <c r="AJ16" s="221" t="s">
        <v>66</v>
      </c>
    </row>
    <row r="17" spans="1:36" ht="12.75" customHeight="1">
      <c r="A17" s="221" t="s">
        <v>144</v>
      </c>
      <c r="B17" s="645"/>
      <c r="C17" s="645"/>
      <c r="D17" s="645" t="s">
        <v>99</v>
      </c>
      <c r="E17" s="230"/>
      <c r="F17" s="230"/>
      <c r="G17" s="230"/>
      <c r="H17" s="230"/>
      <c r="I17" s="230">
        <v>1.974</v>
      </c>
      <c r="J17" s="230">
        <v>1.7170000000000001</v>
      </c>
      <c r="K17" s="230">
        <v>1.7150000000000001</v>
      </c>
      <c r="L17" s="231">
        <v>1.831</v>
      </c>
      <c r="M17" s="230">
        <v>1.6850000000000001</v>
      </c>
      <c r="N17" s="230">
        <v>1.788</v>
      </c>
      <c r="O17" s="230">
        <v>2.0739999999999998</v>
      </c>
      <c r="P17" s="230">
        <v>2.206</v>
      </c>
      <c r="Q17" s="230">
        <v>2.4870000000000001</v>
      </c>
      <c r="R17" s="230">
        <v>2.4929999999999999</v>
      </c>
      <c r="S17" s="230">
        <v>2.835</v>
      </c>
      <c r="T17" s="230">
        <v>3.3050000000000002</v>
      </c>
      <c r="U17" s="230">
        <v>3.5739999999999998</v>
      </c>
      <c r="V17" s="230">
        <v>3.3119999999999998</v>
      </c>
      <c r="W17" s="230">
        <v>2.641</v>
      </c>
      <c r="X17" s="230">
        <v>2.6179999999999999</v>
      </c>
      <c r="Y17" s="230">
        <v>2.4380000000000002</v>
      </c>
      <c r="Z17" s="230">
        <v>2.3319999999999999</v>
      </c>
      <c r="AA17" s="230">
        <v>2.0859999999999999</v>
      </c>
      <c r="AB17" s="230">
        <v>2.1190000000000002</v>
      </c>
      <c r="AC17" s="230">
        <v>2.1840000000000002</v>
      </c>
      <c r="AD17" s="230">
        <v>2.16</v>
      </c>
      <c r="AE17" s="249">
        <v>2.5920000000000001</v>
      </c>
      <c r="AF17" s="230">
        <v>20</v>
      </c>
      <c r="AG17" s="221" t="s">
        <v>144</v>
      </c>
      <c r="AH17" s="288">
        <v>10.362</v>
      </c>
      <c r="AI17" s="225">
        <v>9.5812182741116914</v>
      </c>
      <c r="AJ17" s="213" t="s">
        <v>87</v>
      </c>
    </row>
    <row r="18" spans="1:36" ht="12.75" customHeight="1">
      <c r="A18" s="213" t="s">
        <v>69</v>
      </c>
      <c r="B18" s="375">
        <v>18.068999999999999</v>
      </c>
      <c r="C18" s="375">
        <v>18.384</v>
      </c>
      <c r="D18" s="375">
        <v>19.361000000000001</v>
      </c>
      <c r="E18" s="226">
        <v>19.963000000000001</v>
      </c>
      <c r="F18" s="226">
        <v>19.266999999999999</v>
      </c>
      <c r="G18" s="226">
        <v>18.12</v>
      </c>
      <c r="H18" s="226">
        <v>20.425000000000001</v>
      </c>
      <c r="I18" s="226">
        <v>21.69</v>
      </c>
      <c r="J18" s="226">
        <v>21.033999999999999</v>
      </c>
      <c r="K18" s="226">
        <v>22.902999999999999</v>
      </c>
      <c r="L18" s="226">
        <v>22.454000000000001</v>
      </c>
      <c r="M18" s="226">
        <v>21.548999999999999</v>
      </c>
      <c r="N18" s="226">
        <v>22.817</v>
      </c>
      <c r="O18" s="226">
        <v>21.762</v>
      </c>
      <c r="P18" s="225">
        <v>20.678999999999998</v>
      </c>
      <c r="Q18" s="225">
        <v>20.298999999999999</v>
      </c>
      <c r="R18" s="225">
        <v>22.183</v>
      </c>
      <c r="S18" s="225">
        <v>22.760999999999999</v>
      </c>
      <c r="T18" s="225">
        <v>24.151</v>
      </c>
      <c r="U18" s="225">
        <v>25.285</v>
      </c>
      <c r="V18" s="225">
        <v>23.831</v>
      </c>
      <c r="W18" s="225">
        <v>17.791</v>
      </c>
      <c r="X18" s="225">
        <v>18.616</v>
      </c>
      <c r="Y18" s="225">
        <v>19.786999999999999</v>
      </c>
      <c r="Z18" s="225">
        <v>20.244</v>
      </c>
      <c r="AA18" s="225">
        <v>19.036999999999999</v>
      </c>
      <c r="AB18" s="225">
        <v>20.157</v>
      </c>
      <c r="AC18" s="225">
        <v>20.780999999999999</v>
      </c>
      <c r="AD18" s="225">
        <v>22.712</v>
      </c>
      <c r="AE18" s="288">
        <v>22.335000000000001</v>
      </c>
      <c r="AF18" s="225">
        <v>-1.6599154631912683</v>
      </c>
      <c r="AG18" s="213" t="s">
        <v>69</v>
      </c>
      <c r="AH18" s="288">
        <v>33.442</v>
      </c>
      <c r="AI18" s="225">
        <v>2.6804630169793313</v>
      </c>
      <c r="AJ18" s="213" t="s">
        <v>67</v>
      </c>
    </row>
    <row r="19" spans="1:36" ht="12.75" customHeight="1">
      <c r="A19" s="221" t="s">
        <v>71</v>
      </c>
      <c r="B19" s="645" t="s">
        <v>142</v>
      </c>
      <c r="C19" s="645" t="s">
        <v>142</v>
      </c>
      <c r="D19" s="645" t="s">
        <v>142</v>
      </c>
      <c r="E19" s="230" t="s">
        <v>142</v>
      </c>
      <c r="F19" s="230" t="s">
        <v>142</v>
      </c>
      <c r="G19" s="230" t="s">
        <v>142</v>
      </c>
      <c r="H19" s="230" t="s">
        <v>142</v>
      </c>
      <c r="I19" s="230" t="s">
        <v>142</v>
      </c>
      <c r="J19" s="230" t="s">
        <v>142</v>
      </c>
      <c r="K19" s="230" t="s">
        <v>142</v>
      </c>
      <c r="L19" s="230" t="s">
        <v>142</v>
      </c>
      <c r="M19" s="230" t="s">
        <v>142</v>
      </c>
      <c r="N19" s="230" t="s">
        <v>142</v>
      </c>
      <c r="O19" s="230" t="s">
        <v>142</v>
      </c>
      <c r="P19" s="230" t="s">
        <v>142</v>
      </c>
      <c r="Q19" s="230" t="s">
        <v>142</v>
      </c>
      <c r="R19" s="230" t="s">
        <v>142</v>
      </c>
      <c r="S19" s="230" t="s">
        <v>142</v>
      </c>
      <c r="T19" s="230" t="s">
        <v>142</v>
      </c>
      <c r="U19" s="230" t="s">
        <v>142</v>
      </c>
      <c r="V19" s="230" t="s">
        <v>142</v>
      </c>
      <c r="W19" s="230" t="s">
        <v>142</v>
      </c>
      <c r="X19" s="230" t="s">
        <v>142</v>
      </c>
      <c r="Y19" s="230" t="s">
        <v>142</v>
      </c>
      <c r="Z19" s="230" t="s">
        <v>142</v>
      </c>
      <c r="AA19" s="230" t="s">
        <v>142</v>
      </c>
      <c r="AB19" s="230" t="s">
        <v>142</v>
      </c>
      <c r="AC19" s="230" t="s">
        <v>142</v>
      </c>
      <c r="AD19" s="230" t="s">
        <v>142</v>
      </c>
      <c r="AE19" s="249" t="s">
        <v>142</v>
      </c>
      <c r="AF19" s="230" t="s">
        <v>142</v>
      </c>
      <c r="AG19" s="221" t="s">
        <v>71</v>
      </c>
      <c r="AH19" s="249">
        <v>2.5920000000000001</v>
      </c>
      <c r="AI19" s="230">
        <v>20</v>
      </c>
      <c r="AJ19" s="221" t="s">
        <v>144</v>
      </c>
    </row>
    <row r="20" spans="1:36" ht="12.75" customHeight="1">
      <c r="A20" s="213" t="s">
        <v>72</v>
      </c>
      <c r="B20" s="245">
        <v>15.52</v>
      </c>
      <c r="C20" s="245">
        <v>17.59</v>
      </c>
      <c r="D20" s="245">
        <v>18.54</v>
      </c>
      <c r="E20" s="225">
        <v>16.7</v>
      </c>
      <c r="F20" s="225">
        <v>10.119999999999999</v>
      </c>
      <c r="G20" s="225">
        <v>9.85</v>
      </c>
      <c r="H20" s="225">
        <v>9.52</v>
      </c>
      <c r="I20" s="225">
        <v>9.76</v>
      </c>
      <c r="J20" s="225">
        <v>12.413</v>
      </c>
      <c r="K20" s="225">
        <v>13.97</v>
      </c>
      <c r="L20" s="225">
        <v>12.996</v>
      </c>
      <c r="M20" s="225">
        <v>12.21</v>
      </c>
      <c r="N20" s="225">
        <v>13.31</v>
      </c>
      <c r="O20" s="225">
        <v>14.18</v>
      </c>
      <c r="P20" s="225">
        <v>15.02</v>
      </c>
      <c r="Q20" s="225">
        <v>17.954999999999998</v>
      </c>
      <c r="R20" s="225">
        <v>18.617999999999999</v>
      </c>
      <c r="S20" s="225">
        <v>19.779</v>
      </c>
      <c r="T20" s="225">
        <v>16.831</v>
      </c>
      <c r="U20" s="225">
        <v>18.312999999999999</v>
      </c>
      <c r="V20" s="225">
        <v>19.581</v>
      </c>
      <c r="W20" s="225">
        <v>18.725000000000001</v>
      </c>
      <c r="X20" s="225">
        <v>17.178999999999998</v>
      </c>
      <c r="Y20" s="225">
        <v>21.41</v>
      </c>
      <c r="Z20" s="225">
        <v>21.867000000000001</v>
      </c>
      <c r="AA20" s="225">
        <v>19.532</v>
      </c>
      <c r="AB20" s="225">
        <v>19.440999999999999</v>
      </c>
      <c r="AC20" s="225">
        <v>18.905999999999999</v>
      </c>
      <c r="AD20" s="225">
        <v>15.872999999999999</v>
      </c>
      <c r="AE20" s="288">
        <v>15.013999999999999</v>
      </c>
      <c r="AF20" s="225">
        <v>-5.4117054117054124</v>
      </c>
      <c r="AG20" s="213" t="s">
        <v>72</v>
      </c>
      <c r="AH20" s="249">
        <v>13.356</v>
      </c>
      <c r="AI20" s="242">
        <v>26.861702127659569</v>
      </c>
      <c r="AJ20" s="221" t="s">
        <v>77</v>
      </c>
    </row>
    <row r="21" spans="1:36" ht="12.75" customHeight="1">
      <c r="A21" s="221" t="s">
        <v>73</v>
      </c>
      <c r="B21" s="645">
        <v>13.57</v>
      </c>
      <c r="C21" s="645">
        <v>18.239999999999998</v>
      </c>
      <c r="D21" s="645">
        <v>19.260000000000002</v>
      </c>
      <c r="E21" s="230">
        <v>17.7</v>
      </c>
      <c r="F21" s="230">
        <v>11.34</v>
      </c>
      <c r="G21" s="230">
        <v>9.9</v>
      </c>
      <c r="H21" s="230">
        <v>8</v>
      </c>
      <c r="I21" s="230">
        <v>7.2</v>
      </c>
      <c r="J21" s="230">
        <v>8.1029999999999998</v>
      </c>
      <c r="K21" s="230">
        <v>8.6219999999999999</v>
      </c>
      <c r="L21" s="230">
        <v>8.2650000000000006</v>
      </c>
      <c r="M21" s="230">
        <v>7.8490000000000002</v>
      </c>
      <c r="N21" s="230">
        <v>8.9179999999999993</v>
      </c>
      <c r="O21" s="230">
        <v>7.7409999999999997</v>
      </c>
      <c r="P21" s="230">
        <v>9.7669999999999995</v>
      </c>
      <c r="Q21" s="230">
        <v>11.457000000000001</v>
      </c>
      <c r="R21" s="230">
        <v>11.637</v>
      </c>
      <c r="S21" s="230">
        <v>12.457000000000001</v>
      </c>
      <c r="T21" s="230">
        <v>12.896000000000001</v>
      </c>
      <c r="U21" s="230">
        <v>14.372999999999999</v>
      </c>
      <c r="V21" s="230">
        <v>14.747999999999999</v>
      </c>
      <c r="W21" s="230">
        <v>11.888</v>
      </c>
      <c r="X21" s="230">
        <v>13.430999999999999</v>
      </c>
      <c r="Y21" s="230">
        <v>15.087999999999999</v>
      </c>
      <c r="Z21" s="230">
        <v>14.172000000000001</v>
      </c>
      <c r="AA21" s="230">
        <v>13.343999999999999</v>
      </c>
      <c r="AB21" s="230">
        <v>14.307</v>
      </c>
      <c r="AC21" s="230">
        <v>14.036</v>
      </c>
      <c r="AD21" s="230">
        <v>13.79</v>
      </c>
      <c r="AE21" s="249">
        <v>15.414</v>
      </c>
      <c r="AF21" s="230">
        <v>11.776649746192902</v>
      </c>
      <c r="AG21" s="221" t="s">
        <v>73</v>
      </c>
      <c r="AH21" s="281">
        <v>0.1</v>
      </c>
      <c r="AI21" s="230">
        <v>-0.99009900990098743</v>
      </c>
      <c r="AJ21" s="221" t="s">
        <v>68</v>
      </c>
    </row>
    <row r="22" spans="1:36" ht="12.75" customHeight="1">
      <c r="A22" s="213" t="s">
        <v>76</v>
      </c>
      <c r="B22" s="245">
        <v>0.76300000000000001</v>
      </c>
      <c r="C22" s="245">
        <v>0.66500000000000004</v>
      </c>
      <c r="D22" s="245">
        <v>0.61499999999999999</v>
      </c>
      <c r="E22" s="225">
        <v>0.622</v>
      </c>
      <c r="F22" s="225">
        <v>0.59699999999999998</v>
      </c>
      <c r="G22" s="225">
        <v>0.60699999999999998</v>
      </c>
      <c r="H22" s="225">
        <v>0.64500000000000002</v>
      </c>
      <c r="I22" s="225">
        <v>0.52900000000000003</v>
      </c>
      <c r="J22" s="225">
        <v>0.53</v>
      </c>
      <c r="K22" s="225">
        <v>0.56599999999999995</v>
      </c>
      <c r="L22" s="225">
        <v>0.57399999999999995</v>
      </c>
      <c r="M22" s="225">
        <v>0.60799999999999998</v>
      </c>
      <c r="N22" s="225">
        <v>0.63200000000000001</v>
      </c>
      <c r="O22" s="225">
        <v>0.58499999999999996</v>
      </c>
      <c r="P22" s="225">
        <v>0.55000000000000004</v>
      </c>
      <c r="Q22" s="225">
        <v>0.52500000000000002</v>
      </c>
      <c r="R22" s="225">
        <v>0.55900000000000005</v>
      </c>
      <c r="S22" s="225">
        <v>0.39200000000000002</v>
      </c>
      <c r="T22" s="225">
        <v>0.441</v>
      </c>
      <c r="U22" s="225">
        <v>0.57399999999999995</v>
      </c>
      <c r="V22" s="225">
        <v>0.27900000000000003</v>
      </c>
      <c r="W22" s="225">
        <v>0.2</v>
      </c>
      <c r="X22" s="225">
        <v>0.32300000000000001</v>
      </c>
      <c r="Y22" s="225">
        <v>0.28799999999999998</v>
      </c>
      <c r="Z22" s="225">
        <v>0.23100000000000001</v>
      </c>
      <c r="AA22" s="225">
        <v>0.218</v>
      </c>
      <c r="AB22" s="225">
        <v>0.20799999999999999</v>
      </c>
      <c r="AC22" s="225">
        <v>0.20699999999999999</v>
      </c>
      <c r="AD22" s="225">
        <v>0.20100000000000001</v>
      </c>
      <c r="AE22" s="288">
        <v>0.2</v>
      </c>
      <c r="AF22" s="225">
        <v>-0.4975124378109399</v>
      </c>
      <c r="AG22" s="213" t="s">
        <v>76</v>
      </c>
      <c r="AH22" s="288">
        <v>22.335000000000001</v>
      </c>
      <c r="AI22" s="225">
        <v>-1.6599154631912683</v>
      </c>
      <c r="AJ22" s="213" t="s">
        <v>69</v>
      </c>
    </row>
    <row r="23" spans="1:36" ht="12.75" customHeight="1">
      <c r="A23" s="221" t="s">
        <v>77</v>
      </c>
      <c r="B23" s="645">
        <v>19.82</v>
      </c>
      <c r="C23" s="645">
        <v>24.4</v>
      </c>
      <c r="D23" s="645">
        <v>16.8</v>
      </c>
      <c r="E23" s="230">
        <v>11.9</v>
      </c>
      <c r="F23" s="230">
        <v>10</v>
      </c>
      <c r="G23" s="230">
        <v>7.7</v>
      </c>
      <c r="H23" s="230">
        <v>7.7</v>
      </c>
      <c r="I23" s="230">
        <v>8.4</v>
      </c>
      <c r="J23" s="230">
        <v>7.6</v>
      </c>
      <c r="K23" s="230">
        <v>8.1470000000000002</v>
      </c>
      <c r="L23" s="230">
        <v>8.15</v>
      </c>
      <c r="M23" s="230">
        <v>8.5</v>
      </c>
      <c r="N23" s="230">
        <v>8.8000000000000007</v>
      </c>
      <c r="O23" s="230">
        <v>7.7</v>
      </c>
      <c r="P23" s="230">
        <v>7.8</v>
      </c>
      <c r="Q23" s="230">
        <v>7.6139999999999999</v>
      </c>
      <c r="R23" s="230">
        <v>8.7490000000000006</v>
      </c>
      <c r="S23" s="230">
        <v>9.09</v>
      </c>
      <c r="T23" s="230">
        <v>10.167</v>
      </c>
      <c r="U23" s="230">
        <v>10.048</v>
      </c>
      <c r="V23" s="230">
        <v>9.8740000000000006</v>
      </c>
      <c r="W23" s="230">
        <v>7.673</v>
      </c>
      <c r="X23" s="230">
        <v>8.8089999999999993</v>
      </c>
      <c r="Y23" s="230">
        <v>9.1180000000000003</v>
      </c>
      <c r="Z23" s="230">
        <v>9.23</v>
      </c>
      <c r="AA23" s="230">
        <v>9.7219999999999995</v>
      </c>
      <c r="AB23" s="230">
        <v>10.157999999999999</v>
      </c>
      <c r="AC23" s="230">
        <v>10.01</v>
      </c>
      <c r="AD23" s="230">
        <v>10.528</v>
      </c>
      <c r="AE23" s="249">
        <v>13.356</v>
      </c>
      <c r="AF23" s="242">
        <v>26.861702127659569</v>
      </c>
      <c r="AG23" s="221" t="s">
        <v>77</v>
      </c>
      <c r="AH23" s="249">
        <v>15.414</v>
      </c>
      <c r="AI23" s="230">
        <v>11.776649746192902</v>
      </c>
      <c r="AJ23" s="221" t="s">
        <v>73</v>
      </c>
    </row>
    <row r="24" spans="1:36" ht="12.75" customHeight="1">
      <c r="A24" s="213" t="s">
        <v>78</v>
      </c>
      <c r="B24" s="375" t="s">
        <v>142</v>
      </c>
      <c r="C24" s="375" t="s">
        <v>142</v>
      </c>
      <c r="D24" s="375" t="s">
        <v>142</v>
      </c>
      <c r="E24" s="226" t="s">
        <v>142</v>
      </c>
      <c r="F24" s="226" t="s">
        <v>142</v>
      </c>
      <c r="G24" s="226" t="s">
        <v>142</v>
      </c>
      <c r="H24" s="226" t="s">
        <v>142</v>
      </c>
      <c r="I24" s="226" t="s">
        <v>142</v>
      </c>
      <c r="J24" s="226" t="s">
        <v>142</v>
      </c>
      <c r="K24" s="226" t="s">
        <v>142</v>
      </c>
      <c r="L24" s="226" t="s">
        <v>142</v>
      </c>
      <c r="M24" s="226" t="s">
        <v>142</v>
      </c>
      <c r="N24" s="226" t="s">
        <v>142</v>
      </c>
      <c r="O24" s="226" t="s">
        <v>142</v>
      </c>
      <c r="P24" s="226" t="s">
        <v>142</v>
      </c>
      <c r="Q24" s="226" t="s">
        <v>142</v>
      </c>
      <c r="R24" s="226" t="s">
        <v>142</v>
      </c>
      <c r="S24" s="226" t="s">
        <v>142</v>
      </c>
      <c r="T24" s="226" t="s">
        <v>142</v>
      </c>
      <c r="U24" s="226" t="s">
        <v>142</v>
      </c>
      <c r="V24" s="226" t="s">
        <v>142</v>
      </c>
      <c r="W24" s="226" t="s">
        <v>142</v>
      </c>
      <c r="X24" s="226" t="s">
        <v>142</v>
      </c>
      <c r="Y24" s="226" t="s">
        <v>142</v>
      </c>
      <c r="Z24" s="226" t="s">
        <v>142</v>
      </c>
      <c r="AA24" s="226" t="s">
        <v>142</v>
      </c>
      <c r="AB24" s="842" t="s">
        <v>142</v>
      </c>
      <c r="AC24" s="842" t="s">
        <v>142</v>
      </c>
      <c r="AD24" s="842" t="s">
        <v>142</v>
      </c>
      <c r="AE24" s="846" t="s">
        <v>142</v>
      </c>
      <c r="AF24" s="842" t="s">
        <v>142</v>
      </c>
      <c r="AG24" s="213" t="s">
        <v>78</v>
      </c>
      <c r="AH24" s="288">
        <v>0.2</v>
      </c>
      <c r="AI24" s="225">
        <v>-0.4975124378109399</v>
      </c>
      <c r="AJ24" s="213" t="s">
        <v>76</v>
      </c>
    </row>
    <row r="25" spans="1:36" ht="12.75" customHeight="1">
      <c r="A25" s="221" t="s">
        <v>16</v>
      </c>
      <c r="B25" s="645">
        <v>3.7149999999999999</v>
      </c>
      <c r="C25" s="645">
        <v>3.468</v>
      </c>
      <c r="D25" s="645">
        <v>3.07</v>
      </c>
      <c r="E25" s="230">
        <v>3.0379999999999998</v>
      </c>
      <c r="F25" s="230">
        <v>2.76</v>
      </c>
      <c r="G25" s="230">
        <v>2.68</v>
      </c>
      <c r="H25" s="230">
        <v>2.83</v>
      </c>
      <c r="I25" s="230">
        <v>3.1</v>
      </c>
      <c r="J25" s="230">
        <v>3.1230000000000002</v>
      </c>
      <c r="K25" s="230">
        <v>3.4060000000000001</v>
      </c>
      <c r="L25" s="230">
        <v>3.778</v>
      </c>
      <c r="M25" s="230">
        <v>3.988</v>
      </c>
      <c r="N25" s="230">
        <v>4.5220000000000002</v>
      </c>
      <c r="O25" s="230">
        <v>4.2930000000000001</v>
      </c>
      <c r="P25" s="230">
        <v>4.024</v>
      </c>
      <c r="Q25" s="230">
        <v>4.7050000000000001</v>
      </c>
      <c r="R25" s="230">
        <v>5.8310000000000004</v>
      </c>
      <c r="S25" s="230">
        <v>5.8650000000000002</v>
      </c>
      <c r="T25" s="230">
        <v>6.2889999999999997</v>
      </c>
      <c r="U25" s="230">
        <v>7.2160000000000002</v>
      </c>
      <c r="V25" s="230">
        <v>6.984</v>
      </c>
      <c r="W25" s="230">
        <v>5.5780000000000003</v>
      </c>
      <c r="X25" s="230">
        <v>5.9249999999999998</v>
      </c>
      <c r="Y25" s="230">
        <v>6.3780000000000001</v>
      </c>
      <c r="Z25" s="230">
        <v>6.1420000000000003</v>
      </c>
      <c r="AA25" s="230">
        <v>6.0780000000000003</v>
      </c>
      <c r="AB25" s="230">
        <v>6.1689999999999996</v>
      </c>
      <c r="AC25" s="230">
        <v>6.5449999999999999</v>
      </c>
      <c r="AD25" s="230">
        <v>6.641</v>
      </c>
      <c r="AE25" s="249">
        <v>6.4669999999999996</v>
      </c>
      <c r="AF25" s="230">
        <v>-2.620087336244552</v>
      </c>
      <c r="AG25" s="221" t="s">
        <v>16</v>
      </c>
      <c r="AH25" s="288">
        <v>15.013999999999999</v>
      </c>
      <c r="AI25" s="225">
        <v>-5.4117054117054124</v>
      </c>
      <c r="AJ25" s="213" t="s">
        <v>72</v>
      </c>
    </row>
    <row r="26" spans="1:36" ht="12.75" customHeight="1">
      <c r="A26" s="213" t="s">
        <v>81</v>
      </c>
      <c r="B26" s="245">
        <v>9.8680000000000003</v>
      </c>
      <c r="C26" s="245">
        <v>11.002000000000001</v>
      </c>
      <c r="D26" s="245">
        <v>12.157999999999999</v>
      </c>
      <c r="E26" s="225">
        <v>12.321999999999999</v>
      </c>
      <c r="F26" s="225">
        <v>11.57</v>
      </c>
      <c r="G26" s="225">
        <v>11.24</v>
      </c>
      <c r="H26" s="225">
        <v>12.42</v>
      </c>
      <c r="I26" s="225">
        <v>13.2</v>
      </c>
      <c r="J26" s="225">
        <v>13.33</v>
      </c>
      <c r="K26" s="225">
        <v>14.199</v>
      </c>
      <c r="L26" s="225">
        <v>14.71</v>
      </c>
      <c r="M26" s="225">
        <v>15.04</v>
      </c>
      <c r="N26" s="226">
        <v>16.600000000000001</v>
      </c>
      <c r="O26" s="226">
        <v>16.893000000000001</v>
      </c>
      <c r="P26" s="226">
        <v>17.13</v>
      </c>
      <c r="Q26" s="226">
        <v>16.866</v>
      </c>
      <c r="R26" s="225">
        <v>18.757000000000001</v>
      </c>
      <c r="S26" s="225">
        <v>18.957000000000001</v>
      </c>
      <c r="T26" s="225">
        <v>20.98</v>
      </c>
      <c r="U26" s="225">
        <v>21.370999999999999</v>
      </c>
      <c r="V26" s="225">
        <v>21.914999999999999</v>
      </c>
      <c r="W26" s="225">
        <v>17.766999999999999</v>
      </c>
      <c r="X26" s="225">
        <v>19.832999999999998</v>
      </c>
      <c r="Y26" s="225">
        <v>20.344999999999999</v>
      </c>
      <c r="Z26" s="225">
        <v>19.498999999999999</v>
      </c>
      <c r="AA26" s="225">
        <v>19.277999999999999</v>
      </c>
      <c r="AB26" s="225">
        <v>20.745999999999999</v>
      </c>
      <c r="AC26" s="225">
        <v>20.814</v>
      </c>
      <c r="AD26" s="225">
        <v>21.361000000000001</v>
      </c>
      <c r="AE26" s="288">
        <v>22.256</v>
      </c>
      <c r="AF26" s="225">
        <v>4.1898787509947937</v>
      </c>
      <c r="AG26" s="213" t="s">
        <v>81</v>
      </c>
      <c r="AH26" s="846" t="s">
        <v>142</v>
      </c>
      <c r="AI26" s="842" t="s">
        <v>142</v>
      </c>
      <c r="AJ26" s="213" t="s">
        <v>78</v>
      </c>
    </row>
    <row r="27" spans="1:36" ht="12.75" customHeight="1">
      <c r="A27" s="221" t="s">
        <v>80</v>
      </c>
      <c r="B27" s="836">
        <v>98</v>
      </c>
      <c r="C27" s="836">
        <v>132.4</v>
      </c>
      <c r="D27" s="836">
        <v>81.599999999999994</v>
      </c>
      <c r="E27" s="231">
        <v>65.2</v>
      </c>
      <c r="F27" s="231">
        <v>57.8</v>
      </c>
      <c r="G27" s="231">
        <v>63.2</v>
      </c>
      <c r="H27" s="231">
        <v>64.7</v>
      </c>
      <c r="I27" s="231">
        <v>68.2</v>
      </c>
      <c r="J27" s="231">
        <v>67.400000000000006</v>
      </c>
      <c r="K27" s="231">
        <v>67.7</v>
      </c>
      <c r="L27" s="231">
        <v>60.9</v>
      </c>
      <c r="M27" s="231">
        <v>55.1</v>
      </c>
      <c r="N27" s="231">
        <v>54</v>
      </c>
      <c r="O27" s="231">
        <v>47.7</v>
      </c>
      <c r="P27" s="231">
        <v>46.6</v>
      </c>
      <c r="Q27" s="231">
        <v>47.406999999999996</v>
      </c>
      <c r="R27" s="230">
        <v>52.332000000000001</v>
      </c>
      <c r="S27" s="230">
        <v>49.972000000000001</v>
      </c>
      <c r="T27" s="230">
        <v>53.622</v>
      </c>
      <c r="U27" s="230">
        <v>54.253</v>
      </c>
      <c r="V27" s="230">
        <v>52.042999999999999</v>
      </c>
      <c r="W27" s="230">
        <v>43.445</v>
      </c>
      <c r="X27" s="230">
        <v>48.704999999999998</v>
      </c>
      <c r="Y27" s="230">
        <v>53.746000000000002</v>
      </c>
      <c r="Z27" s="230">
        <v>48.902999999999999</v>
      </c>
      <c r="AA27" s="230">
        <v>50.881</v>
      </c>
      <c r="AB27" s="230">
        <v>50.073</v>
      </c>
      <c r="AC27" s="230">
        <v>50.603000000000002</v>
      </c>
      <c r="AD27" s="230">
        <v>50.65</v>
      </c>
      <c r="AE27" s="249">
        <v>54.796999999999997</v>
      </c>
      <c r="AF27" s="242">
        <v>8.1875616979269381</v>
      </c>
      <c r="AG27" s="221" t="s">
        <v>80</v>
      </c>
      <c r="AH27" s="249">
        <v>6.4669999999999996</v>
      </c>
      <c r="AI27" s="230">
        <v>-2.620087336244552</v>
      </c>
      <c r="AJ27" s="221" t="s">
        <v>16</v>
      </c>
    </row>
    <row r="28" spans="1:36" ht="12.75" customHeight="1">
      <c r="A28" s="213" t="s">
        <v>92</v>
      </c>
      <c r="B28" s="245">
        <v>0.77600000000000002</v>
      </c>
      <c r="C28" s="245">
        <v>1.0009999999999999</v>
      </c>
      <c r="D28" s="245">
        <v>1.4590000000000001</v>
      </c>
      <c r="E28" s="225">
        <v>1.66</v>
      </c>
      <c r="F28" s="225">
        <v>1.7669999999999999</v>
      </c>
      <c r="G28" s="225">
        <v>1.6659999999999999</v>
      </c>
      <c r="H28" s="225">
        <v>1.635</v>
      </c>
      <c r="I28" s="225">
        <v>2.0190000000000001</v>
      </c>
      <c r="J28" s="225">
        <v>1.857</v>
      </c>
      <c r="K28" s="225">
        <v>2.2469999999999999</v>
      </c>
      <c r="L28" s="225">
        <v>2.048</v>
      </c>
      <c r="M28" s="225">
        <v>2.1789999999999998</v>
      </c>
      <c r="N28" s="225">
        <v>2.1829999999999998</v>
      </c>
      <c r="O28" s="225">
        <v>2.1379999999999999</v>
      </c>
      <c r="P28" s="225">
        <v>2.1930000000000001</v>
      </c>
      <c r="Q28" s="225">
        <v>2.073</v>
      </c>
      <c r="R28" s="225">
        <v>2.282</v>
      </c>
      <c r="S28" s="225">
        <v>2.4220000000000002</v>
      </c>
      <c r="T28" s="225">
        <v>2.4300000000000002</v>
      </c>
      <c r="U28" s="225">
        <v>2.5859999999999999</v>
      </c>
      <c r="V28" s="225">
        <v>2.5489999999999999</v>
      </c>
      <c r="W28" s="225">
        <v>2.1739999999999999</v>
      </c>
      <c r="X28" s="225">
        <v>2.3130000000000002</v>
      </c>
      <c r="Y28" s="225">
        <v>2.3220000000000001</v>
      </c>
      <c r="Z28" s="225">
        <v>2.4209999999999998</v>
      </c>
      <c r="AA28" s="225">
        <v>2.29</v>
      </c>
      <c r="AB28" s="225">
        <v>2.4340000000000002</v>
      </c>
      <c r="AC28" s="225">
        <v>2.6880000000000002</v>
      </c>
      <c r="AD28" s="225">
        <v>2.774</v>
      </c>
      <c r="AE28" s="288">
        <v>2.7509999999999999</v>
      </c>
      <c r="AF28" s="225">
        <v>-0.82912761355443365</v>
      </c>
      <c r="AG28" s="213" t="s">
        <v>92</v>
      </c>
      <c r="AH28" s="249">
        <v>54.796999999999997</v>
      </c>
      <c r="AI28" s="242">
        <v>8.1875616979269381</v>
      </c>
      <c r="AJ28" s="221" t="s">
        <v>80</v>
      </c>
    </row>
    <row r="29" spans="1:36" ht="12.75" customHeight="1">
      <c r="A29" s="221" t="s">
        <v>101</v>
      </c>
      <c r="B29" s="837">
        <v>43.1</v>
      </c>
      <c r="C29" s="837">
        <v>64.8</v>
      </c>
      <c r="D29" s="837">
        <v>48.911999999999999</v>
      </c>
      <c r="E29" s="242">
        <v>32.561</v>
      </c>
      <c r="F29" s="242">
        <v>24.387</v>
      </c>
      <c r="G29" s="242">
        <v>22.045999999999999</v>
      </c>
      <c r="H29" s="242">
        <v>21.745999999999999</v>
      </c>
      <c r="I29" s="242">
        <v>17.907</v>
      </c>
      <c r="J29" s="242">
        <v>24.254000000000001</v>
      </c>
      <c r="K29" s="242">
        <v>22.111000000000001</v>
      </c>
      <c r="L29" s="242">
        <v>16.619</v>
      </c>
      <c r="M29" s="242">
        <v>14.679</v>
      </c>
      <c r="N29" s="243">
        <v>16.353999999999999</v>
      </c>
      <c r="O29" s="242">
        <v>16.102</v>
      </c>
      <c r="P29" s="242">
        <v>15.218</v>
      </c>
      <c r="Q29" s="242">
        <v>15.039</v>
      </c>
      <c r="R29" s="242">
        <v>17.021999999999998</v>
      </c>
      <c r="S29" s="242">
        <v>16.582000000000001</v>
      </c>
      <c r="T29" s="242">
        <v>15.791</v>
      </c>
      <c r="U29" s="242">
        <v>15.757</v>
      </c>
      <c r="V29" s="242">
        <v>15.236000000000001</v>
      </c>
      <c r="W29" s="242">
        <v>11.087999999999999</v>
      </c>
      <c r="X29" s="242">
        <v>12.375</v>
      </c>
      <c r="Y29" s="242">
        <v>14.718999999999999</v>
      </c>
      <c r="Z29" s="242">
        <v>13.472</v>
      </c>
      <c r="AA29" s="242">
        <v>12.941000000000001</v>
      </c>
      <c r="AB29" s="242">
        <v>12.263999999999999</v>
      </c>
      <c r="AC29" s="242">
        <v>13.673</v>
      </c>
      <c r="AD29" s="242">
        <v>13.535</v>
      </c>
      <c r="AE29" s="281">
        <v>13.782</v>
      </c>
      <c r="AF29" s="230">
        <v>1.8248984115256661</v>
      </c>
      <c r="AG29" s="221" t="s">
        <v>101</v>
      </c>
      <c r="AH29" s="288">
        <v>2.7509999999999999</v>
      </c>
      <c r="AI29" s="225">
        <v>-0.82912761355443365</v>
      </c>
      <c r="AJ29" s="213" t="s">
        <v>92</v>
      </c>
    </row>
    <row r="30" spans="1:36" ht="12.75" customHeight="1">
      <c r="A30" s="213" t="s">
        <v>83</v>
      </c>
      <c r="B30" s="245">
        <v>3.3</v>
      </c>
      <c r="C30" s="245">
        <v>3.8</v>
      </c>
      <c r="D30" s="245">
        <v>4.21</v>
      </c>
      <c r="E30" s="225">
        <v>3.2</v>
      </c>
      <c r="F30" s="225">
        <v>2.57</v>
      </c>
      <c r="G30" s="225">
        <v>2.2599999999999998</v>
      </c>
      <c r="H30" s="225">
        <v>2.5</v>
      </c>
      <c r="I30" s="225">
        <v>3.0760000000000001</v>
      </c>
      <c r="J30" s="225">
        <v>2.5499999999999998</v>
      </c>
      <c r="K30" s="225">
        <v>2.9</v>
      </c>
      <c r="L30" s="225">
        <v>2.9</v>
      </c>
      <c r="M30" s="225">
        <v>2.7839999999999998</v>
      </c>
      <c r="N30" s="225">
        <v>2.8570000000000002</v>
      </c>
      <c r="O30" s="225">
        <v>2.8370000000000002</v>
      </c>
      <c r="P30" s="225">
        <v>3.0779999999999998</v>
      </c>
      <c r="Q30" s="225">
        <v>3.0179999999999998</v>
      </c>
      <c r="R30" s="225">
        <v>3.149</v>
      </c>
      <c r="S30" s="225">
        <v>3.2450000000000001</v>
      </c>
      <c r="T30" s="225">
        <v>3.3730000000000002</v>
      </c>
      <c r="U30" s="225">
        <v>3.6030000000000002</v>
      </c>
      <c r="V30" s="225">
        <v>3.52</v>
      </c>
      <c r="W30" s="225">
        <v>2.8170000000000002</v>
      </c>
      <c r="X30" s="225">
        <v>3.4209999999999998</v>
      </c>
      <c r="Y30" s="225">
        <v>3.7519999999999998</v>
      </c>
      <c r="Z30" s="225">
        <v>3.47</v>
      </c>
      <c r="AA30" s="225">
        <v>3.7989999999999999</v>
      </c>
      <c r="AB30" s="225">
        <v>4.1100000000000003</v>
      </c>
      <c r="AC30" s="225">
        <v>4.1749999999999998</v>
      </c>
      <c r="AD30" s="225">
        <v>4.3600000000000003</v>
      </c>
      <c r="AE30" s="288">
        <v>5.1280000000000001</v>
      </c>
      <c r="AF30" s="225">
        <v>17.614678899082577</v>
      </c>
      <c r="AG30" s="213" t="s">
        <v>83</v>
      </c>
      <c r="AH30" s="281">
        <v>13.782</v>
      </c>
      <c r="AI30" s="230">
        <v>1.8248984115256661</v>
      </c>
      <c r="AJ30" s="221" t="s">
        <v>101</v>
      </c>
    </row>
    <row r="31" spans="1:36" ht="12.75" customHeight="1">
      <c r="A31" s="221" t="s">
        <v>85</v>
      </c>
      <c r="B31" s="837"/>
      <c r="C31" s="837"/>
      <c r="D31" s="837"/>
      <c r="E31" s="242"/>
      <c r="F31" s="242"/>
      <c r="G31" s="242">
        <v>14.2</v>
      </c>
      <c r="H31" s="242">
        <v>12.2</v>
      </c>
      <c r="I31" s="242">
        <v>13.8</v>
      </c>
      <c r="J31" s="242">
        <v>12</v>
      </c>
      <c r="K31" s="242">
        <v>12.368</v>
      </c>
      <c r="L31" s="242">
        <v>11.753</v>
      </c>
      <c r="M31" s="242">
        <v>9.859</v>
      </c>
      <c r="N31" s="242">
        <v>11.233000000000001</v>
      </c>
      <c r="O31" s="242">
        <v>10.93</v>
      </c>
      <c r="P31" s="242">
        <v>10.38</v>
      </c>
      <c r="Q31" s="242">
        <v>10.113</v>
      </c>
      <c r="R31" s="242">
        <v>9.702</v>
      </c>
      <c r="S31" s="242">
        <v>9.4629999999999992</v>
      </c>
      <c r="T31" s="242">
        <v>9.9879999999999995</v>
      </c>
      <c r="U31" s="242">
        <v>9.6470000000000002</v>
      </c>
      <c r="V31" s="242">
        <v>9.2989999999999995</v>
      </c>
      <c r="W31" s="242">
        <v>6.9640000000000004</v>
      </c>
      <c r="X31" s="242">
        <v>8.1050000000000004</v>
      </c>
      <c r="Y31" s="242">
        <v>7.96</v>
      </c>
      <c r="Z31" s="242">
        <v>7.5910000000000002</v>
      </c>
      <c r="AA31" s="242">
        <v>8.4939999999999998</v>
      </c>
      <c r="AB31" s="242">
        <v>8.8290000000000006</v>
      </c>
      <c r="AC31" s="242">
        <v>8.4390000000000001</v>
      </c>
      <c r="AD31" s="242">
        <v>8.3699999999999992</v>
      </c>
      <c r="AE31" s="281">
        <v>8.4770000000000003</v>
      </c>
      <c r="AF31" s="242">
        <v>1.2783751493429065</v>
      </c>
      <c r="AG31" s="221" t="s">
        <v>85</v>
      </c>
      <c r="AH31" s="281">
        <v>21.838000000000001</v>
      </c>
      <c r="AI31" s="230">
        <v>2.0181257591329569</v>
      </c>
      <c r="AJ31" s="221" t="s">
        <v>88</v>
      </c>
    </row>
    <row r="32" spans="1:36" ht="12.75" customHeight="1">
      <c r="A32" s="213" t="s">
        <v>87</v>
      </c>
      <c r="B32" s="245">
        <v>6.27</v>
      </c>
      <c r="C32" s="245">
        <v>8.3350000000000009</v>
      </c>
      <c r="D32" s="245">
        <v>8.3569999999999993</v>
      </c>
      <c r="E32" s="225">
        <v>7.63</v>
      </c>
      <c r="F32" s="225">
        <v>7.8479999999999999</v>
      </c>
      <c r="G32" s="225">
        <v>9.26</v>
      </c>
      <c r="H32" s="225">
        <v>9.9480000000000004</v>
      </c>
      <c r="I32" s="225">
        <v>9.6</v>
      </c>
      <c r="J32" s="225">
        <v>8.8059999999999992</v>
      </c>
      <c r="K32" s="225">
        <v>9.8559999999999999</v>
      </c>
      <c r="L32" s="225">
        <v>9.8849999999999998</v>
      </c>
      <c r="M32" s="225">
        <v>9.7530000000000001</v>
      </c>
      <c r="N32" s="225">
        <v>10.106999999999999</v>
      </c>
      <c r="O32" s="225">
        <v>9.8569999999999993</v>
      </c>
      <c r="P32" s="225">
        <v>9.6639999999999997</v>
      </c>
      <c r="Q32" s="225">
        <v>10.047000000000001</v>
      </c>
      <c r="R32" s="225">
        <v>10.105</v>
      </c>
      <c r="S32" s="225">
        <v>9.7059999999999995</v>
      </c>
      <c r="T32" s="225">
        <v>11.06</v>
      </c>
      <c r="U32" s="225">
        <v>10.433999999999999</v>
      </c>
      <c r="V32" s="225">
        <v>10.776999999999999</v>
      </c>
      <c r="W32" s="225">
        <v>8.8719999999999999</v>
      </c>
      <c r="X32" s="225">
        <v>9.75</v>
      </c>
      <c r="Y32" s="225">
        <v>9.3949999999999996</v>
      </c>
      <c r="Z32" s="225">
        <v>9.2750000000000004</v>
      </c>
      <c r="AA32" s="225">
        <v>9.4700000000000006</v>
      </c>
      <c r="AB32" s="225">
        <v>9.5969999999999995</v>
      </c>
      <c r="AC32" s="225">
        <v>8.468</v>
      </c>
      <c r="AD32" s="225">
        <v>9.4559999999999995</v>
      </c>
      <c r="AE32" s="288">
        <v>10.362</v>
      </c>
      <c r="AF32" s="225">
        <v>9.5812182741116914</v>
      </c>
      <c r="AG32" s="213" t="s">
        <v>87</v>
      </c>
      <c r="AH32" s="288">
        <v>5.1280000000000001</v>
      </c>
      <c r="AI32" s="225">
        <v>17.614678899082577</v>
      </c>
      <c r="AJ32" s="213" t="s">
        <v>83</v>
      </c>
    </row>
    <row r="33" spans="1:36" ht="12.75" customHeight="1">
      <c r="A33" s="221" t="s">
        <v>88</v>
      </c>
      <c r="B33" s="837">
        <v>17.311</v>
      </c>
      <c r="C33" s="837">
        <v>16.648</v>
      </c>
      <c r="D33" s="837">
        <v>19.100000000000001</v>
      </c>
      <c r="E33" s="242">
        <v>18.815999999999999</v>
      </c>
      <c r="F33" s="242">
        <v>19.202000000000002</v>
      </c>
      <c r="G33" s="242">
        <v>18.577999999999999</v>
      </c>
      <c r="H33" s="242">
        <v>19.068999999999999</v>
      </c>
      <c r="I33" s="242">
        <v>19.390999999999998</v>
      </c>
      <c r="J33" s="242">
        <v>18.846</v>
      </c>
      <c r="K33" s="242">
        <v>19.181000000000001</v>
      </c>
      <c r="L33" s="242">
        <v>19.163</v>
      </c>
      <c r="M33" s="242">
        <v>19.09</v>
      </c>
      <c r="N33" s="242">
        <v>19.475000000000001</v>
      </c>
      <c r="O33" s="242">
        <v>18.954000000000001</v>
      </c>
      <c r="P33" s="242">
        <v>19.196999999999999</v>
      </c>
      <c r="Q33" s="242">
        <v>20.170000000000002</v>
      </c>
      <c r="R33" s="242">
        <v>20.856000000000002</v>
      </c>
      <c r="S33" s="242">
        <v>21.675000000000001</v>
      </c>
      <c r="T33" s="242">
        <v>22.271000000000001</v>
      </c>
      <c r="U33" s="242">
        <v>23.25</v>
      </c>
      <c r="V33" s="242">
        <v>22.923999999999999</v>
      </c>
      <c r="W33" s="242">
        <v>20.388999999999999</v>
      </c>
      <c r="X33" s="242">
        <v>23.463999999999999</v>
      </c>
      <c r="Y33" s="242">
        <v>22.864000000000001</v>
      </c>
      <c r="Z33" s="242">
        <v>22.042999999999999</v>
      </c>
      <c r="AA33" s="242">
        <v>20.97</v>
      </c>
      <c r="AB33" s="242">
        <v>21.295999999999999</v>
      </c>
      <c r="AC33" s="242">
        <v>20.699000000000002</v>
      </c>
      <c r="AD33" s="242">
        <v>21.405999999999999</v>
      </c>
      <c r="AE33" s="281">
        <v>21.838000000000001</v>
      </c>
      <c r="AF33" s="230">
        <v>2.0181257591329569</v>
      </c>
      <c r="AG33" s="221" t="s">
        <v>88</v>
      </c>
      <c r="AH33" s="281">
        <v>8.4770000000000003</v>
      </c>
      <c r="AI33" s="242">
        <v>1.2783751493429065</v>
      </c>
      <c r="AJ33" s="221" t="s">
        <v>85</v>
      </c>
    </row>
    <row r="34" spans="1:36" ht="12.75" customHeight="1">
      <c r="A34" s="217" t="s">
        <v>13</v>
      </c>
      <c r="B34" s="361">
        <v>24.55</v>
      </c>
      <c r="C34" s="361">
        <v>17.815999999999999</v>
      </c>
      <c r="D34" s="361">
        <v>16</v>
      </c>
      <c r="E34" s="250">
        <v>15.3</v>
      </c>
      <c r="F34" s="250">
        <v>15.5</v>
      </c>
      <c r="G34" s="250">
        <v>13.8</v>
      </c>
      <c r="H34" s="250">
        <v>13</v>
      </c>
      <c r="I34" s="250">
        <v>13.3</v>
      </c>
      <c r="J34" s="250">
        <v>15.1</v>
      </c>
      <c r="K34" s="250">
        <v>16.899999999999999</v>
      </c>
      <c r="L34" s="250">
        <v>17.3</v>
      </c>
      <c r="M34" s="250">
        <v>18.2</v>
      </c>
      <c r="N34" s="250">
        <v>18.100000000000001</v>
      </c>
      <c r="O34" s="250">
        <v>19.399999999999999</v>
      </c>
      <c r="P34" s="250">
        <v>18.5</v>
      </c>
      <c r="Q34" s="250">
        <v>18.734000000000002</v>
      </c>
      <c r="R34" s="250">
        <v>22.552</v>
      </c>
      <c r="S34" s="250">
        <v>21.427</v>
      </c>
      <c r="T34" s="250">
        <v>21.919</v>
      </c>
      <c r="U34" s="250">
        <v>21.265000000000001</v>
      </c>
      <c r="V34" s="250">
        <v>21.077000000000002</v>
      </c>
      <c r="W34" s="250">
        <v>19.170999999999999</v>
      </c>
      <c r="X34" s="250">
        <v>18.576000000000001</v>
      </c>
      <c r="Y34" s="250">
        <v>20.974</v>
      </c>
      <c r="Z34" s="250">
        <v>21.443999999999999</v>
      </c>
      <c r="AA34" s="250">
        <v>22.401</v>
      </c>
      <c r="AB34" s="250">
        <v>22.143000000000001</v>
      </c>
      <c r="AC34" s="250">
        <v>19.341999999999999</v>
      </c>
      <c r="AD34" s="250">
        <v>17.053000000000001</v>
      </c>
      <c r="AE34" s="300">
        <v>17.167000000000002</v>
      </c>
      <c r="AF34" s="250">
        <v>0.66850407552922775</v>
      </c>
      <c r="AG34" s="217" t="s">
        <v>13</v>
      </c>
      <c r="AH34" s="300">
        <v>17.167000000000002</v>
      </c>
      <c r="AI34" s="250">
        <v>0.66850407552922775</v>
      </c>
      <c r="AJ34" s="217" t="s">
        <v>13</v>
      </c>
    </row>
    <row r="35" spans="1:36" ht="12.75" customHeight="1">
      <c r="A35" s="221" t="s">
        <v>270</v>
      </c>
      <c r="B35" s="645">
        <v>0.16</v>
      </c>
      <c r="C35" s="854">
        <v>0.47699999999999998</v>
      </c>
      <c r="D35" s="854">
        <v>0.58399999999999996</v>
      </c>
      <c r="E35" s="253">
        <v>0.27800000000000002</v>
      </c>
      <c r="F35" s="855">
        <v>0.06</v>
      </c>
      <c r="G35" s="253">
        <v>5.3999999999999999E-2</v>
      </c>
      <c r="H35" s="253">
        <v>5.2999999999999999E-2</v>
      </c>
      <c r="I35" s="253">
        <v>5.2999999999999999E-2</v>
      </c>
      <c r="J35" s="230">
        <v>4.2000000000000003E-2</v>
      </c>
      <c r="K35" s="230">
        <v>2.3E-2</v>
      </c>
      <c r="L35" s="230">
        <v>2.5000000000000001E-2</v>
      </c>
      <c r="M35" s="230">
        <v>2.5999999999999999E-2</v>
      </c>
      <c r="N35" s="230">
        <v>2.8000000000000001E-2</v>
      </c>
      <c r="O35" s="230">
        <v>1.9E-2</v>
      </c>
      <c r="P35" s="230">
        <v>2.1000000000000001E-2</v>
      </c>
      <c r="Q35" s="230">
        <v>3.2000000000000001E-2</v>
      </c>
      <c r="R35" s="230">
        <v>3.2000000000000001E-2</v>
      </c>
      <c r="S35" s="230">
        <v>2.5999999999999999E-2</v>
      </c>
      <c r="T35" s="230">
        <v>3.5999999999999997E-2</v>
      </c>
      <c r="U35" s="230">
        <v>5.2999999999999999E-2</v>
      </c>
      <c r="V35" s="230">
        <v>5.1999999999999998E-2</v>
      </c>
      <c r="W35" s="230">
        <v>4.5999999999999999E-2</v>
      </c>
      <c r="X35" s="230">
        <v>6.6177E-2</v>
      </c>
      <c r="Y35" s="230">
        <v>5.0122E-2</v>
      </c>
      <c r="Z35" s="230">
        <v>2.5307E-2</v>
      </c>
      <c r="AA35" s="230">
        <v>2.2974999999999999E-2</v>
      </c>
      <c r="AB35" s="230">
        <v>3.9889000000000001E-2</v>
      </c>
      <c r="AC35" s="230">
        <v>2.3E-2</v>
      </c>
      <c r="AD35" s="253">
        <v>8.9999999999999993E-3</v>
      </c>
      <c r="AE35" s="249">
        <v>2.5000000000000001E-2</v>
      </c>
      <c r="AF35" s="242">
        <v>177.77777777777783</v>
      </c>
      <c r="AG35" s="221" t="s">
        <v>270</v>
      </c>
    </row>
    <row r="36" spans="1:36" ht="12.75" customHeight="1">
      <c r="A36" s="840" t="s">
        <v>223</v>
      </c>
      <c r="B36" s="841"/>
      <c r="C36" s="841"/>
      <c r="D36" s="842"/>
      <c r="E36" s="842"/>
      <c r="F36" s="842"/>
      <c r="G36" s="842"/>
      <c r="H36" s="842"/>
      <c r="I36" s="842"/>
      <c r="J36" s="842"/>
      <c r="K36" s="842"/>
      <c r="L36" s="842"/>
      <c r="M36" s="842"/>
      <c r="N36" s="842"/>
      <c r="O36" s="842"/>
      <c r="P36" s="842"/>
      <c r="Q36" s="842"/>
      <c r="R36" s="842"/>
      <c r="S36" s="842"/>
      <c r="T36" s="842"/>
      <c r="U36" s="842">
        <v>0.185</v>
      </c>
      <c r="V36" s="842">
        <v>0.183</v>
      </c>
      <c r="W36" s="842">
        <v>0.1</v>
      </c>
      <c r="X36" s="842">
        <v>0.15</v>
      </c>
      <c r="Y36" s="842">
        <v>0.13600000000000001</v>
      </c>
      <c r="Z36" s="842">
        <v>7.2999999999999995E-2</v>
      </c>
      <c r="AA36" s="842">
        <v>0.105</v>
      </c>
      <c r="AB36" s="842">
        <v>9.4E-2</v>
      </c>
      <c r="AC36" s="842">
        <v>0.112</v>
      </c>
      <c r="AD36" s="842">
        <v>0.11249000000000001</v>
      </c>
      <c r="AE36" s="846">
        <v>0.16900000000000001</v>
      </c>
      <c r="AF36" s="225">
        <v>50.23557649568852</v>
      </c>
      <c r="AG36" s="840" t="s">
        <v>223</v>
      </c>
    </row>
    <row r="37" spans="1:36" ht="12.75" customHeight="1">
      <c r="A37" s="221" t="s">
        <v>145</v>
      </c>
      <c r="B37" s="238" t="s">
        <v>99</v>
      </c>
      <c r="C37" s="238" t="s">
        <v>99</v>
      </c>
      <c r="D37" s="230" t="s">
        <v>99</v>
      </c>
      <c r="E37" s="230"/>
      <c r="F37" s="230"/>
      <c r="G37" s="230"/>
      <c r="H37" s="230"/>
      <c r="I37" s="230"/>
      <c r="J37" s="230"/>
      <c r="K37" s="230"/>
      <c r="L37" s="230"/>
      <c r="M37" s="230"/>
      <c r="N37" s="230">
        <v>0.5</v>
      </c>
      <c r="O37" s="230">
        <v>0.46200000000000002</v>
      </c>
      <c r="P37" s="230">
        <v>0.33400000000000002</v>
      </c>
      <c r="Q37" s="230">
        <v>0.373</v>
      </c>
      <c r="R37" s="230">
        <v>0.42599999999999999</v>
      </c>
      <c r="S37" s="230">
        <v>0.53100000000000003</v>
      </c>
      <c r="T37" s="230">
        <v>0.61399999999999999</v>
      </c>
      <c r="U37" s="230">
        <v>0.77800000000000002</v>
      </c>
      <c r="V37" s="230">
        <v>0.74299999999999999</v>
      </c>
      <c r="W37" s="230">
        <v>0.497</v>
      </c>
      <c r="X37" s="230">
        <v>0.52500000000000002</v>
      </c>
      <c r="Y37" s="230">
        <v>0.47899999999999998</v>
      </c>
      <c r="Z37" s="230">
        <v>0.42299999999999999</v>
      </c>
      <c r="AA37" s="230">
        <v>0.42099999999999999</v>
      </c>
      <c r="AB37" s="230">
        <v>0.41099999999999998</v>
      </c>
      <c r="AC37" s="230">
        <v>0.27800000000000002</v>
      </c>
      <c r="AD37" s="230">
        <v>0.222</v>
      </c>
      <c r="AE37" s="249">
        <v>0.27700000000000002</v>
      </c>
      <c r="AF37" s="230">
        <v>24.774774774774784</v>
      </c>
      <c r="AG37" s="221" t="s">
        <v>145</v>
      </c>
    </row>
    <row r="38" spans="1:36" ht="12.75" customHeight="1">
      <c r="A38" s="840" t="s">
        <v>224</v>
      </c>
      <c r="B38" s="841"/>
      <c r="C38" s="841"/>
      <c r="D38" s="842"/>
      <c r="E38" s="842"/>
      <c r="F38" s="842"/>
      <c r="G38" s="842"/>
      <c r="H38" s="842"/>
      <c r="I38" s="842"/>
      <c r="J38" s="842"/>
      <c r="K38" s="842"/>
      <c r="L38" s="842"/>
      <c r="M38" s="842"/>
      <c r="N38" s="842"/>
      <c r="O38" s="842"/>
      <c r="P38" s="842"/>
      <c r="Q38" s="842"/>
      <c r="R38" s="842"/>
      <c r="S38" s="842"/>
      <c r="T38" s="842"/>
      <c r="U38" s="842"/>
      <c r="V38" s="842">
        <v>4.3390000000000004</v>
      </c>
      <c r="W38" s="842">
        <v>2.9670000000000001</v>
      </c>
      <c r="X38" s="842">
        <v>3.5219999999999998</v>
      </c>
      <c r="Y38" s="842">
        <v>3.6110000000000002</v>
      </c>
      <c r="Z38" s="842">
        <v>2.7690000000000001</v>
      </c>
      <c r="AA38" s="842">
        <v>3.0219999999999998</v>
      </c>
      <c r="AB38" s="842">
        <v>2.988</v>
      </c>
      <c r="AC38" s="842">
        <v>3.2480000000000002</v>
      </c>
      <c r="AD38" s="842">
        <v>3.0870000000000002</v>
      </c>
      <c r="AE38" s="846">
        <v>3.2879999999999998</v>
      </c>
      <c r="AF38" s="225">
        <v>6.5111758989310005</v>
      </c>
      <c r="AG38" s="840" t="s">
        <v>224</v>
      </c>
    </row>
    <row r="39" spans="1:36" ht="12.75" customHeight="1">
      <c r="A39" s="256" t="s">
        <v>146</v>
      </c>
      <c r="B39" s="257">
        <v>5.5</v>
      </c>
      <c r="C39" s="257">
        <v>5</v>
      </c>
      <c r="D39" s="258">
        <v>7.8940000000000001</v>
      </c>
      <c r="E39" s="258">
        <v>7.9770000000000003</v>
      </c>
      <c r="F39" s="258">
        <v>8.2309999999999999</v>
      </c>
      <c r="G39" s="258">
        <v>8.3960000000000008</v>
      </c>
      <c r="H39" s="258">
        <v>8.2029999999999994</v>
      </c>
      <c r="I39" s="258">
        <v>8.5060000000000002</v>
      </c>
      <c r="J39" s="258">
        <v>8.9039999999999999</v>
      </c>
      <c r="K39" s="258">
        <v>9.6059999999999999</v>
      </c>
      <c r="L39" s="258">
        <v>8.3689999999999998</v>
      </c>
      <c r="M39" s="258">
        <v>8.23</v>
      </c>
      <c r="N39" s="258">
        <v>9.7569999999999997</v>
      </c>
      <c r="O39" s="258">
        <v>7.4829999999999997</v>
      </c>
      <c r="P39" s="258">
        <v>7.1760000000000002</v>
      </c>
      <c r="Q39" s="258">
        <v>8.6120000000000001</v>
      </c>
      <c r="R39" s="258">
        <v>9.3320000000000007</v>
      </c>
      <c r="S39" s="258">
        <v>9.077</v>
      </c>
      <c r="T39" s="258">
        <v>9.5440000000000005</v>
      </c>
      <c r="U39" s="258">
        <v>9.7550000000000008</v>
      </c>
      <c r="V39" s="258">
        <v>10.552</v>
      </c>
      <c r="W39" s="258">
        <v>10.163</v>
      </c>
      <c r="X39" s="258">
        <v>11.3</v>
      </c>
      <c r="Y39" s="258">
        <v>11.303000000000001</v>
      </c>
      <c r="Z39" s="258">
        <v>11.223000000000001</v>
      </c>
      <c r="AA39" s="258">
        <v>10.75</v>
      </c>
      <c r="AB39" s="258">
        <v>11.601000000000001</v>
      </c>
      <c r="AC39" s="258">
        <v>10.178000000000001</v>
      </c>
      <c r="AD39" s="258">
        <v>11.423999999999999</v>
      </c>
      <c r="AE39" s="540">
        <v>12.676</v>
      </c>
      <c r="AF39" s="838">
        <v>10.959383753501413</v>
      </c>
      <c r="AG39" s="256" t="s">
        <v>146</v>
      </c>
    </row>
    <row r="40" spans="1:36" ht="12.75" customHeight="1">
      <c r="A40" s="840" t="s">
        <v>147</v>
      </c>
      <c r="B40" s="841" t="s">
        <v>142</v>
      </c>
      <c r="C40" s="841" t="s">
        <v>142</v>
      </c>
      <c r="D40" s="848" t="s">
        <v>142</v>
      </c>
      <c r="E40" s="848" t="s">
        <v>142</v>
      </c>
      <c r="F40" s="848" t="s">
        <v>142</v>
      </c>
      <c r="G40" s="848" t="s">
        <v>142</v>
      </c>
      <c r="H40" s="848" t="s">
        <v>142</v>
      </c>
      <c r="I40" s="848" t="s">
        <v>142</v>
      </c>
      <c r="J40" s="848" t="s">
        <v>142</v>
      </c>
      <c r="K40" s="848" t="s">
        <v>142</v>
      </c>
      <c r="L40" s="848" t="s">
        <v>142</v>
      </c>
      <c r="M40" s="848" t="s">
        <v>142</v>
      </c>
      <c r="N40" s="848" t="s">
        <v>142</v>
      </c>
      <c r="O40" s="849" t="s">
        <v>142</v>
      </c>
      <c r="P40" s="849" t="s">
        <v>142</v>
      </c>
      <c r="Q40" s="849" t="s">
        <v>142</v>
      </c>
      <c r="R40" s="849" t="s">
        <v>142</v>
      </c>
      <c r="S40" s="849" t="s">
        <v>142</v>
      </c>
      <c r="T40" s="849" t="s">
        <v>142</v>
      </c>
      <c r="U40" s="849" t="s">
        <v>142</v>
      </c>
      <c r="V40" s="849" t="s">
        <v>142</v>
      </c>
      <c r="W40" s="849" t="s">
        <v>142</v>
      </c>
      <c r="X40" s="849" t="s">
        <v>142</v>
      </c>
      <c r="Y40" s="850" t="s">
        <v>142</v>
      </c>
      <c r="Z40" s="850" t="s">
        <v>142</v>
      </c>
      <c r="AA40" s="850" t="s">
        <v>142</v>
      </c>
      <c r="AB40" s="850" t="s">
        <v>142</v>
      </c>
      <c r="AC40" s="850" t="s">
        <v>142</v>
      </c>
      <c r="AD40" s="850" t="s">
        <v>142</v>
      </c>
      <c r="AE40" s="856" t="s">
        <v>142</v>
      </c>
      <c r="AF40" s="842" t="s">
        <v>142</v>
      </c>
      <c r="AG40" s="847" t="s">
        <v>147</v>
      </c>
    </row>
    <row r="41" spans="1:36" ht="12.75" customHeight="1">
      <c r="A41" s="221" t="s">
        <v>148</v>
      </c>
      <c r="B41" s="238">
        <v>2.6</v>
      </c>
      <c r="C41" s="238">
        <v>3</v>
      </c>
      <c r="D41" s="230">
        <v>2.6</v>
      </c>
      <c r="E41" s="230">
        <v>2.7</v>
      </c>
      <c r="F41" s="230">
        <v>2.7</v>
      </c>
      <c r="G41" s="230">
        <v>2.9</v>
      </c>
      <c r="H41" s="230">
        <v>2.7</v>
      </c>
      <c r="I41" s="230">
        <v>2.7</v>
      </c>
      <c r="J41" s="230">
        <v>2.8</v>
      </c>
      <c r="K41" s="230">
        <v>3</v>
      </c>
      <c r="L41" s="230">
        <v>2.9</v>
      </c>
      <c r="M41" s="230">
        <v>2.9</v>
      </c>
      <c r="N41" s="230">
        <v>3</v>
      </c>
      <c r="O41" s="230">
        <v>2.9</v>
      </c>
      <c r="P41" s="230">
        <v>2.7</v>
      </c>
      <c r="Q41" s="230">
        <v>2.6269999999999998</v>
      </c>
      <c r="R41" s="230">
        <v>2.8450000000000002</v>
      </c>
      <c r="S41" s="230">
        <v>3.1819999999999999</v>
      </c>
      <c r="T41" s="230">
        <v>3.351</v>
      </c>
      <c r="U41" s="230">
        <v>3.5019999999999998</v>
      </c>
      <c r="V41" s="230">
        <v>3.621</v>
      </c>
      <c r="W41" s="230">
        <v>3.5059999999999998</v>
      </c>
      <c r="X41" s="230">
        <v>3.496</v>
      </c>
      <c r="Y41" s="230">
        <v>3.5739999999999998</v>
      </c>
      <c r="Z41" s="230">
        <v>3.4889999999999999</v>
      </c>
      <c r="AA41" s="230">
        <v>3.383</v>
      </c>
      <c r="AB41" s="230">
        <v>3.5390000000000001</v>
      </c>
      <c r="AC41" s="230">
        <v>3.4980000000000002</v>
      </c>
      <c r="AD41" s="230">
        <v>3.3119999999999998</v>
      </c>
      <c r="AE41" s="249">
        <v>4.04</v>
      </c>
      <c r="AF41" s="230">
        <v>21.980676328502426</v>
      </c>
      <c r="AG41" s="221" t="s">
        <v>148</v>
      </c>
    </row>
    <row r="42" spans="1:36" ht="12.75" customHeight="1">
      <c r="A42" s="851" t="s">
        <v>149</v>
      </c>
      <c r="B42" s="852">
        <v>6.9</v>
      </c>
      <c r="C42" s="852">
        <v>7.8</v>
      </c>
      <c r="D42" s="844">
        <v>9.0449999999999999</v>
      </c>
      <c r="E42" s="844">
        <v>8.9169999999999998</v>
      </c>
      <c r="F42" s="844">
        <v>8.4580000000000002</v>
      </c>
      <c r="G42" s="844">
        <v>8.0510000000000002</v>
      </c>
      <c r="H42" s="844">
        <v>8.8190000000000008</v>
      </c>
      <c r="I42" s="844">
        <v>8.8559999999999999</v>
      </c>
      <c r="J42" s="844">
        <v>8.0310000000000006</v>
      </c>
      <c r="K42" s="844">
        <v>8.8360000000000003</v>
      </c>
      <c r="L42" s="844">
        <v>9.4109999999999996</v>
      </c>
      <c r="M42" s="844">
        <v>9.8309999999999995</v>
      </c>
      <c r="N42" s="844">
        <v>11.08</v>
      </c>
      <c r="O42" s="844">
        <v>11.172000000000001</v>
      </c>
      <c r="P42" s="844">
        <v>10.746</v>
      </c>
      <c r="Q42" s="844">
        <v>10.598000000000001</v>
      </c>
      <c r="R42" s="844">
        <v>11.489000000000001</v>
      </c>
      <c r="S42" s="844">
        <v>11.677</v>
      </c>
      <c r="T42" s="844">
        <v>12.465999999999999</v>
      </c>
      <c r="U42" s="843">
        <v>11.952</v>
      </c>
      <c r="V42" s="844">
        <v>12.265000000000001</v>
      </c>
      <c r="W42" s="844">
        <v>10.565</v>
      </c>
      <c r="X42" s="844">
        <v>11.074</v>
      </c>
      <c r="Y42" s="844">
        <v>11.526</v>
      </c>
      <c r="Z42" s="844">
        <v>11.061</v>
      </c>
      <c r="AA42" s="844">
        <v>11.811999999999999</v>
      </c>
      <c r="AB42" s="844">
        <v>12.313000000000001</v>
      </c>
      <c r="AC42" s="844">
        <v>12.430999999999999</v>
      </c>
      <c r="AD42" s="844">
        <v>12.446999999999999</v>
      </c>
      <c r="AE42" s="853">
        <v>11.664999999999999</v>
      </c>
      <c r="AF42" s="250">
        <v>-6.2826383867598707</v>
      </c>
      <c r="AG42" s="851" t="s">
        <v>149</v>
      </c>
    </row>
    <row r="43" spans="1:36" ht="12.75" customHeight="1">
      <c r="A43" s="1136" t="s">
        <v>229</v>
      </c>
      <c r="B43" s="1136"/>
      <c r="C43" s="1136"/>
      <c r="D43" s="1136"/>
      <c r="E43" s="1136"/>
      <c r="F43" s="1136"/>
      <c r="G43" s="1136"/>
      <c r="H43" s="1136"/>
      <c r="I43" s="1136"/>
      <c r="J43" s="1136"/>
      <c r="K43" s="1136"/>
      <c r="L43" s="1136"/>
      <c r="M43" s="1136"/>
      <c r="N43" s="1136"/>
      <c r="O43" s="1136"/>
      <c r="P43" s="1136"/>
      <c r="Q43" s="1136"/>
      <c r="R43" s="1136"/>
      <c r="S43" s="1136"/>
      <c r="T43" s="1136"/>
      <c r="U43" s="1136"/>
      <c r="V43" s="1136"/>
      <c r="W43" s="1136"/>
      <c r="X43" s="1136"/>
      <c r="Y43" s="1136"/>
      <c r="Z43" s="1136"/>
      <c r="AA43" s="1136"/>
      <c r="AB43" s="1136"/>
      <c r="AC43" s="1136"/>
      <c r="AD43" s="1136"/>
      <c r="AE43" s="1136"/>
      <c r="AF43" s="1137"/>
      <c r="AG43" s="1137"/>
    </row>
    <row r="44" spans="1:36" ht="12.75" customHeight="1">
      <c r="A44" s="331" t="s">
        <v>179</v>
      </c>
      <c r="B44" s="1138" t="s">
        <v>348</v>
      </c>
      <c r="C44" s="1138"/>
      <c r="D44" s="1138"/>
      <c r="E44" s="1138"/>
      <c r="F44" s="1138"/>
      <c r="G44" s="1138"/>
      <c r="H44" s="1138"/>
      <c r="I44" s="1138"/>
      <c r="J44" s="1138"/>
      <c r="K44" s="1138"/>
      <c r="L44" s="1138"/>
      <c r="M44" s="1138"/>
      <c r="N44" s="1138"/>
      <c r="O44" s="1138"/>
      <c r="P44" s="1138"/>
      <c r="Q44" s="1138"/>
      <c r="R44" s="835"/>
      <c r="S44" s="835"/>
      <c r="T44" s="835"/>
      <c r="U44" s="835"/>
      <c r="V44" s="835"/>
      <c r="W44" s="835"/>
      <c r="X44" s="835"/>
      <c r="Y44" s="835"/>
      <c r="Z44" s="835"/>
      <c r="AA44" s="835"/>
      <c r="AB44" s="835"/>
      <c r="AC44" s="835"/>
      <c r="AD44" s="835"/>
      <c r="AE44" s="835"/>
      <c r="AF44" s="835"/>
      <c r="AG44" s="333"/>
    </row>
    <row r="45" spans="1:36" ht="27" customHeight="1"/>
    <row r="46" spans="1:36" ht="44.25" customHeight="1"/>
    <row r="53" ht="12.75" customHeight="1"/>
  </sheetData>
  <mergeCells count="3">
    <mergeCell ref="A2:AG2"/>
    <mergeCell ref="A43:AG43"/>
    <mergeCell ref="B44:Q44"/>
  </mergeCell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J49"/>
  <sheetViews>
    <sheetView zoomScaleNormal="100" workbookViewId="0">
      <selection activeCell="B1" sqref="B1:S65536"/>
    </sheetView>
  </sheetViews>
  <sheetFormatPr defaultRowHeight="11.25"/>
  <cols>
    <col min="1" max="1" width="9.140625" style="184"/>
    <col min="2" max="19" width="0" style="184" hidden="1" customWidth="1"/>
    <col min="20" max="16384" width="9.140625" style="184"/>
  </cols>
  <sheetData>
    <row r="1" spans="1:36" ht="14.25" customHeight="1">
      <c r="A1" s="189"/>
      <c r="B1" s="437"/>
      <c r="C1" s="437"/>
      <c r="D1" s="337"/>
      <c r="E1" s="337"/>
      <c r="F1" s="337"/>
      <c r="G1" s="337"/>
      <c r="H1" s="337"/>
      <c r="I1" s="337"/>
      <c r="J1" s="337"/>
      <c r="K1" s="337"/>
      <c r="L1" s="337"/>
      <c r="M1" s="337"/>
      <c r="N1" s="337"/>
      <c r="O1" s="337"/>
      <c r="P1" s="333"/>
      <c r="Q1" s="333"/>
      <c r="R1" s="333"/>
      <c r="S1" s="333"/>
      <c r="T1" s="191"/>
      <c r="U1" s="191"/>
      <c r="V1" s="191"/>
      <c r="W1" s="191"/>
      <c r="X1" s="191"/>
      <c r="Y1" s="191"/>
      <c r="Z1" s="191"/>
      <c r="AA1" s="191"/>
      <c r="AB1" s="191"/>
      <c r="AC1" s="191"/>
      <c r="AD1" s="191"/>
      <c r="AE1" s="191"/>
      <c r="AF1" s="333"/>
      <c r="AG1" s="191" t="s">
        <v>211</v>
      </c>
    </row>
    <row r="2" spans="1:36" s="185" customFormat="1" ht="30" customHeight="1">
      <c r="A2" s="1135" t="s">
        <v>212</v>
      </c>
      <c r="B2" s="1135"/>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row>
    <row r="3" spans="1:36" ht="12" customHeight="1">
      <c r="A3" s="202"/>
      <c r="B3" s="202"/>
      <c r="C3" s="333"/>
      <c r="D3" s="265"/>
      <c r="E3" s="265"/>
      <c r="F3" s="265"/>
      <c r="G3" s="265"/>
      <c r="H3" s="265"/>
      <c r="I3" s="435"/>
      <c r="J3" s="435"/>
      <c r="K3" s="435"/>
      <c r="L3" s="435"/>
      <c r="M3" s="435"/>
      <c r="N3" s="435"/>
      <c r="O3" s="333"/>
      <c r="P3" s="333"/>
      <c r="Q3" s="862"/>
      <c r="R3" s="333"/>
      <c r="S3" s="304"/>
      <c r="T3" s="304"/>
      <c r="U3" s="333"/>
      <c r="V3" s="885"/>
      <c r="W3" s="885"/>
      <c r="X3" s="195"/>
      <c r="Y3" s="195"/>
      <c r="Z3" s="195"/>
      <c r="AA3" s="195"/>
      <c r="AB3" s="195"/>
      <c r="AC3" s="885"/>
      <c r="AD3" s="333"/>
      <c r="AE3" s="885" t="s">
        <v>226</v>
      </c>
      <c r="AF3" s="197"/>
      <c r="AG3" s="833"/>
    </row>
    <row r="4" spans="1:36" ht="20.100000000000001" customHeight="1">
      <c r="A4" s="198"/>
      <c r="B4" s="199">
        <v>1970</v>
      </c>
      <c r="C4" s="199">
        <v>1980</v>
      </c>
      <c r="D4" s="200">
        <v>1990</v>
      </c>
      <c r="E4" s="200">
        <v>1991</v>
      </c>
      <c r="F4" s="200">
        <v>1992</v>
      </c>
      <c r="G4" s="200">
        <v>1993</v>
      </c>
      <c r="H4" s="200">
        <v>1994</v>
      </c>
      <c r="I4" s="200">
        <v>1995</v>
      </c>
      <c r="J4" s="200">
        <v>1996</v>
      </c>
      <c r="K4" s="200">
        <v>1997</v>
      </c>
      <c r="L4" s="200">
        <v>1998</v>
      </c>
      <c r="M4" s="200">
        <v>1999</v>
      </c>
      <c r="N4" s="200">
        <v>2000</v>
      </c>
      <c r="O4" s="200">
        <v>2001</v>
      </c>
      <c r="P4" s="200">
        <v>2002</v>
      </c>
      <c r="Q4" s="200">
        <v>2003</v>
      </c>
      <c r="R4" s="200">
        <v>2004</v>
      </c>
      <c r="S4" s="200">
        <v>2005</v>
      </c>
      <c r="T4" s="200">
        <v>2006</v>
      </c>
      <c r="U4" s="200">
        <v>2007</v>
      </c>
      <c r="V4" s="200">
        <v>2008</v>
      </c>
      <c r="W4" s="200">
        <v>2009</v>
      </c>
      <c r="X4" s="200">
        <v>2010</v>
      </c>
      <c r="Y4" s="200">
        <v>2011</v>
      </c>
      <c r="Z4" s="200">
        <v>2012</v>
      </c>
      <c r="AA4" s="200">
        <v>2013</v>
      </c>
      <c r="AB4" s="200">
        <v>2014</v>
      </c>
      <c r="AC4" s="200">
        <v>2015</v>
      </c>
      <c r="AD4" s="200">
        <v>2016</v>
      </c>
      <c r="AE4" s="868">
        <v>2017</v>
      </c>
      <c r="AF4" s="514" t="s">
        <v>335</v>
      </c>
      <c r="AG4" s="272"/>
      <c r="AI4" s="177">
        <f>AH7+AH8+AH12+AH13+AH15+AH16+AH17+AH18+AH21+AH22+AH24+AH27+AH29+AH31+AH34</f>
        <v>125.629</v>
      </c>
    </row>
    <row r="5" spans="1:36" ht="9.9499999999999993" customHeight="1">
      <c r="A5" s="198"/>
      <c r="B5" s="204"/>
      <c r="C5" s="273"/>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889"/>
      <c r="AF5" s="863" t="s">
        <v>143</v>
      </c>
      <c r="AG5" s="272"/>
    </row>
    <row r="6" spans="1:36" ht="12.75" customHeight="1">
      <c r="A6" s="884" t="s">
        <v>237</v>
      </c>
      <c r="B6" s="886">
        <v>112.776</v>
      </c>
      <c r="C6" s="886">
        <v>119.771</v>
      </c>
      <c r="D6" s="887">
        <v>118.83522714499999</v>
      </c>
      <c r="E6" s="887">
        <v>116.70840167300001</v>
      </c>
      <c r="F6" s="887">
        <v>115.05673840299998</v>
      </c>
      <c r="G6" s="887">
        <v>109.08724280999999</v>
      </c>
      <c r="H6" s="887">
        <v>118.78323084900002</v>
      </c>
      <c r="I6" s="887">
        <v>122.118208</v>
      </c>
      <c r="J6" s="887">
        <v>119.778492</v>
      </c>
      <c r="K6" s="887">
        <v>127.87012699999998</v>
      </c>
      <c r="L6" s="887">
        <v>131.06435455100001</v>
      </c>
      <c r="M6" s="887">
        <v>128.778899</v>
      </c>
      <c r="N6" s="887">
        <v>133.92488560000001</v>
      </c>
      <c r="O6" s="887">
        <v>132.6062436</v>
      </c>
      <c r="P6" s="887">
        <v>132.59402299999999</v>
      </c>
      <c r="Q6" s="887">
        <v>123.6150852</v>
      </c>
      <c r="R6" s="887">
        <v>136.91315100000006</v>
      </c>
      <c r="S6" s="887">
        <v>138.78097439999996</v>
      </c>
      <c r="T6" s="887">
        <v>138.57696909999999</v>
      </c>
      <c r="U6" s="887">
        <v>145.56399999999999</v>
      </c>
      <c r="V6" s="887">
        <v>147.06700000000001</v>
      </c>
      <c r="W6" s="887">
        <v>132.73900000000003</v>
      </c>
      <c r="X6" s="887">
        <v>155.52099999999999</v>
      </c>
      <c r="Y6" s="887">
        <v>141.96900000000002</v>
      </c>
      <c r="Z6" s="887">
        <v>149.98699999999999</v>
      </c>
      <c r="AA6" s="887">
        <v>152.79500000000004</v>
      </c>
      <c r="AB6" s="887">
        <v>150.87599999999998</v>
      </c>
      <c r="AC6" s="887">
        <v>147.47100000000003</v>
      </c>
      <c r="AD6" s="887">
        <v>146.72</v>
      </c>
      <c r="AE6" s="888">
        <v>147.203</v>
      </c>
      <c r="AF6" s="888">
        <v>0.32919847328246021</v>
      </c>
      <c r="AG6" s="884" t="s">
        <v>237</v>
      </c>
    </row>
    <row r="7" spans="1:36" ht="12.75" customHeight="1">
      <c r="A7" s="221" t="s">
        <v>60</v>
      </c>
      <c r="B7" s="222">
        <v>6.734</v>
      </c>
      <c r="C7" s="222">
        <v>5.8520000000000003</v>
      </c>
      <c r="D7" s="242">
        <v>5.3888962219999996</v>
      </c>
      <c r="E7" s="242">
        <v>5.177006499</v>
      </c>
      <c r="F7" s="242">
        <v>5.0178630999999996</v>
      </c>
      <c r="G7" s="242">
        <v>4.9316739729999997</v>
      </c>
      <c r="H7" s="242">
        <v>5.4902624380000002</v>
      </c>
      <c r="I7" s="242">
        <v>5.7309999999999999</v>
      </c>
      <c r="J7" s="242">
        <v>5.7149999999999999</v>
      </c>
      <c r="K7" s="242">
        <v>5.8289999999999997</v>
      </c>
      <c r="L7" s="242">
        <v>6.0149999999999997</v>
      </c>
      <c r="M7" s="242">
        <v>6.3620000000000001</v>
      </c>
      <c r="N7" s="242">
        <v>7.2149999999999999</v>
      </c>
      <c r="O7" s="242">
        <v>7.6550000000000002</v>
      </c>
      <c r="P7" s="242">
        <v>8.0730000000000004</v>
      </c>
      <c r="Q7" s="242">
        <v>8.23</v>
      </c>
      <c r="R7" s="242">
        <v>8.3919999999999995</v>
      </c>
      <c r="S7" s="242">
        <v>8.5660000000000007</v>
      </c>
      <c r="T7" s="242">
        <v>8.9079999999999995</v>
      </c>
      <c r="U7" s="242">
        <v>9.0060000000000002</v>
      </c>
      <c r="V7" s="242">
        <v>8.7460000000000004</v>
      </c>
      <c r="W7" s="242">
        <v>7.0869999999999997</v>
      </c>
      <c r="X7" s="242">
        <v>9.07</v>
      </c>
      <c r="Y7" s="242">
        <v>9.2509999999999994</v>
      </c>
      <c r="Z7" s="242">
        <v>10.42</v>
      </c>
      <c r="AA7" s="242">
        <v>10.365</v>
      </c>
      <c r="AB7" s="242">
        <v>10.451000000000001</v>
      </c>
      <c r="AC7" s="242">
        <v>10.426</v>
      </c>
      <c r="AD7" s="242">
        <v>10.331</v>
      </c>
      <c r="AE7" s="890">
        <v>11.098000000000001</v>
      </c>
      <c r="AF7" s="242">
        <v>7.4242570903107321</v>
      </c>
      <c r="AG7" s="221" t="s">
        <v>60</v>
      </c>
      <c r="AH7" s="299">
        <v>2.0219999999999998</v>
      </c>
      <c r="AI7" s="842">
        <v>3.0581039755351611</v>
      </c>
      <c r="AJ7" s="840" t="s">
        <v>81</v>
      </c>
    </row>
    <row r="8" spans="1:36" ht="12.75" customHeight="1">
      <c r="A8" s="840" t="s">
        <v>100</v>
      </c>
      <c r="B8" s="841">
        <v>1.83</v>
      </c>
      <c r="C8" s="841">
        <v>2.61</v>
      </c>
      <c r="D8" s="842">
        <v>1.61</v>
      </c>
      <c r="E8" s="842">
        <v>1.024</v>
      </c>
      <c r="F8" s="842">
        <v>0.83699999999999997</v>
      </c>
      <c r="G8" s="842">
        <v>0.46</v>
      </c>
      <c r="H8" s="842">
        <v>0.36</v>
      </c>
      <c r="I8" s="842">
        <v>0.52600000000000002</v>
      </c>
      <c r="J8" s="842">
        <v>0.505</v>
      </c>
      <c r="K8" s="842">
        <v>0.6</v>
      </c>
      <c r="L8" s="842">
        <v>0.56299999999999994</v>
      </c>
      <c r="M8" s="842">
        <v>0.187</v>
      </c>
      <c r="N8" s="842">
        <v>0.313</v>
      </c>
      <c r="O8" s="842">
        <v>0.41799999999999998</v>
      </c>
      <c r="P8" s="842">
        <v>0.56100000000000005</v>
      </c>
      <c r="Q8" s="842">
        <v>0.61299999999999999</v>
      </c>
      <c r="R8" s="842">
        <v>0.69699999999999995</v>
      </c>
      <c r="S8" s="842">
        <v>0.75700000000000001</v>
      </c>
      <c r="T8" s="842">
        <v>0.78500000000000003</v>
      </c>
      <c r="U8" s="246">
        <v>1.0109999999999999</v>
      </c>
      <c r="V8" s="246">
        <v>2.89</v>
      </c>
      <c r="W8" s="842">
        <v>5.4359999999999999</v>
      </c>
      <c r="X8" s="842">
        <v>6.048</v>
      </c>
      <c r="Y8" s="842">
        <v>4.3099999999999996</v>
      </c>
      <c r="Z8" s="842">
        <v>5.3490000000000002</v>
      </c>
      <c r="AA8" s="842">
        <v>5.3739999999999997</v>
      </c>
      <c r="AB8" s="842">
        <v>5.0739999999999998</v>
      </c>
      <c r="AC8" s="842">
        <v>5.5949999999999998</v>
      </c>
      <c r="AD8" s="842">
        <v>5.4770000000000003</v>
      </c>
      <c r="AE8" s="846">
        <v>5.2789999999999999</v>
      </c>
      <c r="AF8" s="842">
        <v>-3.6151177651999404</v>
      </c>
      <c r="AG8" s="840" t="s">
        <v>100</v>
      </c>
      <c r="AH8" s="281">
        <v>11.098000000000001</v>
      </c>
      <c r="AI8" s="242">
        <v>7.4242570903107321</v>
      </c>
      <c r="AJ8" s="221" t="s">
        <v>60</v>
      </c>
    </row>
    <row r="9" spans="1:36" ht="12.75" customHeight="1">
      <c r="A9" s="221" t="s">
        <v>61</v>
      </c>
      <c r="B9" s="238"/>
      <c r="C9" s="238"/>
      <c r="D9" s="230"/>
      <c r="E9" s="230"/>
      <c r="F9" s="230"/>
      <c r="G9" s="231"/>
      <c r="H9" s="230">
        <v>0.25259999999999999</v>
      </c>
      <c r="I9" s="230">
        <v>0.2757</v>
      </c>
      <c r="J9" s="230">
        <v>0.25650000000000001</v>
      </c>
      <c r="K9" s="230">
        <v>9.8400000000000001E-2</v>
      </c>
      <c r="L9" s="230">
        <v>0.100313551</v>
      </c>
      <c r="M9" s="230">
        <v>8.6999999999999994E-2</v>
      </c>
      <c r="N9" s="230">
        <v>8.8999999999999996E-2</v>
      </c>
      <c r="O9" s="230">
        <v>7.8E-2</v>
      </c>
      <c r="P9" s="230">
        <v>0.08</v>
      </c>
      <c r="Q9" s="230">
        <v>5.8000000000000003E-2</v>
      </c>
      <c r="R9" s="230">
        <v>4.8000000000000001E-2</v>
      </c>
      <c r="S9" s="230">
        <v>6.3E-2</v>
      </c>
      <c r="T9" s="230">
        <v>4.2999999999999997E-2</v>
      </c>
      <c r="U9" s="230">
        <v>3.5999999999999997E-2</v>
      </c>
      <c r="V9" s="230">
        <v>2.8000000000000001E-2</v>
      </c>
      <c r="W9" s="230">
        <v>3.3000000000000002E-2</v>
      </c>
      <c r="X9" s="230">
        <v>4.2999999999999997E-2</v>
      </c>
      <c r="Y9" s="230">
        <v>4.2000000000000003E-2</v>
      </c>
      <c r="Z9" s="230">
        <v>3.7999999999999999E-2</v>
      </c>
      <c r="AA9" s="230">
        <v>2.5000000000000001E-2</v>
      </c>
      <c r="AB9" s="230">
        <v>2.7E-2</v>
      </c>
      <c r="AC9" s="230">
        <v>3.3000000000000002E-2</v>
      </c>
      <c r="AD9" s="230">
        <v>3.5999999999999997E-2</v>
      </c>
      <c r="AE9" s="249">
        <v>2.5000000000000001E-2</v>
      </c>
      <c r="AF9" s="230">
        <v>-30.555555555555543</v>
      </c>
      <c r="AG9" s="221" t="s">
        <v>61</v>
      </c>
      <c r="AH9" s="846">
        <v>5.2789999999999999</v>
      </c>
      <c r="AI9" s="842">
        <v>-3.6151177651999404</v>
      </c>
      <c r="AJ9" s="840" t="s">
        <v>100</v>
      </c>
    </row>
    <row r="10" spans="1:36" ht="12.75" customHeight="1">
      <c r="A10" s="840" t="s">
        <v>14</v>
      </c>
      <c r="B10" s="841" t="s">
        <v>142</v>
      </c>
      <c r="C10" s="841" t="s">
        <v>142</v>
      </c>
      <c r="D10" s="842" t="s">
        <v>142</v>
      </c>
      <c r="E10" s="842" t="s">
        <v>142</v>
      </c>
      <c r="F10" s="842" t="s">
        <v>142</v>
      </c>
      <c r="G10" s="842" t="s">
        <v>142</v>
      </c>
      <c r="H10" s="842" t="s">
        <v>142</v>
      </c>
      <c r="I10" s="842" t="s">
        <v>142</v>
      </c>
      <c r="J10" s="842" t="s">
        <v>142</v>
      </c>
      <c r="K10" s="842" t="s">
        <v>142</v>
      </c>
      <c r="L10" s="842" t="s">
        <v>142</v>
      </c>
      <c r="M10" s="842" t="s">
        <v>142</v>
      </c>
      <c r="N10" s="842" t="s">
        <v>142</v>
      </c>
      <c r="O10" s="842" t="s">
        <v>142</v>
      </c>
      <c r="P10" s="842" t="s">
        <v>142</v>
      </c>
      <c r="Q10" s="842" t="s">
        <v>142</v>
      </c>
      <c r="R10" s="842" t="s">
        <v>142</v>
      </c>
      <c r="S10" s="842" t="s">
        <v>142</v>
      </c>
      <c r="T10" s="842" t="s">
        <v>142</v>
      </c>
      <c r="U10" s="842" t="s">
        <v>142</v>
      </c>
      <c r="V10" s="842" t="s">
        <v>142</v>
      </c>
      <c r="W10" s="842" t="s">
        <v>142</v>
      </c>
      <c r="X10" s="842" t="s">
        <v>142</v>
      </c>
      <c r="Y10" s="842" t="s">
        <v>142</v>
      </c>
      <c r="Z10" s="842" t="s">
        <v>142</v>
      </c>
      <c r="AA10" s="842" t="s">
        <v>142</v>
      </c>
      <c r="AB10" s="842" t="s">
        <v>142</v>
      </c>
      <c r="AC10" s="842" t="s">
        <v>142</v>
      </c>
      <c r="AD10" s="842" t="s">
        <v>142</v>
      </c>
      <c r="AE10" s="846" t="s">
        <v>142</v>
      </c>
      <c r="AF10" s="842" t="s">
        <v>142</v>
      </c>
      <c r="AG10" s="840" t="s">
        <v>14</v>
      </c>
      <c r="AH10" s="249">
        <v>0</v>
      </c>
      <c r="AI10" s="230" t="s">
        <v>142</v>
      </c>
      <c r="AJ10" s="221" t="s">
        <v>71</v>
      </c>
    </row>
    <row r="11" spans="1:36" ht="12.75" customHeight="1">
      <c r="A11" s="221" t="s">
        <v>63</v>
      </c>
      <c r="B11" s="238">
        <v>48.8</v>
      </c>
      <c r="C11" s="238">
        <v>51.4</v>
      </c>
      <c r="D11" s="230">
        <v>54.802999999999997</v>
      </c>
      <c r="E11" s="230">
        <v>55.973424604999998</v>
      </c>
      <c r="F11" s="230">
        <v>57.239443125999998</v>
      </c>
      <c r="G11" s="230">
        <v>57.559339868000002</v>
      </c>
      <c r="H11" s="230">
        <v>61.771966849999998</v>
      </c>
      <c r="I11" s="230">
        <v>63.981999999999999</v>
      </c>
      <c r="J11" s="230">
        <v>61.290999999999997</v>
      </c>
      <c r="K11" s="230">
        <v>62.152999999999999</v>
      </c>
      <c r="L11" s="230">
        <v>64.266999999999996</v>
      </c>
      <c r="M11" s="230">
        <v>62.692</v>
      </c>
      <c r="N11" s="230">
        <v>66.465000000000003</v>
      </c>
      <c r="O11" s="230">
        <v>64.817999999999998</v>
      </c>
      <c r="P11" s="230">
        <v>64.165999999999997</v>
      </c>
      <c r="Q11" s="230">
        <v>58.154000000000003</v>
      </c>
      <c r="R11" s="230">
        <v>63.667000000000002</v>
      </c>
      <c r="S11" s="230">
        <v>64.096000000000004</v>
      </c>
      <c r="T11" s="230">
        <v>63.975000000000001</v>
      </c>
      <c r="U11" s="230">
        <v>64.710999999999999</v>
      </c>
      <c r="V11" s="230">
        <v>64.055999999999997</v>
      </c>
      <c r="W11" s="230">
        <v>55.652000000000001</v>
      </c>
      <c r="X11" s="230">
        <v>62.277999999999999</v>
      </c>
      <c r="Y11" s="230">
        <v>55.027000000000001</v>
      </c>
      <c r="Z11" s="230">
        <v>58.488</v>
      </c>
      <c r="AA11" s="230">
        <v>60.07</v>
      </c>
      <c r="AB11" s="230">
        <v>59.093000000000004</v>
      </c>
      <c r="AC11" s="230">
        <v>55.314999999999998</v>
      </c>
      <c r="AD11" s="230">
        <v>54.347000000000001</v>
      </c>
      <c r="AE11" s="249">
        <v>55.518000000000001</v>
      </c>
      <c r="AF11" s="230">
        <v>2.1546727510258137</v>
      </c>
      <c r="AG11" s="221" t="s">
        <v>63</v>
      </c>
      <c r="AH11" s="249">
        <v>2.5000000000000001E-2</v>
      </c>
      <c r="AI11" s="230">
        <v>-30.555555555555543</v>
      </c>
      <c r="AJ11" s="221" t="s">
        <v>61</v>
      </c>
    </row>
    <row r="12" spans="1:36" ht="12.75" customHeight="1">
      <c r="A12" s="840" t="s">
        <v>64</v>
      </c>
      <c r="B12" s="841">
        <v>0.01</v>
      </c>
      <c r="C12" s="841">
        <v>0.01</v>
      </c>
      <c r="D12" s="842">
        <v>0</v>
      </c>
      <c r="E12" s="842">
        <v>1E-3</v>
      </c>
      <c r="F12" s="842">
        <v>1E-3</v>
      </c>
      <c r="G12" s="842">
        <v>0</v>
      </c>
      <c r="H12" s="842">
        <v>1E-3</v>
      </c>
      <c r="I12" s="842">
        <v>0</v>
      </c>
      <c r="J12" s="842">
        <v>0</v>
      </c>
      <c r="K12" s="842">
        <v>0</v>
      </c>
      <c r="L12" s="842">
        <v>0</v>
      </c>
      <c r="M12" s="842">
        <v>2E-3</v>
      </c>
      <c r="N12" s="842" t="s">
        <v>142</v>
      </c>
      <c r="O12" s="842" t="s">
        <v>142</v>
      </c>
      <c r="P12" s="842" t="s">
        <v>142</v>
      </c>
      <c r="Q12" s="842" t="s">
        <v>142</v>
      </c>
      <c r="R12" s="842" t="s">
        <v>142</v>
      </c>
      <c r="S12" s="842" t="s">
        <v>142</v>
      </c>
      <c r="T12" s="842" t="s">
        <v>142</v>
      </c>
      <c r="U12" s="842" t="s">
        <v>142</v>
      </c>
      <c r="V12" s="842" t="s">
        <v>142</v>
      </c>
      <c r="W12" s="842" t="s">
        <v>142</v>
      </c>
      <c r="X12" s="842" t="s">
        <v>142</v>
      </c>
      <c r="Y12" s="842" t="s">
        <v>142</v>
      </c>
      <c r="Z12" s="842" t="s">
        <v>142</v>
      </c>
      <c r="AA12" s="842" t="s">
        <v>142</v>
      </c>
      <c r="AB12" s="842" t="s">
        <v>142</v>
      </c>
      <c r="AC12" s="842" t="s">
        <v>142</v>
      </c>
      <c r="AD12" s="842" t="s">
        <v>142</v>
      </c>
      <c r="AE12" s="846" t="s">
        <v>142</v>
      </c>
      <c r="AF12" s="842" t="s">
        <v>142</v>
      </c>
      <c r="AG12" s="840" t="s">
        <v>64</v>
      </c>
      <c r="AH12" s="249">
        <v>55.518000000000001</v>
      </c>
      <c r="AI12" s="230">
        <v>2.1546727510258137</v>
      </c>
      <c r="AJ12" s="221" t="s">
        <v>63</v>
      </c>
    </row>
    <row r="13" spans="1:36" ht="12.75" customHeight="1">
      <c r="A13" s="221" t="s">
        <v>68</v>
      </c>
      <c r="B13" s="222" t="s">
        <v>142</v>
      </c>
      <c r="C13" s="222" t="s">
        <v>142</v>
      </c>
      <c r="D13" s="242" t="s">
        <v>142</v>
      </c>
      <c r="E13" s="242" t="s">
        <v>142</v>
      </c>
      <c r="F13" s="242" t="s">
        <v>142</v>
      </c>
      <c r="G13" s="242" t="s">
        <v>142</v>
      </c>
      <c r="H13" s="242" t="s">
        <v>142</v>
      </c>
      <c r="I13" s="242" t="s">
        <v>142</v>
      </c>
      <c r="J13" s="242" t="s">
        <v>142</v>
      </c>
      <c r="K13" s="242" t="s">
        <v>142</v>
      </c>
      <c r="L13" s="242" t="s">
        <v>142</v>
      </c>
      <c r="M13" s="242" t="s">
        <v>142</v>
      </c>
      <c r="N13" s="242" t="s">
        <v>142</v>
      </c>
      <c r="O13" s="242" t="s">
        <v>142</v>
      </c>
      <c r="P13" s="242" t="s">
        <v>142</v>
      </c>
      <c r="Q13" s="242" t="s">
        <v>142</v>
      </c>
      <c r="R13" s="242" t="s">
        <v>142</v>
      </c>
      <c r="S13" s="242" t="s">
        <v>142</v>
      </c>
      <c r="T13" s="242" t="s">
        <v>142</v>
      </c>
      <c r="U13" s="242" t="s">
        <v>142</v>
      </c>
      <c r="V13" s="242" t="s">
        <v>142</v>
      </c>
      <c r="W13" s="242" t="s">
        <v>142</v>
      </c>
      <c r="X13" s="242" t="s">
        <v>142</v>
      </c>
      <c r="Y13" s="242" t="s">
        <v>142</v>
      </c>
      <c r="Z13" s="242" t="s">
        <v>142</v>
      </c>
      <c r="AA13" s="242" t="s">
        <v>142</v>
      </c>
      <c r="AB13" s="242" t="s">
        <v>142</v>
      </c>
      <c r="AC13" s="242" t="s">
        <v>142</v>
      </c>
      <c r="AD13" s="242" t="s">
        <v>142</v>
      </c>
      <c r="AE13" s="281"/>
      <c r="AF13" s="242" t="s">
        <v>142</v>
      </c>
      <c r="AG13" s="221" t="s">
        <v>68</v>
      </c>
      <c r="AH13" s="846">
        <v>0</v>
      </c>
      <c r="AI13" s="842" t="s">
        <v>142</v>
      </c>
      <c r="AJ13" s="840" t="s">
        <v>14</v>
      </c>
    </row>
    <row r="14" spans="1:36" ht="12.75" customHeight="1">
      <c r="A14" s="840" t="s">
        <v>15</v>
      </c>
      <c r="B14" s="841" t="s">
        <v>142</v>
      </c>
      <c r="C14" s="841" t="s">
        <v>142</v>
      </c>
      <c r="D14" s="842" t="s">
        <v>142</v>
      </c>
      <c r="E14" s="842" t="s">
        <v>142</v>
      </c>
      <c r="F14" s="842" t="s">
        <v>142</v>
      </c>
      <c r="G14" s="842" t="s">
        <v>142</v>
      </c>
      <c r="H14" s="842" t="s">
        <v>142</v>
      </c>
      <c r="I14" s="842" t="s">
        <v>142</v>
      </c>
      <c r="J14" s="842" t="s">
        <v>142</v>
      </c>
      <c r="K14" s="842" t="s">
        <v>142</v>
      </c>
      <c r="L14" s="842" t="s">
        <v>142</v>
      </c>
      <c r="M14" s="842" t="s">
        <v>142</v>
      </c>
      <c r="N14" s="842" t="s">
        <v>142</v>
      </c>
      <c r="O14" s="842" t="s">
        <v>142</v>
      </c>
      <c r="P14" s="842" t="s">
        <v>142</v>
      </c>
      <c r="Q14" s="842" t="s">
        <v>142</v>
      </c>
      <c r="R14" s="842" t="s">
        <v>142</v>
      </c>
      <c r="S14" s="842" t="s">
        <v>142</v>
      </c>
      <c r="T14" s="842" t="s">
        <v>142</v>
      </c>
      <c r="U14" s="842" t="s">
        <v>142</v>
      </c>
      <c r="V14" s="842" t="s">
        <v>142</v>
      </c>
      <c r="W14" s="842" t="s">
        <v>142</v>
      </c>
      <c r="X14" s="842" t="s">
        <v>142</v>
      </c>
      <c r="Y14" s="842" t="s">
        <v>142</v>
      </c>
      <c r="Z14" s="842" t="s">
        <v>142</v>
      </c>
      <c r="AA14" s="842" t="s">
        <v>142</v>
      </c>
      <c r="AB14" s="842" t="s">
        <v>142</v>
      </c>
      <c r="AC14" s="842" t="s">
        <v>142</v>
      </c>
      <c r="AD14" s="842" t="s">
        <v>142</v>
      </c>
      <c r="AE14" s="846" t="s">
        <v>142</v>
      </c>
      <c r="AF14" s="842" t="s">
        <v>142</v>
      </c>
      <c r="AG14" s="840" t="s">
        <v>15</v>
      </c>
      <c r="AH14" s="846">
        <v>0</v>
      </c>
      <c r="AI14" s="842" t="s">
        <v>142</v>
      </c>
      <c r="AJ14" s="840" t="s">
        <v>64</v>
      </c>
    </row>
    <row r="15" spans="1:36" ht="12.75" customHeight="1">
      <c r="A15" s="221" t="s">
        <v>66</v>
      </c>
      <c r="B15" s="222" t="s">
        <v>142</v>
      </c>
      <c r="C15" s="222" t="s">
        <v>142</v>
      </c>
      <c r="D15" s="242" t="s">
        <v>142</v>
      </c>
      <c r="E15" s="242" t="s">
        <v>142</v>
      </c>
      <c r="F15" s="242" t="s">
        <v>142</v>
      </c>
      <c r="G15" s="242" t="s">
        <v>142</v>
      </c>
      <c r="H15" s="242" t="s">
        <v>142</v>
      </c>
      <c r="I15" s="242" t="s">
        <v>142</v>
      </c>
      <c r="J15" s="242" t="s">
        <v>142</v>
      </c>
      <c r="K15" s="242" t="s">
        <v>142</v>
      </c>
      <c r="L15" s="242" t="s">
        <v>142</v>
      </c>
      <c r="M15" s="242" t="s">
        <v>142</v>
      </c>
      <c r="N15" s="242" t="s">
        <v>142</v>
      </c>
      <c r="O15" s="242" t="s">
        <v>142</v>
      </c>
      <c r="P15" s="242" t="s">
        <v>142</v>
      </c>
      <c r="Q15" s="242" t="s">
        <v>142</v>
      </c>
      <c r="R15" s="242" t="s">
        <v>142</v>
      </c>
      <c r="S15" s="242" t="s">
        <v>142</v>
      </c>
      <c r="T15" s="242" t="s">
        <v>142</v>
      </c>
      <c r="U15" s="242" t="s">
        <v>142</v>
      </c>
      <c r="V15" s="242" t="s">
        <v>142</v>
      </c>
      <c r="W15" s="242" t="s">
        <v>142</v>
      </c>
      <c r="X15" s="242" t="s">
        <v>142</v>
      </c>
      <c r="Y15" s="242" t="s">
        <v>142</v>
      </c>
      <c r="Z15" s="242" t="s">
        <v>142</v>
      </c>
      <c r="AA15" s="242" t="s">
        <v>142</v>
      </c>
      <c r="AB15" s="242" t="s">
        <v>142</v>
      </c>
      <c r="AC15" s="242" t="s">
        <v>142</v>
      </c>
      <c r="AD15" s="242" t="s">
        <v>142</v>
      </c>
      <c r="AE15" s="281" t="s">
        <v>142</v>
      </c>
      <c r="AF15" s="242" t="s">
        <v>142</v>
      </c>
      <c r="AG15" s="221" t="s">
        <v>66</v>
      </c>
      <c r="AH15" s="846">
        <v>0</v>
      </c>
      <c r="AI15" s="842" t="s">
        <v>142</v>
      </c>
      <c r="AJ15" s="840" t="s">
        <v>15</v>
      </c>
    </row>
    <row r="16" spans="1:36" ht="12.75" customHeight="1">
      <c r="A16" s="840" t="s">
        <v>67</v>
      </c>
      <c r="B16" s="841">
        <v>12.228999999999999</v>
      </c>
      <c r="C16" s="374">
        <v>10.869</v>
      </c>
      <c r="D16" s="842">
        <v>7.5810330869999998</v>
      </c>
      <c r="E16" s="842">
        <v>8.3465465230000007</v>
      </c>
      <c r="F16" s="842">
        <v>8.6314321770000006</v>
      </c>
      <c r="G16" s="842">
        <v>7.6842289690000003</v>
      </c>
      <c r="H16" s="842">
        <v>7.235301561</v>
      </c>
      <c r="I16" s="842">
        <v>6.63</v>
      </c>
      <c r="J16" s="842">
        <v>6.0270000000000001</v>
      </c>
      <c r="K16" s="842">
        <v>7.0579999999999998</v>
      </c>
      <c r="L16" s="842">
        <v>7.9359999999999999</v>
      </c>
      <c r="M16" s="842">
        <v>8.4779999999999998</v>
      </c>
      <c r="N16" s="842">
        <v>9.11</v>
      </c>
      <c r="O16" s="842">
        <v>8.2940000000000005</v>
      </c>
      <c r="P16" s="842">
        <v>8.2690000000000001</v>
      </c>
      <c r="Q16" s="842">
        <v>8.0239999999999991</v>
      </c>
      <c r="R16" s="842">
        <v>8.4160000000000004</v>
      </c>
      <c r="S16" s="842">
        <v>8.9049999999999994</v>
      </c>
      <c r="T16" s="842">
        <v>9.0050000000000008</v>
      </c>
      <c r="U16" s="842">
        <v>9.2080000000000002</v>
      </c>
      <c r="V16" s="842">
        <v>8.91</v>
      </c>
      <c r="W16" s="842">
        <v>8.7110000000000003</v>
      </c>
      <c r="X16" s="842">
        <v>9.4740000000000002</v>
      </c>
      <c r="Y16" s="842">
        <v>9.0350000000000001</v>
      </c>
      <c r="Z16" s="842">
        <v>8.9160000000000004</v>
      </c>
      <c r="AA16" s="842">
        <v>9.2129999999999992</v>
      </c>
      <c r="AB16" s="842">
        <v>8.8030000000000008</v>
      </c>
      <c r="AC16" s="842">
        <v>8.516</v>
      </c>
      <c r="AD16" s="842">
        <v>8.3070000000000004</v>
      </c>
      <c r="AE16" s="846">
        <v>7.5129999999999999</v>
      </c>
      <c r="AF16" s="842">
        <v>-9.5582039244011128</v>
      </c>
      <c r="AG16" s="840" t="s">
        <v>67</v>
      </c>
      <c r="AH16" s="281">
        <v>0</v>
      </c>
      <c r="AI16" s="242" t="s">
        <v>142</v>
      </c>
      <c r="AJ16" s="221" t="s">
        <v>66</v>
      </c>
    </row>
    <row r="17" spans="1:36" ht="12.75" customHeight="1">
      <c r="A17" s="870" t="s">
        <v>144</v>
      </c>
      <c r="B17" s="871">
        <v>0.3</v>
      </c>
      <c r="C17" s="871">
        <v>0.6</v>
      </c>
      <c r="D17" s="872">
        <v>0.5</v>
      </c>
      <c r="E17" s="872" t="s">
        <v>99</v>
      </c>
      <c r="F17" s="872" t="s">
        <v>99</v>
      </c>
      <c r="G17" s="872" t="s">
        <v>99</v>
      </c>
      <c r="H17" s="872" t="s">
        <v>99</v>
      </c>
      <c r="I17" s="872">
        <v>3.3000000000000002E-2</v>
      </c>
      <c r="J17" s="872">
        <v>2.1999999999999999E-2</v>
      </c>
      <c r="K17" s="872">
        <v>2.1999999999999999E-2</v>
      </c>
      <c r="L17" s="872">
        <v>5.2999999999999999E-2</v>
      </c>
      <c r="M17" s="872">
        <v>5.1999999999999998E-2</v>
      </c>
      <c r="N17" s="872">
        <v>6.3535999999999995E-2</v>
      </c>
      <c r="O17" s="872">
        <v>7.7483999999999997E-2</v>
      </c>
      <c r="P17" s="872">
        <v>8.9745000000000005E-2</v>
      </c>
      <c r="Q17" s="872">
        <v>0.10009999999999999</v>
      </c>
      <c r="R17" s="872">
        <v>0.1787</v>
      </c>
      <c r="S17" s="872">
        <v>0.1186</v>
      </c>
      <c r="T17" s="872">
        <v>0.1164</v>
      </c>
      <c r="U17" s="873">
        <v>0.109</v>
      </c>
      <c r="V17" s="872">
        <v>0.84199999999999997</v>
      </c>
      <c r="W17" s="872">
        <v>0.72699999999999998</v>
      </c>
      <c r="X17" s="872">
        <v>0.94</v>
      </c>
      <c r="Y17" s="872">
        <v>0.69199999999999995</v>
      </c>
      <c r="Z17" s="872">
        <v>0.77200000000000002</v>
      </c>
      <c r="AA17" s="872">
        <v>0.77100000000000002</v>
      </c>
      <c r="AB17" s="872">
        <v>0.71599999999999997</v>
      </c>
      <c r="AC17" s="872">
        <v>0.879</v>
      </c>
      <c r="AD17" s="872">
        <v>0.83599999999999997</v>
      </c>
      <c r="AE17" s="881">
        <v>0.81299999999999994</v>
      </c>
      <c r="AF17" s="872">
        <v>-2.751196172248811</v>
      </c>
      <c r="AG17" s="870" t="s">
        <v>144</v>
      </c>
      <c r="AH17" s="856">
        <v>0.10299999999999999</v>
      </c>
      <c r="AI17" s="842">
        <v>0</v>
      </c>
      <c r="AJ17" s="840" t="s">
        <v>87</v>
      </c>
    </row>
    <row r="18" spans="1:36" ht="12.75" customHeight="1">
      <c r="A18" s="840" t="s">
        <v>69</v>
      </c>
      <c r="B18" s="841">
        <v>0.35</v>
      </c>
      <c r="C18" s="841">
        <v>0.20300000000000001</v>
      </c>
      <c r="D18" s="842">
        <v>0.11799999999999999</v>
      </c>
      <c r="E18" s="842">
        <v>0.09</v>
      </c>
      <c r="F18" s="842">
        <v>7.0000000000000007E-2</v>
      </c>
      <c r="G18" s="842">
        <v>9.7000000000000003E-2</v>
      </c>
      <c r="H18" s="842">
        <v>0.108</v>
      </c>
      <c r="I18" s="842">
        <v>0.13530800000000001</v>
      </c>
      <c r="J18" s="842">
        <v>0.12509200000000001</v>
      </c>
      <c r="K18" s="842">
        <v>0.20142699999999999</v>
      </c>
      <c r="L18" s="842">
        <v>0.126141</v>
      </c>
      <c r="M18" s="842">
        <v>0.17729900000000001</v>
      </c>
      <c r="N18" s="842">
        <v>0.16956599999999999</v>
      </c>
      <c r="O18" s="842">
        <v>0.161024</v>
      </c>
      <c r="P18" s="842">
        <v>9.0063000000000004E-2</v>
      </c>
      <c r="Q18" s="842">
        <v>9.0819999999999998E-2</v>
      </c>
      <c r="R18" s="842">
        <v>0.10983</v>
      </c>
      <c r="S18" s="842">
        <v>8.8749999999999996E-2</v>
      </c>
      <c r="T18" s="842">
        <v>7.5974E-2</v>
      </c>
      <c r="U18" s="842">
        <v>9.2999999999999999E-2</v>
      </c>
      <c r="V18" s="842">
        <v>6.4000000000000001E-2</v>
      </c>
      <c r="W18" s="842">
        <v>5.3999999999999999E-2</v>
      </c>
      <c r="X18" s="842">
        <v>0.108</v>
      </c>
      <c r="Y18" s="842">
        <v>0.14399999999999999</v>
      </c>
      <c r="Z18" s="842">
        <v>8.1000000000000003E-2</v>
      </c>
      <c r="AA18" s="842">
        <v>8.8999999999999996E-2</v>
      </c>
      <c r="AB18" s="842">
        <v>6.4000000000000001E-2</v>
      </c>
      <c r="AC18" s="842">
        <v>6.2E-2</v>
      </c>
      <c r="AD18" s="842">
        <v>6.7000000000000004E-2</v>
      </c>
      <c r="AE18" s="846">
        <v>6.0999999999999999E-2</v>
      </c>
      <c r="AF18" s="842">
        <v>-8.9552238805970177</v>
      </c>
      <c r="AG18" s="840" t="s">
        <v>69</v>
      </c>
      <c r="AH18" s="846">
        <v>7.5129999999999999</v>
      </c>
      <c r="AI18" s="842">
        <v>-9.5582039244011128</v>
      </c>
      <c r="AJ18" s="840" t="s">
        <v>67</v>
      </c>
    </row>
    <row r="19" spans="1:36" ht="12.75" customHeight="1">
      <c r="A19" s="221" t="s">
        <v>71</v>
      </c>
      <c r="B19" s="645" t="s">
        <v>142</v>
      </c>
      <c r="C19" s="645" t="s">
        <v>142</v>
      </c>
      <c r="D19" s="645" t="s">
        <v>142</v>
      </c>
      <c r="E19" s="230" t="s">
        <v>142</v>
      </c>
      <c r="F19" s="230" t="s">
        <v>142</v>
      </c>
      <c r="G19" s="230" t="s">
        <v>142</v>
      </c>
      <c r="H19" s="230" t="s">
        <v>142</v>
      </c>
      <c r="I19" s="230" t="s">
        <v>142</v>
      </c>
      <c r="J19" s="230" t="s">
        <v>142</v>
      </c>
      <c r="K19" s="230" t="s">
        <v>142</v>
      </c>
      <c r="L19" s="230" t="s">
        <v>142</v>
      </c>
      <c r="M19" s="230" t="s">
        <v>142</v>
      </c>
      <c r="N19" s="230" t="s">
        <v>142</v>
      </c>
      <c r="O19" s="230" t="s">
        <v>142</v>
      </c>
      <c r="P19" s="230" t="s">
        <v>142</v>
      </c>
      <c r="Q19" s="230" t="s">
        <v>142</v>
      </c>
      <c r="R19" s="230" t="s">
        <v>142</v>
      </c>
      <c r="S19" s="230" t="s">
        <v>142</v>
      </c>
      <c r="T19" s="230" t="s">
        <v>142</v>
      </c>
      <c r="U19" s="230" t="s">
        <v>142</v>
      </c>
      <c r="V19" s="230" t="s">
        <v>142</v>
      </c>
      <c r="W19" s="230" t="s">
        <v>142</v>
      </c>
      <c r="X19" s="230" t="s">
        <v>142</v>
      </c>
      <c r="Y19" s="230" t="s">
        <v>142</v>
      </c>
      <c r="Z19" s="230" t="s">
        <v>142</v>
      </c>
      <c r="AA19" s="230" t="s">
        <v>142</v>
      </c>
      <c r="AB19" s="230" t="s">
        <v>142</v>
      </c>
      <c r="AC19" s="230" t="s">
        <v>142</v>
      </c>
      <c r="AD19" s="230" t="s">
        <v>142</v>
      </c>
      <c r="AE19" s="249" t="s">
        <v>142</v>
      </c>
      <c r="AF19" s="230" t="s">
        <v>142</v>
      </c>
      <c r="AG19" s="221" t="s">
        <v>71</v>
      </c>
      <c r="AH19" s="881">
        <v>0.81299999999999994</v>
      </c>
      <c r="AI19" s="872">
        <v>-2.751196172248811</v>
      </c>
      <c r="AJ19" s="870" t="s">
        <v>144</v>
      </c>
    </row>
    <row r="20" spans="1:36" ht="12.75" customHeight="1">
      <c r="A20" s="840" t="s">
        <v>72</v>
      </c>
      <c r="B20" s="245">
        <v>0.05</v>
      </c>
      <c r="C20" s="245">
        <v>0.09</v>
      </c>
      <c r="D20" s="245" t="s">
        <v>142</v>
      </c>
      <c r="E20" s="842" t="s">
        <v>142</v>
      </c>
      <c r="F20" s="842" t="s">
        <v>142</v>
      </c>
      <c r="G20" s="842" t="s">
        <v>142</v>
      </c>
      <c r="H20" s="842" t="s">
        <v>142</v>
      </c>
      <c r="I20" s="842" t="s">
        <v>142</v>
      </c>
      <c r="J20" s="842" t="s">
        <v>142</v>
      </c>
      <c r="K20" s="842" t="s">
        <v>142</v>
      </c>
      <c r="L20" s="842" t="s">
        <v>142</v>
      </c>
      <c r="M20" s="842" t="s">
        <v>142</v>
      </c>
      <c r="N20" s="842" t="s">
        <v>142</v>
      </c>
      <c r="O20" s="842" t="s">
        <v>142</v>
      </c>
      <c r="P20" s="842" t="s">
        <v>142</v>
      </c>
      <c r="Q20" s="842" t="s">
        <v>142</v>
      </c>
      <c r="R20" s="842" t="s">
        <v>142</v>
      </c>
      <c r="S20" s="842" t="s">
        <v>142</v>
      </c>
      <c r="T20" s="842" t="s">
        <v>142</v>
      </c>
      <c r="U20" s="842" t="s">
        <v>142</v>
      </c>
      <c r="V20" s="842" t="s">
        <v>142</v>
      </c>
      <c r="W20" s="842" t="s">
        <v>142</v>
      </c>
      <c r="X20" s="842" t="s">
        <v>142</v>
      </c>
      <c r="Y20" s="842" t="s">
        <v>142</v>
      </c>
      <c r="Z20" s="842" t="s">
        <v>142</v>
      </c>
      <c r="AA20" s="842" t="s">
        <v>142</v>
      </c>
      <c r="AB20" s="842" t="s">
        <v>142</v>
      </c>
      <c r="AC20" s="842" t="s">
        <v>142</v>
      </c>
      <c r="AD20" s="842" t="s">
        <v>142</v>
      </c>
      <c r="AE20" s="846" t="s">
        <v>142</v>
      </c>
      <c r="AF20" s="842" t="s">
        <v>142</v>
      </c>
      <c r="AG20" s="840" t="s">
        <v>72</v>
      </c>
      <c r="AH20" s="249">
        <v>1.992</v>
      </c>
      <c r="AI20" s="230">
        <v>0.86075949367088356</v>
      </c>
      <c r="AJ20" s="221" t="s">
        <v>77</v>
      </c>
    </row>
    <row r="21" spans="1:36" ht="12.75" customHeight="1">
      <c r="A21" s="221" t="s">
        <v>73</v>
      </c>
      <c r="B21" s="645">
        <v>0.12</v>
      </c>
      <c r="C21" s="645">
        <v>0.15</v>
      </c>
      <c r="D21" s="645">
        <v>0.16400000000000001</v>
      </c>
      <c r="E21" s="230">
        <v>0.14099999999999999</v>
      </c>
      <c r="F21" s="230">
        <v>4.4999999999999998E-2</v>
      </c>
      <c r="G21" s="230">
        <v>0.05</v>
      </c>
      <c r="H21" s="230">
        <v>0.03</v>
      </c>
      <c r="I21" s="230">
        <v>1.7999999999999999E-2</v>
      </c>
      <c r="J21" s="230">
        <v>7.0000000000000001E-3</v>
      </c>
      <c r="K21" s="230">
        <v>8.9999999999999993E-3</v>
      </c>
      <c r="L21" s="230">
        <v>1.4E-2</v>
      </c>
      <c r="M21" s="230">
        <v>3.0000000000000001E-3</v>
      </c>
      <c r="N21" s="230">
        <v>1.4835999999999998E-3</v>
      </c>
      <c r="O21" s="230">
        <v>5.3560000000000012E-4</v>
      </c>
      <c r="P21" s="230">
        <v>5.1500000000000005E-4</v>
      </c>
      <c r="Q21" s="230">
        <v>6.6519999999999991E-4</v>
      </c>
      <c r="R21" s="230">
        <v>6.2100000000000002E-4</v>
      </c>
      <c r="S21" s="230">
        <v>1.3244000000000001E-3</v>
      </c>
      <c r="T21" s="230">
        <v>1.7951E-3</v>
      </c>
      <c r="U21" s="230">
        <v>0.01</v>
      </c>
      <c r="V21" s="230">
        <v>1.2E-2</v>
      </c>
      <c r="W21" s="230">
        <v>3.0000000000000001E-3</v>
      </c>
      <c r="X21" s="230">
        <v>3.0000000000000001E-3</v>
      </c>
      <c r="Y21" s="230">
        <v>3.0000000000000001E-3</v>
      </c>
      <c r="Z21" s="230">
        <v>1E-3</v>
      </c>
      <c r="AA21" s="230">
        <v>0</v>
      </c>
      <c r="AB21" s="230">
        <v>0</v>
      </c>
      <c r="AC21" s="230">
        <v>0</v>
      </c>
      <c r="AD21" s="230">
        <v>0</v>
      </c>
      <c r="AE21" s="249">
        <v>0</v>
      </c>
      <c r="AF21" s="242">
        <v>0</v>
      </c>
      <c r="AG21" s="221" t="s">
        <v>73</v>
      </c>
      <c r="AH21" s="281">
        <v>0</v>
      </c>
      <c r="AI21" s="242" t="s">
        <v>142</v>
      </c>
      <c r="AJ21" s="221" t="s">
        <v>68</v>
      </c>
    </row>
    <row r="22" spans="1:36" ht="12.75" customHeight="1">
      <c r="A22" s="840" t="s">
        <v>76</v>
      </c>
      <c r="B22" s="245">
        <v>0.30199999999999999</v>
      </c>
      <c r="C22" s="245">
        <v>0.33100000000000002</v>
      </c>
      <c r="D22" s="245">
        <v>0.36229783599999998</v>
      </c>
      <c r="E22" s="842">
        <v>0.34042404599999998</v>
      </c>
      <c r="F22" s="842">
        <v>0.33800000000000002</v>
      </c>
      <c r="G22" s="842">
        <v>0.32300000000000001</v>
      </c>
      <c r="H22" s="842">
        <v>0.317</v>
      </c>
      <c r="I22" s="842">
        <v>0.33800000000000002</v>
      </c>
      <c r="J22" s="842">
        <v>0.32100000000000001</v>
      </c>
      <c r="K22" s="842">
        <v>0.35599999999999998</v>
      </c>
      <c r="L22" s="842">
        <v>0.36899999999999999</v>
      </c>
      <c r="M22" s="842">
        <v>0.35099999999999998</v>
      </c>
      <c r="N22" s="842">
        <v>0.378</v>
      </c>
      <c r="O22" s="842">
        <v>0.371</v>
      </c>
      <c r="P22" s="842">
        <v>0.37</v>
      </c>
      <c r="Q22" s="842">
        <v>0.316</v>
      </c>
      <c r="R22" s="842">
        <v>0.37</v>
      </c>
      <c r="S22" s="842">
        <v>0.34200000000000003</v>
      </c>
      <c r="T22" s="842">
        <v>0.38100000000000001</v>
      </c>
      <c r="U22" s="842">
        <v>0.34499999999999997</v>
      </c>
      <c r="V22" s="842">
        <v>0.36699999999999999</v>
      </c>
      <c r="W22" s="842">
        <v>0.27900000000000003</v>
      </c>
      <c r="X22" s="842">
        <v>0.35899999999999999</v>
      </c>
      <c r="Y22" s="842">
        <v>0.30499999999999999</v>
      </c>
      <c r="Z22" s="842">
        <v>0.28999999999999998</v>
      </c>
      <c r="AA22" s="842">
        <v>0.313</v>
      </c>
      <c r="AB22" s="842">
        <v>0.28499999999999998</v>
      </c>
      <c r="AC22" s="842">
        <v>0.23499999999999999</v>
      </c>
      <c r="AD22" s="842">
        <v>0.19</v>
      </c>
      <c r="AE22" s="846">
        <v>0.19500000000000001</v>
      </c>
      <c r="AF22" s="842">
        <v>2.6315789473684248</v>
      </c>
      <c r="AG22" s="840" t="s">
        <v>76</v>
      </c>
      <c r="AH22" s="846">
        <v>6.0999999999999999E-2</v>
      </c>
      <c r="AI22" s="842">
        <v>-8.9552238805970177</v>
      </c>
      <c r="AJ22" s="840" t="s">
        <v>69</v>
      </c>
    </row>
    <row r="23" spans="1:36" ht="12.75" customHeight="1">
      <c r="A23" s="221" t="s">
        <v>77</v>
      </c>
      <c r="B23" s="645">
        <v>1.76</v>
      </c>
      <c r="C23" s="645">
        <v>2.15</v>
      </c>
      <c r="D23" s="645">
        <v>2.04</v>
      </c>
      <c r="E23" s="230">
        <v>1.72</v>
      </c>
      <c r="F23" s="230">
        <v>1.6</v>
      </c>
      <c r="G23" s="230">
        <v>1.62</v>
      </c>
      <c r="H23" s="230">
        <v>1.35</v>
      </c>
      <c r="I23" s="230">
        <v>1.2110000000000001</v>
      </c>
      <c r="J23" s="230">
        <v>1.397</v>
      </c>
      <c r="K23" s="230">
        <v>1.4410000000000001</v>
      </c>
      <c r="L23" s="230">
        <v>1.56</v>
      </c>
      <c r="M23" s="230">
        <v>0.95799999999999996</v>
      </c>
      <c r="N23" s="230">
        <v>0.89100000000000001</v>
      </c>
      <c r="O23" s="230">
        <v>1.087</v>
      </c>
      <c r="P23" s="230">
        <v>1.407</v>
      </c>
      <c r="Q23" s="230">
        <v>1.5169999999999999</v>
      </c>
      <c r="R23" s="230">
        <v>1.9039999999999999</v>
      </c>
      <c r="S23" s="230">
        <v>2.11</v>
      </c>
      <c r="T23" s="230">
        <v>1.913</v>
      </c>
      <c r="U23" s="230">
        <v>2.2120000000000002</v>
      </c>
      <c r="V23" s="230">
        <v>2.25</v>
      </c>
      <c r="W23" s="230">
        <v>1.831</v>
      </c>
      <c r="X23" s="230">
        <v>2.3929999999999998</v>
      </c>
      <c r="Y23" s="230">
        <v>1.84</v>
      </c>
      <c r="Z23" s="230">
        <v>1.982</v>
      </c>
      <c r="AA23" s="230">
        <v>1.9239999999999999</v>
      </c>
      <c r="AB23" s="230">
        <v>1.8109999999999999</v>
      </c>
      <c r="AC23" s="230">
        <v>1.8240000000000001</v>
      </c>
      <c r="AD23" s="230">
        <v>1.9750000000000001</v>
      </c>
      <c r="AE23" s="249">
        <v>1.992</v>
      </c>
      <c r="AF23" s="230">
        <v>0.86075949367088356</v>
      </c>
      <c r="AG23" s="221" t="s">
        <v>77</v>
      </c>
      <c r="AH23" s="249">
        <v>0</v>
      </c>
      <c r="AI23" s="242">
        <v>0</v>
      </c>
      <c r="AJ23" s="221" t="s">
        <v>73</v>
      </c>
    </row>
    <row r="24" spans="1:36" ht="12.75" customHeight="1">
      <c r="A24" s="840" t="s">
        <v>78</v>
      </c>
      <c r="B24" s="375" t="s">
        <v>142</v>
      </c>
      <c r="C24" s="375" t="s">
        <v>142</v>
      </c>
      <c r="D24" s="375" t="s">
        <v>142</v>
      </c>
      <c r="E24" s="848" t="s">
        <v>142</v>
      </c>
      <c r="F24" s="848" t="s">
        <v>142</v>
      </c>
      <c r="G24" s="848" t="s">
        <v>142</v>
      </c>
      <c r="H24" s="848" t="s">
        <v>142</v>
      </c>
      <c r="I24" s="848" t="s">
        <v>142</v>
      </c>
      <c r="J24" s="848" t="s">
        <v>142</v>
      </c>
      <c r="K24" s="848" t="s">
        <v>142</v>
      </c>
      <c r="L24" s="848" t="s">
        <v>142</v>
      </c>
      <c r="M24" s="848" t="s">
        <v>142</v>
      </c>
      <c r="N24" s="848" t="s">
        <v>142</v>
      </c>
      <c r="O24" s="848" t="s">
        <v>142</v>
      </c>
      <c r="P24" s="848" t="s">
        <v>142</v>
      </c>
      <c r="Q24" s="848" t="s">
        <v>142</v>
      </c>
      <c r="R24" s="848" t="s">
        <v>142</v>
      </c>
      <c r="S24" s="848" t="s">
        <v>142</v>
      </c>
      <c r="T24" s="848" t="s">
        <v>142</v>
      </c>
      <c r="U24" s="848" t="s">
        <v>142</v>
      </c>
      <c r="V24" s="848" t="s">
        <v>142</v>
      </c>
      <c r="W24" s="848" t="s">
        <v>142</v>
      </c>
      <c r="X24" s="848" t="s">
        <v>142</v>
      </c>
      <c r="Y24" s="848" t="s">
        <v>142</v>
      </c>
      <c r="Z24" s="848" t="s">
        <v>142</v>
      </c>
      <c r="AA24" s="848" t="s">
        <v>142</v>
      </c>
      <c r="AB24" s="848" t="s">
        <v>142</v>
      </c>
      <c r="AC24" s="848" t="s">
        <v>142</v>
      </c>
      <c r="AD24" s="848" t="s">
        <v>142</v>
      </c>
      <c r="AE24" s="846" t="s">
        <v>142</v>
      </c>
      <c r="AF24" s="842" t="s">
        <v>142</v>
      </c>
      <c r="AG24" s="840" t="s">
        <v>78</v>
      </c>
      <c r="AH24" s="846">
        <v>0.19500000000000001</v>
      </c>
      <c r="AI24" s="842">
        <v>2.6315789473684248</v>
      </c>
      <c r="AJ24" s="840" t="s">
        <v>76</v>
      </c>
    </row>
    <row r="25" spans="1:36" ht="12.75" customHeight="1">
      <c r="A25" s="221" t="s">
        <v>16</v>
      </c>
      <c r="B25" s="645">
        <v>30.617999999999999</v>
      </c>
      <c r="C25" s="645">
        <v>33.478999999999999</v>
      </c>
      <c r="D25" s="645">
        <v>35.661000000000001</v>
      </c>
      <c r="E25" s="230">
        <v>34.755000000000003</v>
      </c>
      <c r="F25" s="230">
        <v>33.53</v>
      </c>
      <c r="G25" s="230">
        <v>32.058</v>
      </c>
      <c r="H25" s="230">
        <v>36.011000000000003</v>
      </c>
      <c r="I25" s="230">
        <v>35.457000000000001</v>
      </c>
      <c r="J25" s="230">
        <v>35.512999999999998</v>
      </c>
      <c r="K25" s="230">
        <v>40.985999999999997</v>
      </c>
      <c r="L25" s="230">
        <v>40.683</v>
      </c>
      <c r="M25" s="230">
        <v>41.427999999999997</v>
      </c>
      <c r="N25" s="230">
        <v>41.271000000000001</v>
      </c>
      <c r="O25" s="230">
        <v>41.792999999999999</v>
      </c>
      <c r="P25" s="230">
        <v>40.982999999999997</v>
      </c>
      <c r="Q25" s="230">
        <v>39.030999999999999</v>
      </c>
      <c r="R25" s="230">
        <v>43.048999999999999</v>
      </c>
      <c r="S25" s="230">
        <v>42.232999999999997</v>
      </c>
      <c r="T25" s="230">
        <v>42.215000000000003</v>
      </c>
      <c r="U25" s="230">
        <v>46.485999999999997</v>
      </c>
      <c r="V25" s="230">
        <v>46.234000000000002</v>
      </c>
      <c r="W25" s="230">
        <v>37.863</v>
      </c>
      <c r="X25" s="230">
        <v>46.561999999999998</v>
      </c>
      <c r="Y25" s="230">
        <v>46.462000000000003</v>
      </c>
      <c r="Z25" s="230">
        <v>47.533000000000001</v>
      </c>
      <c r="AA25" s="230">
        <v>48.627000000000002</v>
      </c>
      <c r="AB25" s="230">
        <v>49.295000000000002</v>
      </c>
      <c r="AC25" s="230">
        <v>48.534999999999997</v>
      </c>
      <c r="AD25" s="230">
        <v>49.398000000000003</v>
      </c>
      <c r="AE25" s="249">
        <v>49.015000000000001</v>
      </c>
      <c r="AF25" s="230">
        <v>-0.77533503380703905</v>
      </c>
      <c r="AG25" s="221" t="s">
        <v>16</v>
      </c>
      <c r="AH25" s="846">
        <v>0</v>
      </c>
      <c r="AI25" s="842" t="s">
        <v>142</v>
      </c>
      <c r="AJ25" s="840" t="s">
        <v>72</v>
      </c>
    </row>
    <row r="26" spans="1:36" ht="12.75" customHeight="1">
      <c r="A26" s="840" t="s">
        <v>81</v>
      </c>
      <c r="B26" s="245">
        <v>1.2929999999999999</v>
      </c>
      <c r="C26" s="245">
        <v>1.5569999999999999</v>
      </c>
      <c r="D26" s="245">
        <v>1.663</v>
      </c>
      <c r="E26" s="842">
        <v>1.48</v>
      </c>
      <c r="F26" s="842">
        <v>1.4370000000000001</v>
      </c>
      <c r="G26" s="842">
        <v>1.454</v>
      </c>
      <c r="H26" s="842">
        <v>1.82</v>
      </c>
      <c r="I26" s="842">
        <v>2.0459999999999998</v>
      </c>
      <c r="J26" s="842">
        <v>2.101</v>
      </c>
      <c r="K26" s="842">
        <v>2.0870000000000002</v>
      </c>
      <c r="L26" s="842">
        <v>2.2799999999999998</v>
      </c>
      <c r="M26" s="842">
        <v>2.2309999999999999</v>
      </c>
      <c r="N26" s="848">
        <v>2.444</v>
      </c>
      <c r="O26" s="848">
        <v>2.5569999999999999</v>
      </c>
      <c r="P26" s="848">
        <v>2.8460000000000001</v>
      </c>
      <c r="Q26" s="848">
        <v>2.2759999999999998</v>
      </c>
      <c r="R26" s="842">
        <v>1.7470000000000001</v>
      </c>
      <c r="S26" s="842">
        <v>1.7529999999999999</v>
      </c>
      <c r="T26" s="842">
        <v>1.837</v>
      </c>
      <c r="U26" s="842">
        <v>2.597</v>
      </c>
      <c r="V26" s="842">
        <v>2.359</v>
      </c>
      <c r="W26" s="842">
        <v>2.0030000000000001</v>
      </c>
      <c r="X26" s="842">
        <v>2.375</v>
      </c>
      <c r="Y26" s="842">
        <v>2.1230000000000002</v>
      </c>
      <c r="Z26" s="842">
        <v>2.1909999999999998</v>
      </c>
      <c r="AA26" s="842">
        <v>2.3530000000000002</v>
      </c>
      <c r="AB26" s="842">
        <v>2.177</v>
      </c>
      <c r="AC26" s="842">
        <v>1.806</v>
      </c>
      <c r="AD26" s="842">
        <v>1.962</v>
      </c>
      <c r="AE26" s="846">
        <v>2.0219999999999998</v>
      </c>
      <c r="AF26" s="842">
        <v>3.0581039755351611</v>
      </c>
      <c r="AG26" s="840" t="s">
        <v>81</v>
      </c>
      <c r="AH26" s="846">
        <v>0</v>
      </c>
      <c r="AI26" s="842" t="s">
        <v>142</v>
      </c>
      <c r="AJ26" s="840" t="s">
        <v>78</v>
      </c>
    </row>
    <row r="27" spans="1:36" ht="12.75" customHeight="1">
      <c r="A27" s="870" t="s">
        <v>80</v>
      </c>
      <c r="B27" s="871">
        <v>2.2999999999999998</v>
      </c>
      <c r="C27" s="871">
        <v>2.33</v>
      </c>
      <c r="D27" s="872">
        <v>1.034</v>
      </c>
      <c r="E27" s="872">
        <v>0.74</v>
      </c>
      <c r="F27" s="872">
        <v>0.75</v>
      </c>
      <c r="G27" s="872">
        <v>0.66</v>
      </c>
      <c r="H27" s="872">
        <v>0.79</v>
      </c>
      <c r="I27" s="872">
        <v>0.88</v>
      </c>
      <c r="J27" s="872">
        <v>0.85</v>
      </c>
      <c r="K27" s="872">
        <v>0.93</v>
      </c>
      <c r="L27" s="872">
        <v>1.1000000000000001</v>
      </c>
      <c r="M27" s="872">
        <v>1.028</v>
      </c>
      <c r="N27" s="872">
        <v>1.173</v>
      </c>
      <c r="O27" s="872">
        <v>1.264</v>
      </c>
      <c r="P27" s="872">
        <v>1.1259999999999999</v>
      </c>
      <c r="Q27" s="873">
        <v>0.872</v>
      </c>
      <c r="R27" s="872">
        <v>0.37</v>
      </c>
      <c r="S27" s="872">
        <v>0.32700000000000001</v>
      </c>
      <c r="T27" s="872">
        <v>0.28899999999999998</v>
      </c>
      <c r="U27" s="872">
        <v>0.27700000000000002</v>
      </c>
      <c r="V27" s="872">
        <v>0.27700000000000002</v>
      </c>
      <c r="W27" s="872">
        <v>0.20200000000000001</v>
      </c>
      <c r="X27" s="872">
        <v>0.13</v>
      </c>
      <c r="Y27" s="872">
        <v>0.161</v>
      </c>
      <c r="Z27" s="872">
        <v>0.13100000000000001</v>
      </c>
      <c r="AA27" s="872">
        <v>9.0999999999999998E-2</v>
      </c>
      <c r="AB27" s="872">
        <v>0.11</v>
      </c>
      <c r="AC27" s="872">
        <v>8.7999999999999995E-2</v>
      </c>
      <c r="AD27" s="872">
        <v>0.108</v>
      </c>
      <c r="AE27" s="881">
        <v>0.115</v>
      </c>
      <c r="AF27" s="872">
        <v>6.4814814814814952</v>
      </c>
      <c r="AG27" s="870" t="s">
        <v>80</v>
      </c>
      <c r="AH27" s="249">
        <v>49.015000000000001</v>
      </c>
      <c r="AI27" s="230">
        <v>-0.77533503380703905</v>
      </c>
      <c r="AJ27" s="221" t="s">
        <v>16</v>
      </c>
    </row>
    <row r="28" spans="1:36" ht="12.75" customHeight="1">
      <c r="A28" s="840" t="s">
        <v>92</v>
      </c>
      <c r="B28" s="375" t="s">
        <v>142</v>
      </c>
      <c r="C28" s="375" t="s">
        <v>142</v>
      </c>
      <c r="D28" s="375" t="s">
        <v>142</v>
      </c>
      <c r="E28" s="848" t="s">
        <v>142</v>
      </c>
      <c r="F28" s="848" t="s">
        <v>142</v>
      </c>
      <c r="G28" s="848" t="s">
        <v>142</v>
      </c>
      <c r="H28" s="848" t="s">
        <v>142</v>
      </c>
      <c r="I28" s="848" t="s">
        <v>142</v>
      </c>
      <c r="J28" s="848" t="s">
        <v>142</v>
      </c>
      <c r="K28" s="848" t="s">
        <v>142</v>
      </c>
      <c r="L28" s="848" t="s">
        <v>142</v>
      </c>
      <c r="M28" s="848" t="s">
        <v>142</v>
      </c>
      <c r="N28" s="848" t="s">
        <v>142</v>
      </c>
      <c r="O28" s="848" t="s">
        <v>142</v>
      </c>
      <c r="P28" s="848" t="s">
        <v>142</v>
      </c>
      <c r="Q28" s="848" t="s">
        <v>142</v>
      </c>
      <c r="R28" s="848" t="s">
        <v>142</v>
      </c>
      <c r="S28" s="848" t="s">
        <v>142</v>
      </c>
      <c r="T28" s="848" t="s">
        <v>142</v>
      </c>
      <c r="U28" s="848" t="s">
        <v>142</v>
      </c>
      <c r="V28" s="848" t="s">
        <v>142</v>
      </c>
      <c r="W28" s="848" t="s">
        <v>142</v>
      </c>
      <c r="X28" s="848" t="s">
        <v>142</v>
      </c>
      <c r="Y28" s="848" t="s">
        <v>142</v>
      </c>
      <c r="Z28" s="848" t="s">
        <v>142</v>
      </c>
      <c r="AA28" s="848" t="s">
        <v>142</v>
      </c>
      <c r="AB28" s="848" t="s">
        <v>142</v>
      </c>
      <c r="AC28" s="848" t="s">
        <v>142</v>
      </c>
      <c r="AD28" s="848" t="s">
        <v>142</v>
      </c>
      <c r="AE28" s="846" t="s">
        <v>142</v>
      </c>
      <c r="AF28" s="842" t="s">
        <v>142</v>
      </c>
      <c r="AG28" s="840" t="s">
        <v>92</v>
      </c>
      <c r="AH28" s="881">
        <v>0.115</v>
      </c>
      <c r="AI28" s="872">
        <v>6.4814814814814952</v>
      </c>
      <c r="AJ28" s="870" t="s">
        <v>80</v>
      </c>
    </row>
    <row r="29" spans="1:36" ht="12.75" customHeight="1">
      <c r="A29" s="870" t="s">
        <v>101</v>
      </c>
      <c r="B29" s="871">
        <v>1.35</v>
      </c>
      <c r="C29" s="871">
        <v>2.35</v>
      </c>
      <c r="D29" s="872">
        <v>2.09</v>
      </c>
      <c r="E29" s="872">
        <v>2.0299999999999998</v>
      </c>
      <c r="F29" s="872">
        <v>1.89</v>
      </c>
      <c r="G29" s="872">
        <v>1.59</v>
      </c>
      <c r="H29" s="872">
        <v>1.9</v>
      </c>
      <c r="I29" s="872">
        <v>3.11</v>
      </c>
      <c r="J29" s="872">
        <v>3.77</v>
      </c>
      <c r="K29" s="872">
        <v>4.33</v>
      </c>
      <c r="L29" s="872">
        <v>4.2030000000000003</v>
      </c>
      <c r="M29" s="872">
        <v>2.802</v>
      </c>
      <c r="N29" s="873">
        <v>2.6339999999999999</v>
      </c>
      <c r="O29" s="872">
        <v>2.746</v>
      </c>
      <c r="P29" s="872">
        <v>3.641</v>
      </c>
      <c r="Q29" s="873">
        <v>3.5209999999999999</v>
      </c>
      <c r="R29" s="872">
        <v>6.9550000000000001</v>
      </c>
      <c r="S29" s="872">
        <v>8.4350000000000005</v>
      </c>
      <c r="T29" s="872">
        <v>8.157</v>
      </c>
      <c r="U29" s="872">
        <v>8.1950000000000003</v>
      </c>
      <c r="V29" s="873">
        <v>8.6869999999999994</v>
      </c>
      <c r="W29" s="872">
        <v>11.765000000000001</v>
      </c>
      <c r="X29" s="872">
        <v>14.317</v>
      </c>
      <c r="Y29" s="872">
        <v>11.409000000000001</v>
      </c>
      <c r="Z29" s="872">
        <v>12.52</v>
      </c>
      <c r="AA29" s="872">
        <v>12.242000000000001</v>
      </c>
      <c r="AB29" s="872">
        <v>11.76</v>
      </c>
      <c r="AC29" s="872">
        <v>13.167999999999999</v>
      </c>
      <c r="AD29" s="872">
        <v>13.153</v>
      </c>
      <c r="AE29" s="881">
        <v>12.516999999999999</v>
      </c>
      <c r="AF29" s="872">
        <v>-4.8353987683418325</v>
      </c>
      <c r="AG29" s="870" t="s">
        <v>101</v>
      </c>
      <c r="AH29" s="846">
        <v>0</v>
      </c>
      <c r="AI29" s="842" t="s">
        <v>142</v>
      </c>
      <c r="AJ29" s="840" t="s">
        <v>92</v>
      </c>
    </row>
    <row r="30" spans="1:36" ht="12.75" customHeight="1">
      <c r="A30" s="840" t="s">
        <v>83</v>
      </c>
      <c r="B30" s="375" t="s">
        <v>142</v>
      </c>
      <c r="C30" s="375" t="s">
        <v>142</v>
      </c>
      <c r="D30" s="375" t="s">
        <v>142</v>
      </c>
      <c r="E30" s="848" t="s">
        <v>142</v>
      </c>
      <c r="F30" s="848" t="s">
        <v>142</v>
      </c>
      <c r="G30" s="848" t="s">
        <v>142</v>
      </c>
      <c r="H30" s="848" t="s">
        <v>142</v>
      </c>
      <c r="I30" s="848" t="s">
        <v>142</v>
      </c>
      <c r="J30" s="848" t="s">
        <v>142</v>
      </c>
      <c r="K30" s="848" t="s">
        <v>142</v>
      </c>
      <c r="L30" s="848" t="s">
        <v>142</v>
      </c>
      <c r="M30" s="848" t="s">
        <v>142</v>
      </c>
      <c r="N30" s="848" t="s">
        <v>142</v>
      </c>
      <c r="O30" s="848" t="s">
        <v>142</v>
      </c>
      <c r="P30" s="848" t="s">
        <v>142</v>
      </c>
      <c r="Q30" s="848" t="s">
        <v>142</v>
      </c>
      <c r="R30" s="848" t="s">
        <v>142</v>
      </c>
      <c r="S30" s="848" t="s">
        <v>142</v>
      </c>
      <c r="T30" s="848" t="s">
        <v>142</v>
      </c>
      <c r="U30" s="848" t="s">
        <v>142</v>
      </c>
      <c r="V30" s="848" t="s">
        <v>142</v>
      </c>
      <c r="W30" s="848" t="s">
        <v>142</v>
      </c>
      <c r="X30" s="848" t="s">
        <v>142</v>
      </c>
      <c r="Y30" s="848" t="s">
        <v>142</v>
      </c>
      <c r="Z30" s="848" t="s">
        <v>142</v>
      </c>
      <c r="AA30" s="848" t="s">
        <v>142</v>
      </c>
      <c r="AB30" s="848" t="s">
        <v>142</v>
      </c>
      <c r="AC30" s="848" t="s">
        <v>142</v>
      </c>
      <c r="AD30" s="848" t="s">
        <v>142</v>
      </c>
      <c r="AE30" s="846" t="s">
        <v>142</v>
      </c>
      <c r="AF30" s="842" t="s">
        <v>142</v>
      </c>
      <c r="AG30" s="840" t="s">
        <v>83</v>
      </c>
      <c r="AH30" s="881">
        <v>12.516999999999999</v>
      </c>
      <c r="AI30" s="872">
        <v>-4.8353987683418325</v>
      </c>
      <c r="AJ30" s="870" t="s">
        <v>101</v>
      </c>
    </row>
    <row r="31" spans="1:36" ht="12.75" customHeight="1">
      <c r="A31" s="870" t="s">
        <v>85</v>
      </c>
      <c r="B31" s="871"/>
      <c r="C31" s="871"/>
      <c r="D31" s="872"/>
      <c r="E31" s="872"/>
      <c r="F31" s="872"/>
      <c r="G31" s="872"/>
      <c r="H31" s="872">
        <v>0.84609999999999996</v>
      </c>
      <c r="I31" s="872">
        <v>1.4681999999999999</v>
      </c>
      <c r="J31" s="872">
        <v>1.5979000000000001</v>
      </c>
      <c r="K31" s="872">
        <v>1.5193000000000001</v>
      </c>
      <c r="L31" s="872">
        <v>1.5268999999999999</v>
      </c>
      <c r="M31" s="872">
        <v>1.6626000000000001</v>
      </c>
      <c r="N31" s="872">
        <v>1.3793</v>
      </c>
      <c r="O31" s="872">
        <v>0.99519999999999997</v>
      </c>
      <c r="P31" s="872">
        <v>0.59970000000000001</v>
      </c>
      <c r="Q31" s="872">
        <v>0.52249999999999996</v>
      </c>
      <c r="R31" s="872">
        <v>0.74099999999999999</v>
      </c>
      <c r="S31" s="872">
        <v>0.74029999999999996</v>
      </c>
      <c r="T31" s="872">
        <v>0.64880000000000004</v>
      </c>
      <c r="U31" s="872">
        <v>1.004</v>
      </c>
      <c r="V31" s="872">
        <v>1.101</v>
      </c>
      <c r="W31" s="872">
        <v>0.89900000000000002</v>
      </c>
      <c r="X31" s="872">
        <v>1.1890000000000001</v>
      </c>
      <c r="Y31" s="872">
        <v>0.93100000000000005</v>
      </c>
      <c r="Z31" s="872">
        <v>0.98599999999999999</v>
      </c>
      <c r="AA31" s="872">
        <v>1.006</v>
      </c>
      <c r="AB31" s="872">
        <v>0.90500000000000003</v>
      </c>
      <c r="AC31" s="872">
        <v>0.74099999999999999</v>
      </c>
      <c r="AD31" s="872">
        <v>0.90300000000000002</v>
      </c>
      <c r="AE31" s="881">
        <v>0.93300000000000005</v>
      </c>
      <c r="AF31" s="872">
        <v>3.3222591362126224</v>
      </c>
      <c r="AG31" s="870" t="s">
        <v>85</v>
      </c>
      <c r="AH31" s="881">
        <v>5.0000000000000001E-3</v>
      </c>
      <c r="AI31" s="872">
        <v>-68.75</v>
      </c>
      <c r="AJ31" s="870" t="s">
        <v>88</v>
      </c>
    </row>
    <row r="32" spans="1:36" ht="12.75" customHeight="1">
      <c r="A32" s="840" t="s">
        <v>87</v>
      </c>
      <c r="B32" s="245">
        <v>2</v>
      </c>
      <c r="C32" s="245">
        <v>1.8</v>
      </c>
      <c r="D32" s="245">
        <v>1.1000000000000001</v>
      </c>
      <c r="E32" s="842">
        <v>0.8</v>
      </c>
      <c r="F32" s="842">
        <v>0.5</v>
      </c>
      <c r="G32" s="842">
        <v>0.4</v>
      </c>
      <c r="H32" s="246">
        <v>0.3</v>
      </c>
      <c r="I32" s="842">
        <v>7.6999999999999999E-2</v>
      </c>
      <c r="J32" s="842">
        <v>0.1</v>
      </c>
      <c r="K32" s="842">
        <v>0.1</v>
      </c>
      <c r="L32" s="842">
        <v>0.11799999999999999</v>
      </c>
      <c r="M32" s="842">
        <v>0.11799999999999999</v>
      </c>
      <c r="N32" s="842">
        <v>0.11799999999999999</v>
      </c>
      <c r="O32" s="842">
        <v>0.10100000000000001</v>
      </c>
      <c r="P32" s="842">
        <v>0.112</v>
      </c>
      <c r="Q32" s="842">
        <v>0.109</v>
      </c>
      <c r="R32" s="842">
        <v>0.11799999999999999</v>
      </c>
      <c r="S32" s="842">
        <v>7.4999999999999997E-2</v>
      </c>
      <c r="T32" s="842">
        <v>6.6000000000000003E-2</v>
      </c>
      <c r="U32" s="842">
        <v>0.10199999999999999</v>
      </c>
      <c r="V32" s="842">
        <v>0.08</v>
      </c>
      <c r="W32" s="842">
        <v>6.0999999999999999E-2</v>
      </c>
      <c r="X32" s="842">
        <v>7.5999999999999998E-2</v>
      </c>
      <c r="Y32" s="842">
        <v>0.09</v>
      </c>
      <c r="Z32" s="842">
        <v>0.124</v>
      </c>
      <c r="AA32" s="842">
        <v>0.121</v>
      </c>
      <c r="AB32" s="842">
        <v>0.13600000000000001</v>
      </c>
      <c r="AC32" s="842">
        <v>0.128</v>
      </c>
      <c r="AD32" s="842">
        <v>0.10299999999999999</v>
      </c>
      <c r="AE32" s="856">
        <v>0.10299999999999999</v>
      </c>
      <c r="AF32" s="842">
        <v>0</v>
      </c>
      <c r="AG32" s="840" t="s">
        <v>87</v>
      </c>
      <c r="AH32" s="846">
        <v>0</v>
      </c>
      <c r="AI32" s="842" t="s">
        <v>142</v>
      </c>
      <c r="AJ32" s="840" t="s">
        <v>83</v>
      </c>
    </row>
    <row r="33" spans="1:36" ht="12.75" customHeight="1">
      <c r="A33" s="870" t="s">
        <v>88</v>
      </c>
      <c r="B33" s="871" t="s">
        <v>142</v>
      </c>
      <c r="C33" s="871" t="s">
        <v>142</v>
      </c>
      <c r="D33" s="872" t="s">
        <v>142</v>
      </c>
      <c r="E33" s="872" t="s">
        <v>142</v>
      </c>
      <c r="F33" s="872" t="s">
        <v>142</v>
      </c>
      <c r="G33" s="872" t="s">
        <v>142</v>
      </c>
      <c r="H33" s="872" t="s">
        <v>142</v>
      </c>
      <c r="I33" s="872" t="s">
        <v>142</v>
      </c>
      <c r="J33" s="872" t="s">
        <v>142</v>
      </c>
      <c r="K33" s="872" t="s">
        <v>142</v>
      </c>
      <c r="L33" s="872" t="s">
        <v>142</v>
      </c>
      <c r="M33" s="872" t="s">
        <v>142</v>
      </c>
      <c r="N33" s="872" t="s">
        <v>142</v>
      </c>
      <c r="O33" s="872" t="s">
        <v>142</v>
      </c>
      <c r="P33" s="872" t="s">
        <v>142</v>
      </c>
      <c r="Q33" s="872" t="s">
        <v>142</v>
      </c>
      <c r="R33" s="872" t="s">
        <v>142</v>
      </c>
      <c r="S33" s="872" t="s">
        <v>142</v>
      </c>
      <c r="T33" s="872" t="s">
        <v>142</v>
      </c>
      <c r="U33" s="872" t="s">
        <v>142</v>
      </c>
      <c r="V33" s="872" t="s">
        <v>142</v>
      </c>
      <c r="W33" s="872" t="s">
        <v>142</v>
      </c>
      <c r="X33" s="872" t="s">
        <v>142</v>
      </c>
      <c r="Y33" s="872" t="s">
        <v>142</v>
      </c>
      <c r="Z33" s="872" t="s">
        <v>142</v>
      </c>
      <c r="AA33" s="872" t="s">
        <v>142</v>
      </c>
      <c r="AB33" s="872" t="s">
        <v>142</v>
      </c>
      <c r="AC33" s="872" t="s">
        <v>142</v>
      </c>
      <c r="AD33" s="872">
        <v>1.6E-2</v>
      </c>
      <c r="AE33" s="881">
        <v>5.0000000000000001E-3</v>
      </c>
      <c r="AF33" s="872">
        <v>-68.75</v>
      </c>
      <c r="AG33" s="870" t="s">
        <v>88</v>
      </c>
      <c r="AH33" s="881">
        <v>0.93300000000000005</v>
      </c>
      <c r="AI33" s="872">
        <v>3.3222591362126224</v>
      </c>
      <c r="AJ33" s="870" t="s">
        <v>85</v>
      </c>
    </row>
    <row r="34" spans="1:36" ht="12.75" customHeight="1">
      <c r="A34" s="874" t="s">
        <v>13</v>
      </c>
      <c r="B34" s="875">
        <v>0.3</v>
      </c>
      <c r="C34" s="875">
        <v>0.4</v>
      </c>
      <c r="D34" s="876">
        <v>0.3</v>
      </c>
      <c r="E34" s="876">
        <v>0.2</v>
      </c>
      <c r="F34" s="876">
        <v>0.19</v>
      </c>
      <c r="G34" s="876">
        <v>0.2</v>
      </c>
      <c r="H34" s="876">
        <v>0.2</v>
      </c>
      <c r="I34" s="876">
        <v>0.2</v>
      </c>
      <c r="J34" s="876">
        <v>0.18</v>
      </c>
      <c r="K34" s="876">
        <v>0.15</v>
      </c>
      <c r="L34" s="876">
        <v>0.15</v>
      </c>
      <c r="M34" s="876">
        <v>0.16</v>
      </c>
      <c r="N34" s="876">
        <v>0.21</v>
      </c>
      <c r="O34" s="876">
        <v>0.19</v>
      </c>
      <c r="P34" s="876">
        <v>0.18</v>
      </c>
      <c r="Q34" s="876">
        <v>0.18</v>
      </c>
      <c r="R34" s="876">
        <v>0.15</v>
      </c>
      <c r="S34" s="876">
        <v>0.17</v>
      </c>
      <c r="T34" s="882">
        <v>0.16</v>
      </c>
      <c r="U34" s="876">
        <v>0.16200000000000001</v>
      </c>
      <c r="V34" s="876">
        <v>0.16400000000000001</v>
      </c>
      <c r="W34" s="876">
        <v>0.13300000000000001</v>
      </c>
      <c r="X34" s="876">
        <v>0.156</v>
      </c>
      <c r="Y34" s="876">
        <v>0.14399999999999999</v>
      </c>
      <c r="Z34" s="876">
        <v>0.16500000000000001</v>
      </c>
      <c r="AA34" s="876">
        <v>0.21099999999999999</v>
      </c>
      <c r="AB34" s="877">
        <v>0.16900000000000001</v>
      </c>
      <c r="AC34" s="877">
        <v>0.12</v>
      </c>
      <c r="AD34" s="877">
        <v>0.108</v>
      </c>
      <c r="AE34" s="880">
        <v>9.9000000000000005E-2</v>
      </c>
      <c r="AF34" s="877">
        <v>-8.3333333333333286</v>
      </c>
      <c r="AG34" s="874" t="s">
        <v>13</v>
      </c>
      <c r="AH34" s="880">
        <v>9.9000000000000005E-2</v>
      </c>
      <c r="AI34" s="877">
        <v>-8.3333333333333286</v>
      </c>
      <c r="AJ34" s="874" t="s">
        <v>13</v>
      </c>
    </row>
    <row r="35" spans="1:36" ht="12.75" customHeight="1">
      <c r="A35" s="878" t="s">
        <v>270</v>
      </c>
      <c r="B35" s="883" t="s">
        <v>142</v>
      </c>
      <c r="C35" s="883" t="s">
        <v>142</v>
      </c>
      <c r="D35" s="879" t="s">
        <v>142</v>
      </c>
      <c r="E35" s="879" t="s">
        <v>142</v>
      </c>
      <c r="F35" s="879" t="s">
        <v>142</v>
      </c>
      <c r="G35" s="879" t="s">
        <v>142</v>
      </c>
      <c r="H35" s="879" t="s">
        <v>142</v>
      </c>
      <c r="I35" s="879" t="s">
        <v>142</v>
      </c>
      <c r="J35" s="879" t="s">
        <v>142</v>
      </c>
      <c r="K35" s="879" t="s">
        <v>142</v>
      </c>
      <c r="L35" s="879" t="s">
        <v>142</v>
      </c>
      <c r="M35" s="879" t="s">
        <v>142</v>
      </c>
      <c r="N35" s="879" t="s">
        <v>142</v>
      </c>
      <c r="O35" s="879" t="s">
        <v>142</v>
      </c>
      <c r="P35" s="879" t="s">
        <v>142</v>
      </c>
      <c r="Q35" s="879" t="s">
        <v>142</v>
      </c>
      <c r="R35" s="879" t="s">
        <v>142</v>
      </c>
      <c r="S35" s="879" t="s">
        <v>142</v>
      </c>
      <c r="T35" s="879" t="s">
        <v>142</v>
      </c>
      <c r="U35" s="879" t="s">
        <v>142</v>
      </c>
      <c r="V35" s="879" t="s">
        <v>142</v>
      </c>
      <c r="W35" s="879" t="s">
        <v>142</v>
      </c>
      <c r="X35" s="879" t="s">
        <v>142</v>
      </c>
      <c r="Y35" s="879" t="s">
        <v>142</v>
      </c>
      <c r="Z35" s="879" t="s">
        <v>142</v>
      </c>
      <c r="AA35" s="879" t="s">
        <v>142</v>
      </c>
      <c r="AB35" s="879" t="s">
        <v>142</v>
      </c>
      <c r="AC35" s="879" t="s">
        <v>142</v>
      </c>
      <c r="AD35" s="879" t="s">
        <v>142</v>
      </c>
      <c r="AE35" s="846" t="s">
        <v>142</v>
      </c>
      <c r="AF35" s="842" t="s">
        <v>142</v>
      </c>
      <c r="AG35" s="878" t="s">
        <v>270</v>
      </c>
    </row>
    <row r="36" spans="1:36" ht="12.75" customHeight="1">
      <c r="A36" s="221" t="s">
        <v>223</v>
      </c>
      <c r="B36" s="238" t="s">
        <v>142</v>
      </c>
      <c r="C36" s="238" t="s">
        <v>142</v>
      </c>
      <c r="D36" s="230" t="s">
        <v>142</v>
      </c>
      <c r="E36" s="230" t="s">
        <v>142</v>
      </c>
      <c r="F36" s="230" t="s">
        <v>142</v>
      </c>
      <c r="G36" s="230" t="s">
        <v>142</v>
      </c>
      <c r="H36" s="230" t="s">
        <v>142</v>
      </c>
      <c r="I36" s="230" t="s">
        <v>142</v>
      </c>
      <c r="J36" s="230"/>
      <c r="K36" s="230"/>
      <c r="L36" s="230"/>
      <c r="M36" s="230"/>
      <c r="N36" s="230" t="s">
        <v>142</v>
      </c>
      <c r="O36" s="230" t="s">
        <v>142</v>
      </c>
      <c r="P36" s="230" t="s">
        <v>142</v>
      </c>
      <c r="Q36" s="230" t="s">
        <v>142</v>
      </c>
      <c r="R36" s="230" t="s">
        <v>142</v>
      </c>
      <c r="S36" s="230" t="s">
        <v>142</v>
      </c>
      <c r="T36" s="230" t="s">
        <v>142</v>
      </c>
      <c r="U36" s="230" t="s">
        <v>142</v>
      </c>
      <c r="V36" s="230" t="s">
        <v>142</v>
      </c>
      <c r="W36" s="230" t="s">
        <v>142</v>
      </c>
      <c r="X36" s="230" t="s">
        <v>142</v>
      </c>
      <c r="Y36" s="230" t="s">
        <v>142</v>
      </c>
      <c r="Z36" s="230" t="s">
        <v>142</v>
      </c>
      <c r="AA36" s="230" t="s">
        <v>142</v>
      </c>
      <c r="AB36" s="230" t="s">
        <v>142</v>
      </c>
      <c r="AC36" s="230" t="s">
        <v>142</v>
      </c>
      <c r="AD36" s="230" t="s">
        <v>142</v>
      </c>
      <c r="AE36" s="249" t="s">
        <v>142</v>
      </c>
      <c r="AF36" s="230" t="s">
        <v>142</v>
      </c>
      <c r="AG36" s="221" t="s">
        <v>223</v>
      </c>
    </row>
    <row r="37" spans="1:36" ht="12.75" customHeight="1">
      <c r="A37" s="840" t="s">
        <v>145</v>
      </c>
      <c r="B37" s="841" t="s">
        <v>142</v>
      </c>
      <c r="C37" s="841" t="s">
        <v>142</v>
      </c>
      <c r="D37" s="842" t="s">
        <v>142</v>
      </c>
      <c r="E37" s="842" t="s">
        <v>142</v>
      </c>
      <c r="F37" s="842" t="s">
        <v>142</v>
      </c>
      <c r="G37" s="842" t="s">
        <v>142</v>
      </c>
      <c r="H37" s="842" t="s">
        <v>142</v>
      </c>
      <c r="I37" s="842" t="s">
        <v>142</v>
      </c>
      <c r="J37" s="842" t="s">
        <v>142</v>
      </c>
      <c r="K37" s="842" t="s">
        <v>142</v>
      </c>
      <c r="L37" s="842" t="s">
        <v>142</v>
      </c>
      <c r="M37" s="842" t="s">
        <v>142</v>
      </c>
      <c r="N37" s="842" t="s">
        <v>142</v>
      </c>
      <c r="O37" s="842" t="s">
        <v>142</v>
      </c>
      <c r="P37" s="842" t="s">
        <v>142</v>
      </c>
      <c r="Q37" s="842" t="s">
        <v>142</v>
      </c>
      <c r="R37" s="842" t="s">
        <v>142</v>
      </c>
      <c r="S37" s="842" t="s">
        <v>142</v>
      </c>
      <c r="T37" s="842" t="s">
        <v>142</v>
      </c>
      <c r="U37" s="842" t="s">
        <v>142</v>
      </c>
      <c r="V37" s="842" t="s">
        <v>142</v>
      </c>
      <c r="W37" s="842" t="s">
        <v>142</v>
      </c>
      <c r="X37" s="842" t="s">
        <v>142</v>
      </c>
      <c r="Y37" s="842" t="s">
        <v>142</v>
      </c>
      <c r="Z37" s="842" t="s">
        <v>142</v>
      </c>
      <c r="AA37" s="842" t="s">
        <v>142</v>
      </c>
      <c r="AB37" s="842" t="s">
        <v>142</v>
      </c>
      <c r="AC37" s="842" t="s">
        <v>142</v>
      </c>
      <c r="AD37" s="842" t="s">
        <v>142</v>
      </c>
      <c r="AE37" s="846" t="s">
        <v>142</v>
      </c>
      <c r="AF37" s="842" t="s">
        <v>142</v>
      </c>
      <c r="AG37" s="840" t="s">
        <v>145</v>
      </c>
    </row>
    <row r="38" spans="1:36" ht="12.75" customHeight="1">
      <c r="A38" s="221" t="s">
        <v>224</v>
      </c>
      <c r="B38" s="238">
        <v>3.504</v>
      </c>
      <c r="C38" s="238">
        <v>4.22</v>
      </c>
      <c r="D38" s="230">
        <v>3.2320000000000002</v>
      </c>
      <c r="E38" s="230">
        <v>2.9159999999999999</v>
      </c>
      <c r="F38" s="230">
        <v>2.57</v>
      </c>
      <c r="G38" s="230">
        <v>0.28399999999999997</v>
      </c>
      <c r="H38" s="230">
        <v>0.26700000000000002</v>
      </c>
      <c r="I38" s="230">
        <v>0.33600000000000002</v>
      </c>
      <c r="J38" s="230">
        <v>1.3220000000000001</v>
      </c>
      <c r="K38" s="230">
        <v>1.825</v>
      </c>
      <c r="L38" s="230">
        <v>1.5940000000000001</v>
      </c>
      <c r="M38" s="230">
        <v>0.77800000000000002</v>
      </c>
      <c r="N38" s="230">
        <v>0.98</v>
      </c>
      <c r="O38" s="230">
        <v>0.98299999999999998</v>
      </c>
      <c r="P38" s="230">
        <v>1.0820000000000001</v>
      </c>
      <c r="Q38" s="230">
        <v>0.83399999999999996</v>
      </c>
      <c r="R38" s="230">
        <v>1.115</v>
      </c>
      <c r="S38" s="230">
        <v>1.6220000000000001</v>
      </c>
      <c r="T38" s="230">
        <v>1.64</v>
      </c>
      <c r="U38" s="230">
        <v>1.5840000000000001</v>
      </c>
      <c r="V38" s="230">
        <v>1.369</v>
      </c>
      <c r="W38" s="230">
        <v>1.1140000000000001</v>
      </c>
      <c r="X38" s="230">
        <v>0.875</v>
      </c>
      <c r="Y38" s="230">
        <v>0.96299999999999997</v>
      </c>
      <c r="Z38" s="230">
        <v>0.60499999999999998</v>
      </c>
      <c r="AA38" s="230">
        <v>0.70099999999999996</v>
      </c>
      <c r="AB38" s="230">
        <v>0.75900000000000001</v>
      </c>
      <c r="AC38" s="230">
        <v>0.85899999999999999</v>
      </c>
      <c r="AD38" s="230">
        <v>0.92600000000000005</v>
      </c>
      <c r="AE38" s="249">
        <v>0.71960000000000002</v>
      </c>
      <c r="AF38" s="230">
        <v>-22.289416846652273</v>
      </c>
      <c r="AG38" s="221" t="s">
        <v>224</v>
      </c>
    </row>
    <row r="39" spans="1:36" ht="12.75" customHeight="1">
      <c r="A39" s="851" t="s">
        <v>146</v>
      </c>
      <c r="B39" s="852" t="s">
        <v>142</v>
      </c>
      <c r="C39" s="852" t="s">
        <v>142</v>
      </c>
      <c r="D39" s="844" t="s">
        <v>142</v>
      </c>
      <c r="E39" s="844" t="s">
        <v>142</v>
      </c>
      <c r="F39" s="844" t="s">
        <v>142</v>
      </c>
      <c r="G39" s="844" t="s">
        <v>142</v>
      </c>
      <c r="H39" s="844" t="s">
        <v>142</v>
      </c>
      <c r="I39" s="844" t="s">
        <v>142</v>
      </c>
      <c r="J39" s="844" t="s">
        <v>142</v>
      </c>
      <c r="K39" s="844" t="s">
        <v>142</v>
      </c>
      <c r="L39" s="844" t="s">
        <v>142</v>
      </c>
      <c r="M39" s="844" t="s">
        <v>142</v>
      </c>
      <c r="N39" s="844" t="s">
        <v>142</v>
      </c>
      <c r="O39" s="844" t="s">
        <v>142</v>
      </c>
      <c r="P39" s="844" t="s">
        <v>142</v>
      </c>
      <c r="Q39" s="844" t="s">
        <v>142</v>
      </c>
      <c r="R39" s="844" t="s">
        <v>142</v>
      </c>
      <c r="S39" s="844" t="s">
        <v>142</v>
      </c>
      <c r="T39" s="844" t="s">
        <v>142</v>
      </c>
      <c r="U39" s="844" t="s">
        <v>142</v>
      </c>
      <c r="V39" s="844" t="s">
        <v>142</v>
      </c>
      <c r="W39" s="844" t="s">
        <v>142</v>
      </c>
      <c r="X39" s="844" t="s">
        <v>142</v>
      </c>
      <c r="Y39" s="844" t="s">
        <v>142</v>
      </c>
      <c r="Z39" s="844" t="s">
        <v>142</v>
      </c>
      <c r="AA39" s="844" t="s">
        <v>142</v>
      </c>
      <c r="AB39" s="844" t="s">
        <v>142</v>
      </c>
      <c r="AC39" s="844" t="s">
        <v>142</v>
      </c>
      <c r="AD39" s="844" t="s">
        <v>142</v>
      </c>
      <c r="AE39" s="853" t="s">
        <v>142</v>
      </c>
      <c r="AF39" s="844" t="s">
        <v>142</v>
      </c>
      <c r="AG39" s="851" t="s">
        <v>146</v>
      </c>
    </row>
    <row r="40" spans="1:36" ht="12.75" customHeight="1">
      <c r="A40" s="221" t="s">
        <v>147</v>
      </c>
      <c r="B40" s="252" t="s">
        <v>142</v>
      </c>
      <c r="C40" s="252" t="s">
        <v>142</v>
      </c>
      <c r="D40" s="253" t="s">
        <v>142</v>
      </c>
      <c r="E40" s="253" t="s">
        <v>142</v>
      </c>
      <c r="F40" s="253" t="s">
        <v>142</v>
      </c>
      <c r="G40" s="253" t="s">
        <v>142</v>
      </c>
      <c r="H40" s="253" t="s">
        <v>142</v>
      </c>
      <c r="I40" s="253" t="s">
        <v>142</v>
      </c>
      <c r="J40" s="253" t="s">
        <v>142</v>
      </c>
      <c r="K40" s="253" t="s">
        <v>142</v>
      </c>
      <c r="L40" s="253" t="s">
        <v>142</v>
      </c>
      <c r="M40" s="253" t="s">
        <v>142</v>
      </c>
      <c r="N40" s="253" t="s">
        <v>142</v>
      </c>
      <c r="O40" s="253" t="s">
        <v>142</v>
      </c>
      <c r="P40" s="253" t="s">
        <v>142</v>
      </c>
      <c r="Q40" s="253" t="s">
        <v>142</v>
      </c>
      <c r="R40" s="253" t="s">
        <v>142</v>
      </c>
      <c r="S40" s="253" t="s">
        <v>142</v>
      </c>
      <c r="T40" s="253" t="s">
        <v>142</v>
      </c>
      <c r="U40" s="253" t="s">
        <v>142</v>
      </c>
      <c r="V40" s="253" t="s">
        <v>142</v>
      </c>
      <c r="W40" s="253" t="s">
        <v>142</v>
      </c>
      <c r="X40" s="253" t="s">
        <v>142</v>
      </c>
      <c r="Y40" s="253" t="s">
        <v>142</v>
      </c>
      <c r="Z40" s="253" t="s">
        <v>142</v>
      </c>
      <c r="AA40" s="230" t="s">
        <v>142</v>
      </c>
      <c r="AB40" s="230" t="s">
        <v>142</v>
      </c>
      <c r="AC40" s="230" t="s">
        <v>142</v>
      </c>
      <c r="AD40" s="230" t="s">
        <v>142</v>
      </c>
      <c r="AE40" s="249" t="s">
        <v>142</v>
      </c>
      <c r="AF40" s="230" t="s">
        <v>142</v>
      </c>
      <c r="AG40" s="221" t="s">
        <v>147</v>
      </c>
    </row>
    <row r="41" spans="1:36" ht="12.75" customHeight="1">
      <c r="A41" s="840" t="s">
        <v>148</v>
      </c>
      <c r="B41" s="841" t="s">
        <v>142</v>
      </c>
      <c r="C41" s="841" t="s">
        <v>142</v>
      </c>
      <c r="D41" s="842" t="s">
        <v>142</v>
      </c>
      <c r="E41" s="842" t="s">
        <v>142</v>
      </c>
      <c r="F41" s="842" t="s">
        <v>142</v>
      </c>
      <c r="G41" s="842" t="s">
        <v>142</v>
      </c>
      <c r="H41" s="842" t="s">
        <v>142</v>
      </c>
      <c r="I41" s="842" t="s">
        <v>142</v>
      </c>
      <c r="J41" s="842" t="s">
        <v>142</v>
      </c>
      <c r="K41" s="842" t="s">
        <v>142</v>
      </c>
      <c r="L41" s="842" t="s">
        <v>142</v>
      </c>
      <c r="M41" s="842" t="s">
        <v>142</v>
      </c>
      <c r="N41" s="842" t="s">
        <v>142</v>
      </c>
      <c r="O41" s="842" t="s">
        <v>142</v>
      </c>
      <c r="P41" s="842" t="s">
        <v>142</v>
      </c>
      <c r="Q41" s="842" t="s">
        <v>142</v>
      </c>
      <c r="R41" s="842" t="s">
        <v>142</v>
      </c>
      <c r="S41" s="842" t="s">
        <v>142</v>
      </c>
      <c r="T41" s="842" t="s">
        <v>142</v>
      </c>
      <c r="U41" s="842" t="s">
        <v>142</v>
      </c>
      <c r="V41" s="842" t="s">
        <v>142</v>
      </c>
      <c r="W41" s="842" t="s">
        <v>142</v>
      </c>
      <c r="X41" s="842" t="s">
        <v>142</v>
      </c>
      <c r="Y41" s="842" t="s">
        <v>142</v>
      </c>
      <c r="Z41" s="842" t="s">
        <v>142</v>
      </c>
      <c r="AA41" s="842" t="s">
        <v>142</v>
      </c>
      <c r="AB41" s="842" t="s">
        <v>142</v>
      </c>
      <c r="AC41" s="842" t="s">
        <v>142</v>
      </c>
      <c r="AD41" s="842" t="s">
        <v>142</v>
      </c>
      <c r="AE41" s="846" t="s">
        <v>142</v>
      </c>
      <c r="AF41" s="842" t="s">
        <v>142</v>
      </c>
      <c r="AG41" s="840" t="s">
        <v>148</v>
      </c>
    </row>
    <row r="42" spans="1:36" ht="12.75" customHeight="1">
      <c r="A42" s="256" t="s">
        <v>149</v>
      </c>
      <c r="B42" s="257">
        <v>0.13900000000000001</v>
      </c>
      <c r="C42" s="257">
        <v>0.125</v>
      </c>
      <c r="D42" s="869">
        <v>0.19600000000000001</v>
      </c>
      <c r="E42" s="258">
        <v>0.19</v>
      </c>
      <c r="F42" s="258">
        <v>0.18</v>
      </c>
      <c r="G42" s="258">
        <v>0.17</v>
      </c>
      <c r="H42" s="838">
        <v>0.16</v>
      </c>
      <c r="I42" s="258">
        <v>4.7199999999999999E-2</v>
      </c>
      <c r="J42" s="258">
        <v>4.36E-2</v>
      </c>
      <c r="K42" s="258">
        <v>4.87E-2</v>
      </c>
      <c r="L42" s="258">
        <v>4.9000000000000002E-2</v>
      </c>
      <c r="M42" s="258">
        <v>4.1700000000000001E-2</v>
      </c>
      <c r="N42" s="258">
        <v>5.21E-2</v>
      </c>
      <c r="O42" s="258">
        <v>5.5500000000000001E-2</v>
      </c>
      <c r="P42" s="258">
        <v>5.21E-2</v>
      </c>
      <c r="Q42" s="258">
        <v>4.4400000000000002E-2</v>
      </c>
      <c r="R42" s="258">
        <v>4.5100000000000001E-2</v>
      </c>
      <c r="S42" s="258">
        <v>4.6600000000000003E-2</v>
      </c>
      <c r="T42" s="258">
        <v>4.2000000000000003E-2</v>
      </c>
      <c r="U42" s="258">
        <v>4.53E-2</v>
      </c>
      <c r="V42" s="258">
        <v>4.265E-2</v>
      </c>
      <c r="W42" s="258">
        <v>4.1000000000000002E-2</v>
      </c>
      <c r="X42" s="258">
        <v>4.0090000000000001E-2</v>
      </c>
      <c r="Y42" s="258">
        <v>3.6400000000000002E-2</v>
      </c>
      <c r="Z42" s="258">
        <v>0.05</v>
      </c>
      <c r="AA42" s="230">
        <v>4.9000000000000002E-2</v>
      </c>
      <c r="AB42" s="230">
        <v>4.2999999999999997E-2</v>
      </c>
      <c r="AC42" s="230">
        <v>4.7E-2</v>
      </c>
      <c r="AD42" s="230">
        <v>0.03</v>
      </c>
      <c r="AE42" s="540">
        <v>4.1100000000000005E-2</v>
      </c>
      <c r="AF42" s="230">
        <v>37</v>
      </c>
      <c r="AG42" s="256" t="s">
        <v>149</v>
      </c>
    </row>
    <row r="43" spans="1:36" ht="12.75" customHeight="1">
      <c r="A43" s="1140" t="s">
        <v>272</v>
      </c>
      <c r="B43" s="1140"/>
      <c r="C43" s="1140"/>
      <c r="D43" s="1140"/>
      <c r="E43" s="1140"/>
      <c r="F43" s="1140"/>
      <c r="G43" s="1140"/>
      <c r="H43" s="1140"/>
      <c r="I43" s="1140"/>
      <c r="J43" s="1140"/>
      <c r="K43" s="1140"/>
      <c r="L43" s="1140"/>
      <c r="M43" s="1140"/>
      <c r="N43" s="1140"/>
      <c r="O43" s="1140"/>
      <c r="P43" s="1140"/>
      <c r="Q43" s="1140"/>
      <c r="R43" s="1140"/>
      <c r="S43" s="1140"/>
      <c r="T43" s="1140"/>
      <c r="U43" s="1140"/>
      <c r="V43" s="1140"/>
      <c r="W43" s="1140"/>
      <c r="X43" s="1140"/>
      <c r="Y43" s="1140"/>
      <c r="Z43" s="1140"/>
      <c r="AA43" s="1140"/>
      <c r="AB43" s="1140"/>
      <c r="AC43" s="1140"/>
      <c r="AD43" s="1140"/>
      <c r="AE43" s="1140"/>
      <c r="AF43" s="1140"/>
      <c r="AG43" s="1140"/>
    </row>
    <row r="44" spans="1:36" ht="12.75" customHeight="1">
      <c r="A44" s="1139" t="s">
        <v>166</v>
      </c>
      <c r="B44" s="1139"/>
      <c r="C44" s="1139"/>
      <c r="D44" s="1139"/>
      <c r="E44" s="1139"/>
      <c r="F44" s="1139"/>
      <c r="G44" s="1139"/>
      <c r="H44" s="1139"/>
      <c r="I44" s="1139"/>
      <c r="J44" s="1139"/>
      <c r="K44" s="1139"/>
      <c r="L44" s="1139"/>
      <c r="M44" s="1139"/>
      <c r="N44" s="1139"/>
      <c r="O44" s="1139"/>
      <c r="P44" s="1139"/>
      <c r="Q44" s="1139"/>
      <c r="R44" s="1139"/>
      <c r="S44" s="333"/>
      <c r="T44" s="333"/>
      <c r="U44" s="333"/>
      <c r="V44" s="333"/>
      <c r="W44" s="333"/>
      <c r="X44" s="333"/>
      <c r="Y44" s="333"/>
      <c r="Z44" s="333"/>
      <c r="AA44" s="333"/>
      <c r="AB44" s="333"/>
      <c r="AC44" s="333"/>
      <c r="AD44" s="333"/>
      <c r="AE44" s="333"/>
      <c r="AF44" s="333"/>
      <c r="AG44" s="333"/>
    </row>
    <row r="45" spans="1:36" ht="27.75" customHeight="1">
      <c r="A45" s="864" t="s">
        <v>230</v>
      </c>
      <c r="B45" s="866"/>
      <c r="C45" s="866"/>
      <c r="D45" s="866"/>
      <c r="E45" s="866"/>
      <c r="F45" s="866"/>
      <c r="G45" s="866"/>
      <c r="H45" s="866"/>
      <c r="I45" s="866"/>
      <c r="J45" s="866"/>
      <c r="K45" s="866"/>
      <c r="L45" s="866"/>
      <c r="M45" s="866"/>
      <c r="N45" s="866"/>
      <c r="O45" s="866"/>
      <c r="P45" s="866"/>
      <c r="Q45" s="866"/>
      <c r="R45" s="866"/>
      <c r="S45" s="865"/>
      <c r="T45" s="865"/>
      <c r="U45" s="865"/>
      <c r="V45" s="865"/>
      <c r="W45" s="865"/>
      <c r="X45" s="865"/>
      <c r="Y45" s="865"/>
      <c r="Z45" s="865"/>
      <c r="AA45" s="865"/>
      <c r="AB45" s="865"/>
      <c r="AC45" s="865"/>
      <c r="AD45" s="865"/>
      <c r="AE45" s="865"/>
      <c r="AF45" s="865"/>
      <c r="AG45" s="865"/>
    </row>
    <row r="46" spans="1:36" ht="12.75" customHeight="1">
      <c r="A46" s="194" t="s">
        <v>349</v>
      </c>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row>
    <row r="47" spans="1:36" s="185" customFormat="1" ht="12.75" customHeight="1">
      <c r="A47" s="270" t="s">
        <v>231</v>
      </c>
      <c r="B47" s="333"/>
      <c r="C47" s="333"/>
      <c r="D47" s="333"/>
      <c r="E47" s="333"/>
      <c r="F47" s="333"/>
      <c r="G47" s="333"/>
      <c r="H47" s="333"/>
      <c r="I47" s="333"/>
      <c r="J47" s="333"/>
      <c r="K47" s="333"/>
      <c r="L47" s="333"/>
      <c r="M47" s="867">
        <v>2000</v>
      </c>
      <c r="N47" s="333"/>
      <c r="O47" s="190"/>
      <c r="P47" s="190"/>
      <c r="Q47" s="190"/>
      <c r="R47" s="190"/>
      <c r="S47" s="190"/>
      <c r="T47" s="190"/>
      <c r="U47" s="190"/>
      <c r="V47" s="190"/>
      <c r="W47" s="190"/>
      <c r="X47" s="190"/>
      <c r="Y47" s="190"/>
      <c r="Z47" s="190"/>
      <c r="AA47" s="190"/>
      <c r="AB47" s="190"/>
      <c r="AC47" s="190"/>
      <c r="AD47" s="190"/>
      <c r="AE47" s="190"/>
      <c r="AF47" s="190"/>
      <c r="AG47" s="190"/>
    </row>
    <row r="48" spans="1:36" ht="12.75">
      <c r="A48" s="270" t="s">
        <v>232</v>
      </c>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row>
    <row r="49" spans="1:1">
      <c r="A49" s="270" t="s">
        <v>233</v>
      </c>
    </row>
  </sheetData>
  <mergeCells count="3">
    <mergeCell ref="A2:AG2"/>
    <mergeCell ref="A44:R44"/>
    <mergeCell ref="A43:AG43"/>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J49"/>
  <sheetViews>
    <sheetView zoomScaleNormal="100" workbookViewId="0">
      <selection activeCell="B1" sqref="B1:S65536"/>
    </sheetView>
  </sheetViews>
  <sheetFormatPr defaultRowHeight="11.25"/>
  <cols>
    <col min="1" max="1" width="9.140625" style="184"/>
    <col min="2" max="19" width="0" style="184" hidden="1" customWidth="1"/>
    <col min="20" max="16384" width="9.140625" style="184"/>
  </cols>
  <sheetData>
    <row r="1" spans="1:36" ht="14.25" customHeight="1">
      <c r="A1" s="924"/>
      <c r="B1" s="925"/>
      <c r="C1" s="925"/>
      <c r="D1" s="922"/>
      <c r="E1" s="922"/>
      <c r="F1" s="922"/>
      <c r="G1" s="922"/>
      <c r="H1" s="922"/>
      <c r="I1" s="922"/>
      <c r="J1" s="922"/>
      <c r="K1" s="922"/>
      <c r="L1" s="922"/>
      <c r="M1" s="922"/>
      <c r="N1" s="922"/>
      <c r="O1" s="922"/>
      <c r="P1"/>
      <c r="Q1"/>
      <c r="R1"/>
      <c r="S1"/>
      <c r="T1" s="918"/>
      <c r="U1" s="918"/>
      <c r="V1" s="918"/>
      <c r="W1" s="918"/>
      <c r="X1" s="918"/>
      <c r="Y1" s="918"/>
      <c r="Z1" s="918"/>
      <c r="AA1" s="918"/>
      <c r="AB1" s="918"/>
      <c r="AC1" s="918"/>
      <c r="AD1" s="918"/>
      <c r="AE1" s="918"/>
      <c r="AF1"/>
      <c r="AG1" s="918" t="s">
        <v>213</v>
      </c>
    </row>
    <row r="2" spans="1:36" s="185" customFormat="1" ht="30" customHeight="1">
      <c r="A2" s="1141" t="s">
        <v>350</v>
      </c>
      <c r="B2" s="1141"/>
      <c r="C2" s="1141"/>
      <c r="D2" s="1141"/>
      <c r="E2" s="1141"/>
      <c r="F2" s="1141"/>
      <c r="G2" s="1141"/>
      <c r="H2" s="1141"/>
      <c r="I2" s="1141"/>
      <c r="J2" s="1141"/>
      <c r="K2" s="1141"/>
      <c r="L2" s="1141"/>
      <c r="M2" s="1141"/>
      <c r="N2" s="1141"/>
      <c r="O2" s="1141"/>
      <c r="P2" s="1141"/>
      <c r="Q2" s="1141"/>
      <c r="R2" s="1141"/>
      <c r="S2" s="1141"/>
      <c r="T2" s="1141"/>
      <c r="U2" s="1141"/>
      <c r="V2" s="1141"/>
      <c r="W2" s="1141"/>
      <c r="X2" s="1141"/>
      <c r="Y2" s="1141"/>
      <c r="Z2" s="1141"/>
      <c r="AA2" s="1141"/>
      <c r="AB2" s="1141"/>
      <c r="AC2" s="1141"/>
      <c r="AD2" s="1141"/>
      <c r="AE2" s="1141"/>
      <c r="AF2" s="1141"/>
      <c r="AG2" s="1141"/>
    </row>
    <row r="3" spans="1:36" ht="12.75">
      <c r="A3" s="765"/>
      <c r="B3" s="765"/>
      <c r="C3"/>
      <c r="D3" s="920"/>
      <c r="E3" s="920"/>
      <c r="F3" s="920"/>
      <c r="G3" s="920"/>
      <c r="H3" s="920"/>
      <c r="I3" s="921"/>
      <c r="J3" s="921"/>
      <c r="K3" s="921"/>
      <c r="L3" s="921"/>
      <c r="M3" s="921"/>
      <c r="N3" s="921"/>
      <c r="O3"/>
      <c r="P3"/>
      <c r="Q3" s="914"/>
      <c r="R3"/>
      <c r="S3"/>
      <c r="T3"/>
      <c r="U3"/>
      <c r="V3" s="978"/>
      <c r="W3" s="978"/>
      <c r="X3" s="769"/>
      <c r="Y3" s="769"/>
      <c r="Z3" s="769"/>
      <c r="AA3" s="769"/>
      <c r="AB3" s="769"/>
      <c r="AC3" s="769"/>
      <c r="AD3"/>
      <c r="AE3" s="978" t="s">
        <v>226</v>
      </c>
      <c r="AF3" s="766"/>
      <c r="AG3" s="926"/>
      <c r="AH3" s="186"/>
    </row>
    <row r="4" spans="1:36" ht="20.100000000000001" customHeight="1">
      <c r="A4" s="923"/>
      <c r="B4" s="936">
        <v>1970</v>
      </c>
      <c r="C4" s="936">
        <v>1980</v>
      </c>
      <c r="D4" s="780">
        <v>1990</v>
      </c>
      <c r="E4" s="780">
        <v>1991</v>
      </c>
      <c r="F4" s="780">
        <v>1992</v>
      </c>
      <c r="G4" s="780">
        <v>1993</v>
      </c>
      <c r="H4" s="780">
        <v>1994</v>
      </c>
      <c r="I4" s="780">
        <v>1995</v>
      </c>
      <c r="J4" s="780">
        <v>1996</v>
      </c>
      <c r="K4" s="780">
        <v>1997</v>
      </c>
      <c r="L4" s="780">
        <v>1998</v>
      </c>
      <c r="M4" s="780">
        <v>1999</v>
      </c>
      <c r="N4" s="780">
        <v>2000</v>
      </c>
      <c r="O4" s="780">
        <v>2001</v>
      </c>
      <c r="P4" s="780">
        <v>2002</v>
      </c>
      <c r="Q4" s="780">
        <v>2003</v>
      </c>
      <c r="R4" s="780">
        <v>2004</v>
      </c>
      <c r="S4" s="780">
        <v>2005</v>
      </c>
      <c r="T4" s="780">
        <v>2006</v>
      </c>
      <c r="U4" s="780">
        <v>2007</v>
      </c>
      <c r="V4" s="780">
        <v>2008</v>
      </c>
      <c r="W4" s="780">
        <v>2009</v>
      </c>
      <c r="X4" s="780">
        <v>2010</v>
      </c>
      <c r="Y4" s="780">
        <v>2011</v>
      </c>
      <c r="Z4" s="780">
        <v>2012</v>
      </c>
      <c r="AA4" s="780">
        <v>2013</v>
      </c>
      <c r="AB4" s="780">
        <v>2014</v>
      </c>
      <c r="AC4" s="780">
        <v>2015</v>
      </c>
      <c r="AD4" s="780">
        <v>2016</v>
      </c>
      <c r="AE4" s="780">
        <v>2017</v>
      </c>
      <c r="AF4" s="782" t="s">
        <v>335</v>
      </c>
      <c r="AG4" s="775"/>
      <c r="AH4" s="907"/>
      <c r="AI4" s="177">
        <f>AH7+AH8+AH12+AH13+AH15+AH16+AH17+AH18+AH21+AH22+AH24+AH27+AH29+AH31+AH34</f>
        <v>78.205213010593127</v>
      </c>
      <c r="AJ4" s="775"/>
    </row>
    <row r="5" spans="1:36" ht="9.9499999999999993" customHeight="1">
      <c r="A5" s="923"/>
      <c r="B5" s="937"/>
      <c r="C5" s="938"/>
      <c r="D5" s="928"/>
      <c r="E5" s="928"/>
      <c r="F5" s="928"/>
      <c r="G5" s="928"/>
      <c r="H5" s="928"/>
      <c r="I5" s="928"/>
      <c r="J5" s="928"/>
      <c r="K5" s="928"/>
      <c r="L5" s="928"/>
      <c r="M5" s="928"/>
      <c r="N5" s="928"/>
      <c r="O5" s="928"/>
      <c r="P5" s="928"/>
      <c r="Q5" s="928"/>
      <c r="R5" s="928"/>
      <c r="S5" s="928"/>
      <c r="T5" s="928"/>
      <c r="U5" s="928"/>
      <c r="V5" s="928"/>
      <c r="W5" s="928"/>
      <c r="X5" s="928"/>
      <c r="Y5" s="928"/>
      <c r="Z5" s="928"/>
      <c r="AA5" s="928"/>
      <c r="AB5" s="928"/>
      <c r="AC5" s="928"/>
      <c r="AD5" s="928"/>
      <c r="AE5" s="928"/>
      <c r="AF5" s="934" t="s">
        <v>143</v>
      </c>
      <c r="AG5" s="775"/>
      <c r="AH5" s="775"/>
      <c r="AI5" s="906"/>
      <c r="AJ5" s="775"/>
    </row>
    <row r="6" spans="1:36" ht="12.75" customHeight="1">
      <c r="A6" s="826" t="s">
        <v>237</v>
      </c>
      <c r="B6" s="979"/>
      <c r="C6" s="979"/>
      <c r="D6" s="980"/>
      <c r="E6" s="980"/>
      <c r="F6" s="980"/>
      <c r="G6" s="980"/>
      <c r="H6" s="980">
        <v>115.47499999999999</v>
      </c>
      <c r="I6" s="977">
        <v>114.91029999999998</v>
      </c>
      <c r="J6" s="977">
        <v>119.3301</v>
      </c>
      <c r="K6" s="977">
        <v>118.90400000000001</v>
      </c>
      <c r="L6" s="977">
        <v>126.33999999999999</v>
      </c>
      <c r="M6" s="977">
        <v>124.85099999999998</v>
      </c>
      <c r="N6" s="977">
        <v>127.10669999999999</v>
      </c>
      <c r="O6" s="977">
        <v>133.93729999999999</v>
      </c>
      <c r="P6" s="977">
        <v>129.73159999999999</v>
      </c>
      <c r="Q6" s="977">
        <v>131.68780000000001</v>
      </c>
      <c r="R6" s="977">
        <v>133.25936060000001</v>
      </c>
      <c r="S6" s="977">
        <v>137.58850379999998</v>
      </c>
      <c r="T6" s="977">
        <v>136.56624979999998</v>
      </c>
      <c r="U6" s="977">
        <v>128.45148842182226</v>
      </c>
      <c r="V6" s="977">
        <v>124.94496585313127</v>
      </c>
      <c r="W6" s="977">
        <v>121.81921473696151</v>
      </c>
      <c r="X6" s="977">
        <v>121.13344560300447</v>
      </c>
      <c r="Y6" s="977">
        <v>118.37031897026802</v>
      </c>
      <c r="Z6" s="977">
        <v>114.89650906969668</v>
      </c>
      <c r="AA6" s="977">
        <v>112.04489385359166</v>
      </c>
      <c r="AB6" s="977">
        <v>111.07749250734386</v>
      </c>
      <c r="AC6" s="977">
        <v>114.10550775309277</v>
      </c>
      <c r="AD6" s="977">
        <v>114.66639377134275</v>
      </c>
      <c r="AE6" s="977">
        <v>113.98709301059313</v>
      </c>
      <c r="AF6" s="976">
        <v>-0.59241486403088572</v>
      </c>
      <c r="AG6" s="826" t="s">
        <v>237</v>
      </c>
      <c r="AH6" s="977">
        <v>113.98709301059313</v>
      </c>
      <c r="AI6" s="976">
        <v>-0.59241486403088572</v>
      </c>
      <c r="AJ6" s="826" t="s">
        <v>237</v>
      </c>
    </row>
    <row r="7" spans="1:36" ht="12.75" customHeight="1">
      <c r="A7" s="767" t="s">
        <v>60</v>
      </c>
      <c r="B7" s="931">
        <v>0.27</v>
      </c>
      <c r="C7" s="931">
        <v>1.802</v>
      </c>
      <c r="D7" s="789">
        <v>1.024</v>
      </c>
      <c r="E7" s="789">
        <v>1.1299999999999999</v>
      </c>
      <c r="F7" s="789">
        <v>1.1679999999999999</v>
      </c>
      <c r="G7" s="789">
        <v>1.2629999999999999</v>
      </c>
      <c r="H7" s="789">
        <v>1.37</v>
      </c>
      <c r="I7" s="789">
        <v>1.37</v>
      </c>
      <c r="J7" s="789">
        <v>1.45</v>
      </c>
      <c r="K7" s="789">
        <v>1.526</v>
      </c>
      <c r="L7" s="789">
        <v>1.57</v>
      </c>
      <c r="M7" s="789">
        <v>1.577</v>
      </c>
      <c r="N7" s="789">
        <v>1.6240000000000001</v>
      </c>
      <c r="O7" s="789">
        <v>1.544</v>
      </c>
      <c r="P7" s="789">
        <v>1.5109999999999999</v>
      </c>
      <c r="Q7" s="789">
        <v>1.518</v>
      </c>
      <c r="R7" s="789">
        <v>1.5329999999999999</v>
      </c>
      <c r="S7" s="789">
        <v>1.5169999999999999</v>
      </c>
      <c r="T7" s="789">
        <v>1.5720000000000001</v>
      </c>
      <c r="U7" s="802">
        <v>1.4693124218222637</v>
      </c>
      <c r="V7" s="802">
        <v>1.4604484531312809</v>
      </c>
      <c r="W7" s="802">
        <v>1.5250113322259891</v>
      </c>
      <c r="X7" s="802">
        <v>1.5165343017285184</v>
      </c>
      <c r="Y7" s="802">
        <v>1.3965357700971579</v>
      </c>
      <c r="Z7" s="802">
        <v>1.6315054983427759</v>
      </c>
      <c r="AA7" s="802">
        <v>1.6930081637049001</v>
      </c>
      <c r="AB7" s="802">
        <v>1.5736831440482781</v>
      </c>
      <c r="AC7" s="802">
        <v>1.6327322686986514</v>
      </c>
      <c r="AD7" s="802">
        <v>1.63314119215061</v>
      </c>
      <c r="AE7" s="985">
        <v>1.6131855349658466</v>
      </c>
      <c r="AF7" s="802">
        <v>-1.2219186730869609</v>
      </c>
      <c r="AG7" s="767" t="s">
        <v>60</v>
      </c>
      <c r="AH7" s="908">
        <v>8.3960000000000008</v>
      </c>
      <c r="AI7" s="807">
        <v>-0.90876903103976758</v>
      </c>
      <c r="AJ7" s="806" t="s">
        <v>81</v>
      </c>
    </row>
    <row r="8" spans="1:36" ht="12.75" customHeight="1">
      <c r="A8" s="806" t="s">
        <v>100</v>
      </c>
      <c r="B8" s="935">
        <v>0</v>
      </c>
      <c r="C8" s="935">
        <v>0.75</v>
      </c>
      <c r="D8" s="807">
        <v>0.64</v>
      </c>
      <c r="E8" s="807">
        <v>0.45400000000000001</v>
      </c>
      <c r="F8" s="807">
        <v>0.25900000000000001</v>
      </c>
      <c r="G8" s="807">
        <v>0.3</v>
      </c>
      <c r="H8" s="807">
        <v>0.36</v>
      </c>
      <c r="I8" s="807">
        <v>0.41</v>
      </c>
      <c r="J8" s="807">
        <v>0.36</v>
      </c>
      <c r="K8" s="807">
        <v>0.26</v>
      </c>
      <c r="L8" s="807">
        <v>0.24399999999999999</v>
      </c>
      <c r="M8" s="807">
        <v>0.33</v>
      </c>
      <c r="N8" s="807">
        <v>0.379</v>
      </c>
      <c r="O8" s="807">
        <v>0.33900000000000002</v>
      </c>
      <c r="P8" s="807">
        <v>0.28599999999999998</v>
      </c>
      <c r="Q8" s="807">
        <v>0.28199999999999997</v>
      </c>
      <c r="R8" s="807">
        <v>0.27400000000000002</v>
      </c>
      <c r="S8" s="807">
        <v>0.35199999999999998</v>
      </c>
      <c r="T8" s="807">
        <v>0.35659999999999997</v>
      </c>
      <c r="U8" s="807">
        <v>0.41959999999999997</v>
      </c>
      <c r="V8" s="807">
        <v>0.41980000000000001</v>
      </c>
      <c r="W8" s="807">
        <v>0.4365</v>
      </c>
      <c r="X8" s="807">
        <v>0.41449999999999998</v>
      </c>
      <c r="Y8" s="807">
        <v>0.48080000000000001</v>
      </c>
      <c r="Z8" s="807">
        <v>0.57289999999999996</v>
      </c>
      <c r="AA8" s="807">
        <v>0.63300000000000001</v>
      </c>
      <c r="AB8" s="807">
        <v>0.58299999999999996</v>
      </c>
      <c r="AC8" s="807">
        <v>0.66100000000000003</v>
      </c>
      <c r="AD8" s="807">
        <v>0.71</v>
      </c>
      <c r="AE8" s="813">
        <v>0.70579999999999998</v>
      </c>
      <c r="AF8" s="807">
        <v>-0.59154929577464088</v>
      </c>
      <c r="AG8" s="806" t="s">
        <v>100</v>
      </c>
      <c r="AH8" s="909">
        <v>1.6131855349658466</v>
      </c>
      <c r="AI8" s="802">
        <v>-1.2219186730869609</v>
      </c>
      <c r="AJ8" s="767" t="s">
        <v>60</v>
      </c>
    </row>
    <row r="9" spans="1:36" ht="12.75" customHeight="1">
      <c r="A9" s="767" t="s">
        <v>61</v>
      </c>
      <c r="B9" s="930"/>
      <c r="C9" s="930"/>
      <c r="D9" s="773"/>
      <c r="E9" s="773"/>
      <c r="F9" s="773"/>
      <c r="G9" s="786">
        <v>1.98</v>
      </c>
      <c r="H9" s="773">
        <v>2.1800000000000002</v>
      </c>
      <c r="I9" s="773">
        <v>2.2759999999999998</v>
      </c>
      <c r="J9" s="773">
        <v>2.27</v>
      </c>
      <c r="K9" s="773">
        <v>2.11</v>
      </c>
      <c r="L9" s="773">
        <v>2.0779999999999998</v>
      </c>
      <c r="M9" s="773">
        <v>1.7949999999999999</v>
      </c>
      <c r="N9" s="773">
        <v>1.6120000000000001</v>
      </c>
      <c r="O9" s="773">
        <v>1.661</v>
      </c>
      <c r="P9" s="773">
        <v>1.7170000000000001</v>
      </c>
      <c r="Q9" s="773">
        <v>1.82</v>
      </c>
      <c r="R9" s="773">
        <v>1.9019999999999999</v>
      </c>
      <c r="S9" s="773">
        <v>2.2589999999999999</v>
      </c>
      <c r="T9" s="773">
        <v>2.2909999999999999</v>
      </c>
      <c r="U9" s="773">
        <v>2.0790000000000002</v>
      </c>
      <c r="V9" s="773">
        <v>2.3149999999999999</v>
      </c>
      <c r="W9" s="773">
        <v>2.1560000000000001</v>
      </c>
      <c r="X9" s="773">
        <v>2.1909999999999998</v>
      </c>
      <c r="Y9" s="773">
        <v>1.9537</v>
      </c>
      <c r="Z9" s="773">
        <v>1.907</v>
      </c>
      <c r="AA9" s="773">
        <v>1.9330000000000001</v>
      </c>
      <c r="AB9" s="773">
        <v>2.0630000000000002</v>
      </c>
      <c r="AC9" s="773">
        <v>2.0230000000000001</v>
      </c>
      <c r="AD9" s="773">
        <v>1.5880000000000001</v>
      </c>
      <c r="AE9" s="798">
        <v>2.165</v>
      </c>
      <c r="AF9" s="773">
        <v>36.335012594458448</v>
      </c>
      <c r="AG9" s="767" t="s">
        <v>61</v>
      </c>
      <c r="AH9" s="813">
        <v>0.70579999999999998</v>
      </c>
      <c r="AI9" s="807">
        <v>-0.59154929577464088</v>
      </c>
      <c r="AJ9" s="806" t="s">
        <v>100</v>
      </c>
    </row>
    <row r="10" spans="1:36" ht="12.75" customHeight="1">
      <c r="A10" s="806" t="s">
        <v>14</v>
      </c>
      <c r="B10" s="935"/>
      <c r="C10" s="935"/>
      <c r="D10" s="807">
        <v>2.016</v>
      </c>
      <c r="E10" s="807">
        <v>2.3610000000000002</v>
      </c>
      <c r="F10" s="807">
        <v>2.6240000000000001</v>
      </c>
      <c r="G10" s="807">
        <v>2.7970000000000002</v>
      </c>
      <c r="H10" s="807">
        <v>3.0870000000000002</v>
      </c>
      <c r="I10" s="807">
        <v>3.109</v>
      </c>
      <c r="J10" s="807">
        <v>3.4609999999999999</v>
      </c>
      <c r="K10" s="807">
        <v>3.823</v>
      </c>
      <c r="L10" s="807">
        <v>3.9209999999999998</v>
      </c>
      <c r="M10" s="807">
        <v>4.2709999999999999</v>
      </c>
      <c r="N10" s="807">
        <v>4.6900000000000004</v>
      </c>
      <c r="O10" s="807">
        <v>4.6950000000000003</v>
      </c>
      <c r="P10" s="807">
        <v>5.1029999999999998</v>
      </c>
      <c r="Q10" s="807">
        <v>5.1539999999999999</v>
      </c>
      <c r="R10" s="807">
        <v>5.2539999999999996</v>
      </c>
      <c r="S10" s="807">
        <v>5.125</v>
      </c>
      <c r="T10" s="807">
        <v>4.8719999999999999</v>
      </c>
      <c r="U10" s="807">
        <v>4.6269999999999998</v>
      </c>
      <c r="V10" s="807">
        <v>4.2089999999999996</v>
      </c>
      <c r="W10" s="807">
        <v>3.895</v>
      </c>
      <c r="X10" s="807">
        <v>3.5470000000000002</v>
      </c>
      <c r="Y10" s="807">
        <v>3.2650000000000001</v>
      </c>
      <c r="Z10" s="807">
        <v>3.0779999999999998</v>
      </c>
      <c r="AA10" s="807">
        <v>2.7389999999999999</v>
      </c>
      <c r="AB10" s="807">
        <v>2.4089999999999998</v>
      </c>
      <c r="AC10" s="807">
        <v>2.258</v>
      </c>
      <c r="AD10" s="807">
        <v>2.0259999999999998</v>
      </c>
      <c r="AE10" s="813">
        <v>2.246</v>
      </c>
      <c r="AF10" s="807">
        <v>10.858835143139217</v>
      </c>
      <c r="AG10" s="806" t="s">
        <v>14</v>
      </c>
      <c r="AH10" s="797">
        <v>0</v>
      </c>
      <c r="AI10" s="789" t="s">
        <v>142</v>
      </c>
      <c r="AJ10" s="767" t="s">
        <v>71</v>
      </c>
    </row>
    <row r="11" spans="1:36" ht="12.75" customHeight="1">
      <c r="A11" s="767" t="s">
        <v>63</v>
      </c>
      <c r="B11" s="930">
        <v>16.899999999999999</v>
      </c>
      <c r="C11" s="930">
        <v>14.3</v>
      </c>
      <c r="D11" s="773">
        <v>13.3</v>
      </c>
      <c r="E11" s="811">
        <v>15.7</v>
      </c>
      <c r="F11" s="773">
        <v>15.7</v>
      </c>
      <c r="G11" s="773">
        <v>16.100000000000001</v>
      </c>
      <c r="H11" s="790">
        <v>16.8</v>
      </c>
      <c r="I11" s="773">
        <v>14.757</v>
      </c>
      <c r="J11" s="773">
        <v>14.5</v>
      </c>
      <c r="K11" s="773">
        <v>13.151</v>
      </c>
      <c r="L11" s="773">
        <v>14.849</v>
      </c>
      <c r="M11" s="773">
        <v>14.965999999999999</v>
      </c>
      <c r="N11" s="773">
        <v>15.032999999999999</v>
      </c>
      <c r="O11" s="773">
        <v>15.760999999999999</v>
      </c>
      <c r="P11" s="773">
        <v>15.205</v>
      </c>
      <c r="Q11" s="773">
        <v>15.407</v>
      </c>
      <c r="R11" s="773">
        <v>16.236000000000001</v>
      </c>
      <c r="S11" s="773">
        <v>16.741</v>
      </c>
      <c r="T11" s="773">
        <v>15.843999999999999</v>
      </c>
      <c r="U11" s="773">
        <v>15.824</v>
      </c>
      <c r="V11" s="773">
        <v>15.67</v>
      </c>
      <c r="W11" s="773">
        <v>15.95</v>
      </c>
      <c r="X11" s="773">
        <v>16.259</v>
      </c>
      <c r="Y11" s="773">
        <v>15.622999999999999</v>
      </c>
      <c r="Z11" s="773">
        <v>16.207000000000001</v>
      </c>
      <c r="AA11" s="773">
        <v>18.18</v>
      </c>
      <c r="AB11" s="773">
        <v>17.541</v>
      </c>
      <c r="AC11" s="773">
        <v>17.713000000000001</v>
      </c>
      <c r="AD11" s="773">
        <v>18.760999999999999</v>
      </c>
      <c r="AE11" s="798">
        <v>18.239999999999998</v>
      </c>
      <c r="AF11" s="773">
        <v>-2.7770374713501411</v>
      </c>
      <c r="AG11" s="767" t="s">
        <v>63</v>
      </c>
      <c r="AH11" s="798">
        <v>2.165</v>
      </c>
      <c r="AI11" s="773">
        <v>36.335012594458448</v>
      </c>
      <c r="AJ11" s="767" t="s">
        <v>61</v>
      </c>
    </row>
    <row r="12" spans="1:36" ht="12.75" customHeight="1">
      <c r="A12" s="806" t="s">
        <v>64</v>
      </c>
      <c r="B12" s="935" t="s">
        <v>142</v>
      </c>
      <c r="C12" s="935" t="s">
        <v>142</v>
      </c>
      <c r="D12" s="807" t="s">
        <v>142</v>
      </c>
      <c r="E12" s="807" t="s">
        <v>142</v>
      </c>
      <c r="F12" s="807" t="s">
        <v>142</v>
      </c>
      <c r="G12" s="807" t="s">
        <v>142</v>
      </c>
      <c r="H12" s="807" t="s">
        <v>142</v>
      </c>
      <c r="I12" s="807" t="s">
        <v>142</v>
      </c>
      <c r="J12" s="807" t="s">
        <v>142</v>
      </c>
      <c r="K12" s="807" t="s">
        <v>142</v>
      </c>
      <c r="L12" s="807" t="s">
        <v>142</v>
      </c>
      <c r="M12" s="807" t="s">
        <v>142</v>
      </c>
      <c r="N12" s="807" t="s">
        <v>142</v>
      </c>
      <c r="O12" s="807" t="s">
        <v>142</v>
      </c>
      <c r="P12" s="807" t="s">
        <v>142</v>
      </c>
      <c r="Q12" s="807" t="s">
        <v>142</v>
      </c>
      <c r="R12" s="807" t="s">
        <v>142</v>
      </c>
      <c r="S12" s="807" t="s">
        <v>142</v>
      </c>
      <c r="T12" s="807" t="s">
        <v>142</v>
      </c>
      <c r="U12" s="807" t="s">
        <v>142</v>
      </c>
      <c r="V12" s="807" t="s">
        <v>142</v>
      </c>
      <c r="W12" s="807" t="s">
        <v>142</v>
      </c>
      <c r="X12" s="807" t="s">
        <v>142</v>
      </c>
      <c r="Y12" s="807" t="s">
        <v>142</v>
      </c>
      <c r="Z12" s="807" t="s">
        <v>142</v>
      </c>
      <c r="AA12" s="807" t="s">
        <v>142</v>
      </c>
      <c r="AB12" s="807" t="s">
        <v>142</v>
      </c>
      <c r="AC12" s="807" t="s">
        <v>142</v>
      </c>
      <c r="AD12" s="807" t="s">
        <v>142</v>
      </c>
      <c r="AE12" s="813" t="s">
        <v>142</v>
      </c>
      <c r="AF12" s="807" t="s">
        <v>142</v>
      </c>
      <c r="AG12" s="806" t="s">
        <v>64</v>
      </c>
      <c r="AH12" s="798">
        <v>18.239999999999998</v>
      </c>
      <c r="AI12" s="773">
        <v>-2.7770374713501411</v>
      </c>
      <c r="AJ12" s="767" t="s">
        <v>63</v>
      </c>
    </row>
    <row r="13" spans="1:36" ht="12.75" customHeight="1">
      <c r="A13" s="767" t="s">
        <v>68</v>
      </c>
      <c r="B13" s="931" t="s">
        <v>142</v>
      </c>
      <c r="C13" s="931" t="s">
        <v>142</v>
      </c>
      <c r="D13" s="789" t="s">
        <v>142</v>
      </c>
      <c r="E13" s="789" t="s">
        <v>142</v>
      </c>
      <c r="F13" s="789" t="s">
        <v>142</v>
      </c>
      <c r="G13" s="789" t="s">
        <v>142</v>
      </c>
      <c r="H13" s="789" t="s">
        <v>142</v>
      </c>
      <c r="I13" s="789" t="s">
        <v>142</v>
      </c>
      <c r="J13" s="789" t="s">
        <v>142</v>
      </c>
      <c r="K13" s="789" t="s">
        <v>142</v>
      </c>
      <c r="L13" s="789" t="s">
        <v>142</v>
      </c>
      <c r="M13" s="789" t="s">
        <v>142</v>
      </c>
      <c r="N13" s="789" t="s">
        <v>142</v>
      </c>
      <c r="O13" s="789" t="s">
        <v>142</v>
      </c>
      <c r="P13" s="789" t="s">
        <v>142</v>
      </c>
      <c r="Q13" s="789" t="s">
        <v>142</v>
      </c>
      <c r="R13" s="789" t="s">
        <v>142</v>
      </c>
      <c r="S13" s="789" t="s">
        <v>142</v>
      </c>
      <c r="T13" s="789" t="s">
        <v>142</v>
      </c>
      <c r="U13" s="789" t="s">
        <v>142</v>
      </c>
      <c r="V13" s="789" t="s">
        <v>142</v>
      </c>
      <c r="W13" s="789" t="s">
        <v>142</v>
      </c>
      <c r="X13" s="789" t="s">
        <v>142</v>
      </c>
      <c r="Y13" s="789" t="s">
        <v>142</v>
      </c>
      <c r="Z13" s="789" t="s">
        <v>142</v>
      </c>
      <c r="AA13" s="789" t="s">
        <v>142</v>
      </c>
      <c r="AB13" s="789" t="s">
        <v>142</v>
      </c>
      <c r="AC13" s="789" t="s">
        <v>142</v>
      </c>
      <c r="AD13" s="789" t="s">
        <v>142</v>
      </c>
      <c r="AE13" s="797" t="s">
        <v>142</v>
      </c>
      <c r="AF13" s="789" t="s">
        <v>142</v>
      </c>
      <c r="AG13" s="767" t="s">
        <v>68</v>
      </c>
      <c r="AH13" s="813">
        <v>2.246</v>
      </c>
      <c r="AI13" s="807">
        <v>10.858835143139217</v>
      </c>
      <c r="AJ13" s="806" t="s">
        <v>14</v>
      </c>
    </row>
    <row r="14" spans="1:36" ht="12.75" customHeight="1">
      <c r="A14" s="806" t="s">
        <v>15</v>
      </c>
      <c r="B14" s="935" t="s">
        <v>142</v>
      </c>
      <c r="C14" s="935" t="s">
        <v>142</v>
      </c>
      <c r="D14" s="807" t="s">
        <v>142</v>
      </c>
      <c r="E14" s="807" t="s">
        <v>142</v>
      </c>
      <c r="F14" s="807" t="s">
        <v>142</v>
      </c>
      <c r="G14" s="807" t="s">
        <v>142</v>
      </c>
      <c r="H14" s="807" t="s">
        <v>142</v>
      </c>
      <c r="I14" s="807" t="s">
        <v>142</v>
      </c>
      <c r="J14" s="807" t="s">
        <v>142</v>
      </c>
      <c r="K14" s="807" t="s">
        <v>142</v>
      </c>
      <c r="L14" s="807" t="s">
        <v>142</v>
      </c>
      <c r="M14" s="807" t="s">
        <v>142</v>
      </c>
      <c r="N14" s="807" t="s">
        <v>142</v>
      </c>
      <c r="O14" s="807" t="s">
        <v>142</v>
      </c>
      <c r="P14" s="807">
        <v>0.02</v>
      </c>
      <c r="Q14" s="807">
        <v>0.06</v>
      </c>
      <c r="R14" s="810">
        <v>0.19700000000000001</v>
      </c>
      <c r="S14" s="807">
        <v>0.22900000000000001</v>
      </c>
      <c r="T14" s="807">
        <v>0.253</v>
      </c>
      <c r="U14" s="807">
        <v>0.254</v>
      </c>
      <c r="V14" s="807">
        <v>0.254</v>
      </c>
      <c r="W14" s="816">
        <v>0.18513600473552563</v>
      </c>
      <c r="X14" s="816">
        <v>0.18896090127596751</v>
      </c>
      <c r="Y14" s="816">
        <v>0.24139480017087667</v>
      </c>
      <c r="Z14" s="816">
        <v>0.2116849713538852</v>
      </c>
      <c r="AA14" s="984">
        <v>1.5939999999999999E-2</v>
      </c>
      <c r="AB14" s="984">
        <v>1.8499999999999999E-2</v>
      </c>
      <c r="AC14" s="984">
        <v>2.24E-2</v>
      </c>
      <c r="AD14" s="984">
        <v>2.4820000000000002E-2</v>
      </c>
      <c r="AE14" s="986">
        <v>2.6629999999999997E-2</v>
      </c>
      <c r="AF14" s="984">
        <v>7.2925060435132849</v>
      </c>
      <c r="AG14" s="806" t="s">
        <v>15</v>
      </c>
      <c r="AH14" s="813">
        <v>0</v>
      </c>
      <c r="AI14" s="807" t="s">
        <v>142</v>
      </c>
      <c r="AJ14" s="806" t="s">
        <v>64</v>
      </c>
    </row>
    <row r="15" spans="1:36" ht="12.75" customHeight="1">
      <c r="A15" s="767" t="s">
        <v>66</v>
      </c>
      <c r="B15" s="931">
        <v>1.0229999999999999</v>
      </c>
      <c r="C15" s="931">
        <v>3.0049999999999999</v>
      </c>
      <c r="D15" s="789">
        <v>4.2149999999999999</v>
      </c>
      <c r="E15" s="789">
        <v>4.78</v>
      </c>
      <c r="F15" s="789">
        <v>5.266</v>
      </c>
      <c r="G15" s="789">
        <v>5.4089999999999998</v>
      </c>
      <c r="H15" s="789">
        <v>5.4790000000000001</v>
      </c>
      <c r="I15" s="789">
        <v>5.8869999999999996</v>
      </c>
      <c r="J15" s="789">
        <v>6.1130000000000004</v>
      </c>
      <c r="K15" s="789">
        <v>6.5339999999999998</v>
      </c>
      <c r="L15" s="789">
        <v>6.8719999999999999</v>
      </c>
      <c r="M15" s="789">
        <v>7.0309999999999997</v>
      </c>
      <c r="N15" s="789">
        <v>7.4660000000000002</v>
      </c>
      <c r="O15" s="789">
        <v>7.7629999999999999</v>
      </c>
      <c r="P15" s="789">
        <v>7.8029999999999999</v>
      </c>
      <c r="Q15" s="789">
        <v>7.319</v>
      </c>
      <c r="R15" s="789">
        <v>8.2789999999999999</v>
      </c>
      <c r="S15" s="789">
        <v>9.2279999999999998</v>
      </c>
      <c r="T15" s="789">
        <v>9.2240000000000002</v>
      </c>
      <c r="U15" s="789">
        <v>8.9359999999999999</v>
      </c>
      <c r="V15" s="789">
        <v>9.141</v>
      </c>
      <c r="W15" s="789">
        <v>8.23</v>
      </c>
      <c r="X15" s="789">
        <v>8.1820000000000004</v>
      </c>
      <c r="Y15" s="789">
        <v>8.6010000000000009</v>
      </c>
      <c r="Z15" s="789">
        <v>8.9</v>
      </c>
      <c r="AA15" s="789">
        <v>8.6910000000000007</v>
      </c>
      <c r="AB15" s="789">
        <v>8.9670000000000005</v>
      </c>
      <c r="AC15" s="789">
        <v>10.115</v>
      </c>
      <c r="AD15" s="789">
        <v>9.99</v>
      </c>
      <c r="AE15" s="797">
        <v>9.7129999999999992</v>
      </c>
      <c r="AF15" s="789">
        <v>-2.7727727727727824</v>
      </c>
      <c r="AG15" s="767" t="s">
        <v>66</v>
      </c>
      <c r="AH15" s="986">
        <v>2.6629999999999997E-2</v>
      </c>
      <c r="AI15" s="984">
        <v>7.2925060435132849</v>
      </c>
      <c r="AJ15" s="806" t="s">
        <v>15</v>
      </c>
    </row>
    <row r="16" spans="1:36" ht="12.75" customHeight="1">
      <c r="A16" s="806" t="s">
        <v>67</v>
      </c>
      <c r="B16" s="935">
        <v>28.184000000000001</v>
      </c>
      <c r="C16" s="935">
        <v>34.673999999999999</v>
      </c>
      <c r="D16" s="807">
        <v>19.609000000000002</v>
      </c>
      <c r="E16" s="807">
        <v>22.501000000000001</v>
      </c>
      <c r="F16" s="807">
        <v>23.381</v>
      </c>
      <c r="G16" s="807">
        <v>23.312000000000001</v>
      </c>
      <c r="H16" s="807">
        <v>22.187000000000001</v>
      </c>
      <c r="I16" s="807">
        <v>22.274999999999999</v>
      </c>
      <c r="J16" s="807">
        <v>21.908999999999999</v>
      </c>
      <c r="K16" s="807">
        <v>22.088999999999999</v>
      </c>
      <c r="L16" s="807">
        <v>21.582000000000001</v>
      </c>
      <c r="M16" s="807">
        <v>21.321999999999999</v>
      </c>
      <c r="N16" s="807">
        <v>21.669</v>
      </c>
      <c r="O16" s="807">
        <v>22.14</v>
      </c>
      <c r="P16" s="807">
        <v>20.954000000000001</v>
      </c>
      <c r="Q16" s="807">
        <v>22.146999999999998</v>
      </c>
      <c r="R16" s="807">
        <v>20.559000000000001</v>
      </c>
      <c r="S16" s="807">
        <v>20.856000000000002</v>
      </c>
      <c r="T16" s="807">
        <v>22.2</v>
      </c>
      <c r="U16" s="807">
        <v>21.140999999999998</v>
      </c>
      <c r="V16" s="807">
        <v>20.917999999999999</v>
      </c>
      <c r="W16" s="807">
        <v>19.481000000000002</v>
      </c>
      <c r="X16" s="807">
        <v>17.606999999999999</v>
      </c>
      <c r="Y16" s="807">
        <v>17.207000000000001</v>
      </c>
      <c r="Z16" s="807">
        <v>15.151</v>
      </c>
      <c r="AA16" s="807">
        <v>11.521000000000001</v>
      </c>
      <c r="AB16" s="807">
        <v>11.055</v>
      </c>
      <c r="AC16" s="807">
        <v>11.443</v>
      </c>
      <c r="AD16" s="807">
        <v>11.372999999999999</v>
      </c>
      <c r="AE16" s="813">
        <v>11.180999999999999</v>
      </c>
      <c r="AF16" s="807">
        <v>-1.6882089158533375</v>
      </c>
      <c r="AG16" s="806" t="s">
        <v>67</v>
      </c>
      <c r="AH16" s="797">
        <v>9.7129999999999992</v>
      </c>
      <c r="AI16" s="789">
        <v>-2.7727727727727824</v>
      </c>
      <c r="AJ16" s="767" t="s">
        <v>66</v>
      </c>
    </row>
    <row r="17" spans="1:36" ht="12.75" customHeight="1">
      <c r="A17" s="943" t="s">
        <v>144</v>
      </c>
      <c r="B17" s="944" t="s">
        <v>99</v>
      </c>
      <c r="C17" s="944" t="s">
        <v>99</v>
      </c>
      <c r="D17" s="945">
        <v>3.6</v>
      </c>
      <c r="E17" s="945" t="s">
        <v>99</v>
      </c>
      <c r="F17" s="945"/>
      <c r="G17" s="945"/>
      <c r="H17" s="945"/>
      <c r="I17" s="945" t="s">
        <v>99</v>
      </c>
      <c r="J17" s="945"/>
      <c r="K17" s="945">
        <v>0.72499999999999998</v>
      </c>
      <c r="L17" s="945">
        <v>0.95099999999999996</v>
      </c>
      <c r="M17" s="945">
        <v>0.623</v>
      </c>
      <c r="N17" s="945">
        <v>0.42799999999999999</v>
      </c>
      <c r="O17" s="945">
        <v>0.89700000000000002</v>
      </c>
      <c r="P17" s="945">
        <v>1.286</v>
      </c>
      <c r="Q17" s="945">
        <v>1.335</v>
      </c>
      <c r="R17" s="945">
        <v>1.5149999999999999</v>
      </c>
      <c r="S17" s="945">
        <v>1.5069999999999999</v>
      </c>
      <c r="T17" s="945">
        <v>1.2549999999999999</v>
      </c>
      <c r="U17" s="945">
        <v>1.4059999999999999</v>
      </c>
      <c r="V17" s="945">
        <v>1.3080000000000001</v>
      </c>
      <c r="W17" s="945">
        <v>1.4450000000000001</v>
      </c>
      <c r="X17" s="945">
        <v>1.3</v>
      </c>
      <c r="Y17" s="945">
        <v>1.028</v>
      </c>
      <c r="Z17" s="945">
        <v>0.83799999999999997</v>
      </c>
      <c r="AA17" s="945">
        <v>1.127</v>
      </c>
      <c r="AB17" s="945">
        <v>1.1140000000000001</v>
      </c>
      <c r="AC17" s="945">
        <v>1.395</v>
      </c>
      <c r="AD17" s="945">
        <v>1.589</v>
      </c>
      <c r="AE17" s="959">
        <v>1.768</v>
      </c>
      <c r="AF17" s="945">
        <v>11.264946507237255</v>
      </c>
      <c r="AG17" s="943" t="s">
        <v>144</v>
      </c>
      <c r="AH17" s="813">
        <v>0</v>
      </c>
      <c r="AI17" s="807" t="s">
        <v>142</v>
      </c>
      <c r="AJ17" s="806" t="s">
        <v>87</v>
      </c>
    </row>
    <row r="18" spans="1:36" ht="12.75" customHeight="1">
      <c r="A18" s="806" t="s">
        <v>69</v>
      </c>
      <c r="B18" s="935">
        <v>7</v>
      </c>
      <c r="C18" s="935">
        <v>9</v>
      </c>
      <c r="D18" s="807">
        <v>9.1999999999999993</v>
      </c>
      <c r="E18" s="807">
        <v>9.3000000000000007</v>
      </c>
      <c r="F18" s="807">
        <v>9.4</v>
      </c>
      <c r="G18" s="807">
        <v>9.5</v>
      </c>
      <c r="H18" s="807">
        <v>9.6</v>
      </c>
      <c r="I18" s="807">
        <v>9.65</v>
      </c>
      <c r="J18" s="807">
        <v>10.1</v>
      </c>
      <c r="K18" s="807">
        <v>9.7970000000000006</v>
      </c>
      <c r="L18" s="807">
        <v>10.624000000000001</v>
      </c>
      <c r="M18" s="807">
        <v>10.409000000000001</v>
      </c>
      <c r="N18" s="807">
        <v>10.317</v>
      </c>
      <c r="O18" s="807">
        <v>10.69</v>
      </c>
      <c r="P18" s="807">
        <v>10.692</v>
      </c>
      <c r="Q18" s="807">
        <v>10.656000000000001</v>
      </c>
      <c r="R18" s="807">
        <v>10.699</v>
      </c>
      <c r="S18" s="807">
        <v>11.423</v>
      </c>
      <c r="T18" s="807">
        <v>11.446999999999999</v>
      </c>
      <c r="U18" s="807">
        <v>11.388</v>
      </c>
      <c r="V18" s="807">
        <v>11.266</v>
      </c>
      <c r="W18" s="807">
        <v>10.497</v>
      </c>
      <c r="X18" s="807">
        <v>10.4</v>
      </c>
      <c r="Y18" s="807">
        <v>9.9540000000000006</v>
      </c>
      <c r="Z18" s="807">
        <v>10.066000000000001</v>
      </c>
      <c r="AA18" s="807">
        <v>10.023999999999999</v>
      </c>
      <c r="AB18" s="807">
        <v>9.5549999999999997</v>
      </c>
      <c r="AC18" s="807">
        <v>9.2129999999999992</v>
      </c>
      <c r="AD18" s="807">
        <v>9.9770000000000003</v>
      </c>
      <c r="AE18" s="813">
        <v>10.257999999999999</v>
      </c>
      <c r="AF18" s="807">
        <v>2.8164778991680777</v>
      </c>
      <c r="AG18" s="806" t="s">
        <v>69</v>
      </c>
      <c r="AH18" s="813">
        <v>11.180999999999999</v>
      </c>
      <c r="AI18" s="807">
        <v>-1.6882089158533375</v>
      </c>
      <c r="AJ18" s="806" t="s">
        <v>67</v>
      </c>
    </row>
    <row r="19" spans="1:36" ht="12.75" customHeight="1">
      <c r="A19" s="767" t="s">
        <v>71</v>
      </c>
      <c r="B19" s="784" t="s">
        <v>142</v>
      </c>
      <c r="C19" s="784" t="s">
        <v>142</v>
      </c>
      <c r="D19" s="784" t="s">
        <v>142</v>
      </c>
      <c r="E19" s="773" t="s">
        <v>142</v>
      </c>
      <c r="F19" s="773" t="s">
        <v>142</v>
      </c>
      <c r="G19" s="773" t="s">
        <v>142</v>
      </c>
      <c r="H19" s="773" t="s">
        <v>142</v>
      </c>
      <c r="I19" s="773" t="s">
        <v>142</v>
      </c>
      <c r="J19" s="773" t="s">
        <v>142</v>
      </c>
      <c r="K19" s="773" t="s">
        <v>142</v>
      </c>
      <c r="L19" s="773" t="s">
        <v>142</v>
      </c>
      <c r="M19" s="773" t="s">
        <v>142</v>
      </c>
      <c r="N19" s="773" t="s">
        <v>142</v>
      </c>
      <c r="O19" s="773" t="s">
        <v>142</v>
      </c>
      <c r="P19" s="773" t="s">
        <v>142</v>
      </c>
      <c r="Q19" s="773" t="s">
        <v>142</v>
      </c>
      <c r="R19" s="773" t="s">
        <v>142</v>
      </c>
      <c r="S19" s="773" t="s">
        <v>142</v>
      </c>
      <c r="T19" s="773" t="s">
        <v>142</v>
      </c>
      <c r="U19" s="773" t="s">
        <v>142</v>
      </c>
      <c r="V19" s="773" t="s">
        <v>142</v>
      </c>
      <c r="W19" s="773" t="s">
        <v>142</v>
      </c>
      <c r="X19" s="773" t="s">
        <v>142</v>
      </c>
      <c r="Y19" s="773" t="s">
        <v>142</v>
      </c>
      <c r="Z19" s="773" t="s">
        <v>142</v>
      </c>
      <c r="AA19" s="773" t="s">
        <v>142</v>
      </c>
      <c r="AB19" s="773" t="s">
        <v>142</v>
      </c>
      <c r="AC19" s="773" t="s">
        <v>142</v>
      </c>
      <c r="AD19" s="773" t="s">
        <v>142</v>
      </c>
      <c r="AE19" s="797" t="s">
        <v>142</v>
      </c>
      <c r="AF19" s="789" t="s">
        <v>142</v>
      </c>
      <c r="AG19" s="767" t="s">
        <v>71</v>
      </c>
      <c r="AH19" s="959">
        <v>1.768</v>
      </c>
      <c r="AI19" s="945">
        <v>11.264946507237255</v>
      </c>
      <c r="AJ19" s="943" t="s">
        <v>144</v>
      </c>
    </row>
    <row r="20" spans="1:36" ht="12.75" customHeight="1">
      <c r="A20" s="806" t="s">
        <v>72</v>
      </c>
      <c r="B20" s="812" t="s">
        <v>214</v>
      </c>
      <c r="C20" s="812" t="s">
        <v>214</v>
      </c>
      <c r="D20" s="812" t="s">
        <v>214</v>
      </c>
      <c r="E20" s="807" t="s">
        <v>214</v>
      </c>
      <c r="F20" s="807" t="s">
        <v>214</v>
      </c>
      <c r="G20" s="807" t="s">
        <v>215</v>
      </c>
      <c r="H20" s="807">
        <v>4.5999999999999996</v>
      </c>
      <c r="I20" s="807">
        <v>5.3159999999999998</v>
      </c>
      <c r="J20" s="807">
        <v>6.06</v>
      </c>
      <c r="K20" s="807">
        <v>6.3620000000000001</v>
      </c>
      <c r="L20" s="807">
        <v>6.569</v>
      </c>
      <c r="M20" s="807">
        <v>6.0549999999999997</v>
      </c>
      <c r="N20" s="807">
        <v>6.4669999999999996</v>
      </c>
      <c r="O20" s="807">
        <v>7.524</v>
      </c>
      <c r="P20" s="807">
        <v>5.0709999999999997</v>
      </c>
      <c r="Q20" s="807">
        <v>3.15</v>
      </c>
      <c r="R20" s="807">
        <v>3.2519999999999998</v>
      </c>
      <c r="S20" s="807">
        <v>3.3809999999999998</v>
      </c>
      <c r="T20" s="807">
        <v>3.6280000000000001</v>
      </c>
      <c r="U20" s="807">
        <v>2.7109999999999999</v>
      </c>
      <c r="V20" s="807">
        <v>2.097</v>
      </c>
      <c r="W20" s="807">
        <v>1.573</v>
      </c>
      <c r="X20" s="807">
        <v>2.35</v>
      </c>
      <c r="Y20" s="807">
        <v>2.4159999999999999</v>
      </c>
      <c r="Z20" s="807">
        <v>2.6309999999999998</v>
      </c>
      <c r="AA20" s="807">
        <v>2.2789999999999999</v>
      </c>
      <c r="AB20" s="807">
        <v>2.3759999999999999</v>
      </c>
      <c r="AC20" s="807">
        <v>1.9650000000000001</v>
      </c>
      <c r="AD20" s="807">
        <v>1.5069999999999999</v>
      </c>
      <c r="AE20" s="813">
        <v>1.411</v>
      </c>
      <c r="AF20" s="807">
        <v>-6.3702720637027141</v>
      </c>
      <c r="AG20" s="806" t="s">
        <v>72</v>
      </c>
      <c r="AH20" s="798">
        <v>2.3830800000000001</v>
      </c>
      <c r="AI20" s="773">
        <v>4.5375585618781855</v>
      </c>
      <c r="AJ20" s="767" t="s">
        <v>77</v>
      </c>
    </row>
    <row r="21" spans="1:36" ht="12.75" customHeight="1">
      <c r="A21" s="767" t="s">
        <v>73</v>
      </c>
      <c r="B21" s="784" t="s">
        <v>214</v>
      </c>
      <c r="C21" s="784" t="s">
        <v>214</v>
      </c>
      <c r="D21" s="784" t="s">
        <v>214</v>
      </c>
      <c r="E21" s="773" t="s">
        <v>214</v>
      </c>
      <c r="F21" s="773" t="s">
        <v>214</v>
      </c>
      <c r="G21" s="773">
        <v>2</v>
      </c>
      <c r="H21" s="773">
        <v>1.9</v>
      </c>
      <c r="I21" s="773">
        <v>2.0059999999999998</v>
      </c>
      <c r="J21" s="773">
        <v>2.3079999999999998</v>
      </c>
      <c r="K21" s="773">
        <v>2.6560000000000001</v>
      </c>
      <c r="L21" s="773">
        <v>2.964</v>
      </c>
      <c r="M21" s="773">
        <v>2.6269999999999998</v>
      </c>
      <c r="N21" s="773">
        <v>3.4566999999999997</v>
      </c>
      <c r="O21" s="773">
        <v>4.7796000000000003</v>
      </c>
      <c r="P21" s="773">
        <v>4.8916000000000004</v>
      </c>
      <c r="Q21" s="773">
        <v>5.0848000000000004</v>
      </c>
      <c r="R21" s="773">
        <v>4.2873999999999999</v>
      </c>
      <c r="S21" s="773">
        <v>4.4059999999999997</v>
      </c>
      <c r="T21" s="773">
        <v>2.67</v>
      </c>
      <c r="U21" s="773">
        <v>1.032</v>
      </c>
      <c r="V21" s="773">
        <v>0.52700000000000002</v>
      </c>
      <c r="W21" s="773">
        <v>0.4103</v>
      </c>
      <c r="X21" s="773">
        <v>0.5786</v>
      </c>
      <c r="Y21" s="773">
        <v>0.59139999999999993</v>
      </c>
      <c r="Z21" s="773">
        <v>0.63219999999999998</v>
      </c>
      <c r="AA21" s="773">
        <v>0.56299999999999994</v>
      </c>
      <c r="AB21" s="773">
        <v>0.56699999999999995</v>
      </c>
      <c r="AC21" s="773">
        <v>0.496</v>
      </c>
      <c r="AD21" s="773">
        <v>0.40600000000000003</v>
      </c>
      <c r="AE21" s="798">
        <v>0.39100000000000001</v>
      </c>
      <c r="AF21" s="773">
        <v>-3.694581280788185</v>
      </c>
      <c r="AG21" s="767" t="s">
        <v>73</v>
      </c>
      <c r="AH21" s="797">
        <v>0</v>
      </c>
      <c r="AI21" s="789" t="s">
        <v>142</v>
      </c>
      <c r="AJ21" s="767" t="s">
        <v>68</v>
      </c>
    </row>
    <row r="22" spans="1:36" ht="12.75" customHeight="1">
      <c r="A22" s="806" t="s">
        <v>76</v>
      </c>
      <c r="B22" s="812" t="s">
        <v>142</v>
      </c>
      <c r="C22" s="812" t="s">
        <v>142</v>
      </c>
      <c r="D22" s="812" t="s">
        <v>142</v>
      </c>
      <c r="E22" s="807" t="s">
        <v>142</v>
      </c>
      <c r="F22" s="807" t="s">
        <v>142</v>
      </c>
      <c r="G22" s="807" t="s">
        <v>142</v>
      </c>
      <c r="H22" s="807" t="s">
        <v>142</v>
      </c>
      <c r="I22" s="807" t="s">
        <v>142</v>
      </c>
      <c r="J22" s="807" t="s">
        <v>142</v>
      </c>
      <c r="K22" s="807" t="s">
        <v>142</v>
      </c>
      <c r="L22" s="807" t="s">
        <v>142</v>
      </c>
      <c r="M22" s="807" t="s">
        <v>142</v>
      </c>
      <c r="N22" s="807" t="s">
        <v>142</v>
      </c>
      <c r="O22" s="807" t="s">
        <v>142</v>
      </c>
      <c r="P22" s="807" t="s">
        <v>142</v>
      </c>
      <c r="Q22" s="807" t="s">
        <v>142</v>
      </c>
      <c r="R22" s="807" t="s">
        <v>142</v>
      </c>
      <c r="S22" s="807" t="s">
        <v>142</v>
      </c>
      <c r="T22" s="807" t="s">
        <v>142</v>
      </c>
      <c r="U22" s="807" t="s">
        <v>142</v>
      </c>
      <c r="V22" s="807" t="s">
        <v>142</v>
      </c>
      <c r="W22" s="807" t="s">
        <v>142</v>
      </c>
      <c r="X22" s="807" t="s">
        <v>142</v>
      </c>
      <c r="Y22" s="807" t="s">
        <v>142</v>
      </c>
      <c r="Z22" s="807" t="s">
        <v>142</v>
      </c>
      <c r="AA22" s="807" t="s">
        <v>142</v>
      </c>
      <c r="AB22" s="807" t="s">
        <v>142</v>
      </c>
      <c r="AC22" s="807" t="s">
        <v>142</v>
      </c>
      <c r="AD22" s="807" t="s">
        <v>142</v>
      </c>
      <c r="AE22" s="813" t="s">
        <v>142</v>
      </c>
      <c r="AF22" s="807" t="s">
        <v>142</v>
      </c>
      <c r="AG22" s="806" t="s">
        <v>76</v>
      </c>
      <c r="AH22" s="813">
        <v>10.257999999999999</v>
      </c>
      <c r="AI22" s="807">
        <v>2.8164778991680777</v>
      </c>
      <c r="AJ22" s="806" t="s">
        <v>69</v>
      </c>
    </row>
    <row r="23" spans="1:36" ht="12.75" customHeight="1">
      <c r="A23" s="767" t="s">
        <v>77</v>
      </c>
      <c r="B23" s="784" t="s">
        <v>99</v>
      </c>
      <c r="C23" s="784" t="s">
        <v>99</v>
      </c>
      <c r="D23" s="784">
        <v>5.2869999999999999</v>
      </c>
      <c r="E23" s="773" t="s">
        <v>99</v>
      </c>
      <c r="F23" s="773" t="s">
        <v>99</v>
      </c>
      <c r="G23" s="773" t="s">
        <v>99</v>
      </c>
      <c r="H23" s="773" t="s">
        <v>99</v>
      </c>
      <c r="I23" s="773">
        <v>2.1812999999999998</v>
      </c>
      <c r="J23" s="773">
        <v>2.3511000000000002</v>
      </c>
      <c r="K23" s="773">
        <v>1.81</v>
      </c>
      <c r="L23" s="773">
        <v>1.9370000000000001</v>
      </c>
      <c r="M23" s="773">
        <v>2.3159999999999998</v>
      </c>
      <c r="N23" s="773">
        <v>2.2629999999999999</v>
      </c>
      <c r="O23" s="773">
        <v>2.5209999999999999</v>
      </c>
      <c r="P23" s="773">
        <v>2.4449999999999998</v>
      </c>
      <c r="Q23" s="773">
        <v>2.4159999999999999</v>
      </c>
      <c r="R23" s="773">
        <v>2.5459999999999998</v>
      </c>
      <c r="S23" s="773">
        <v>2.6829999999999998</v>
      </c>
      <c r="T23" s="773">
        <v>3.0409999999999999</v>
      </c>
      <c r="U23" s="773">
        <v>2.9870000000000001</v>
      </c>
      <c r="V23" s="773">
        <v>2.9746999999999999</v>
      </c>
      <c r="W23" s="773">
        <v>3.0104000000000002</v>
      </c>
      <c r="X23" s="773">
        <v>3.2136999999999998</v>
      </c>
      <c r="Y23" s="773">
        <v>3.1190000000000002</v>
      </c>
      <c r="Z23" s="773">
        <v>2.7597100000000001</v>
      </c>
      <c r="AA23" s="773">
        <v>2.7024599999999999</v>
      </c>
      <c r="AB23" s="773">
        <v>2.7970000000000002</v>
      </c>
      <c r="AC23" s="773">
        <v>2.46488</v>
      </c>
      <c r="AD23" s="773">
        <v>2.2796400000000001</v>
      </c>
      <c r="AE23" s="798">
        <v>2.3830800000000001</v>
      </c>
      <c r="AF23" s="773">
        <v>4.5375585618781855</v>
      </c>
      <c r="AG23" s="767" t="s">
        <v>77</v>
      </c>
      <c r="AH23" s="798">
        <v>0.39100000000000001</v>
      </c>
      <c r="AI23" s="773">
        <v>-3.694581280788185</v>
      </c>
      <c r="AJ23" s="767" t="s">
        <v>73</v>
      </c>
    </row>
    <row r="24" spans="1:36" ht="12.75" customHeight="1">
      <c r="A24" s="806" t="s">
        <v>78</v>
      </c>
      <c r="B24" s="815" t="s">
        <v>142</v>
      </c>
      <c r="C24" s="815" t="s">
        <v>142</v>
      </c>
      <c r="D24" s="815" t="s">
        <v>142</v>
      </c>
      <c r="E24" s="816" t="s">
        <v>142</v>
      </c>
      <c r="F24" s="816" t="s">
        <v>142</v>
      </c>
      <c r="G24" s="816" t="s">
        <v>142</v>
      </c>
      <c r="H24" s="816" t="s">
        <v>142</v>
      </c>
      <c r="I24" s="816" t="s">
        <v>142</v>
      </c>
      <c r="J24" s="816" t="s">
        <v>142</v>
      </c>
      <c r="K24" s="816" t="s">
        <v>142</v>
      </c>
      <c r="L24" s="816" t="s">
        <v>142</v>
      </c>
      <c r="M24" s="816" t="s">
        <v>142</v>
      </c>
      <c r="N24" s="816" t="s">
        <v>142</v>
      </c>
      <c r="O24" s="816" t="s">
        <v>142</v>
      </c>
      <c r="P24" s="816" t="s">
        <v>142</v>
      </c>
      <c r="Q24" s="816" t="s">
        <v>142</v>
      </c>
      <c r="R24" s="816" t="s">
        <v>142</v>
      </c>
      <c r="S24" s="816" t="s">
        <v>142</v>
      </c>
      <c r="T24" s="816" t="s">
        <v>142</v>
      </c>
      <c r="U24" s="816" t="s">
        <v>142</v>
      </c>
      <c r="V24" s="816" t="s">
        <v>142</v>
      </c>
      <c r="W24" s="816" t="s">
        <v>142</v>
      </c>
      <c r="X24" s="816" t="s">
        <v>142</v>
      </c>
      <c r="Y24" s="816" t="s">
        <v>142</v>
      </c>
      <c r="Z24" s="816" t="s">
        <v>142</v>
      </c>
      <c r="AA24" s="816" t="s">
        <v>142</v>
      </c>
      <c r="AB24" s="816" t="s">
        <v>142</v>
      </c>
      <c r="AC24" s="816" t="s">
        <v>142</v>
      </c>
      <c r="AD24" s="816" t="s">
        <v>142</v>
      </c>
      <c r="AE24" s="813" t="s">
        <v>142</v>
      </c>
      <c r="AF24" s="807" t="s">
        <v>142</v>
      </c>
      <c r="AG24" s="806" t="s">
        <v>78</v>
      </c>
      <c r="AH24" s="813">
        <v>0</v>
      </c>
      <c r="AI24" s="807" t="s">
        <v>142</v>
      </c>
      <c r="AJ24" s="806" t="s">
        <v>76</v>
      </c>
    </row>
    <row r="25" spans="1:36" ht="12.75" customHeight="1">
      <c r="A25" s="767" t="s">
        <v>16</v>
      </c>
      <c r="B25" s="784">
        <v>4.0750000000000002</v>
      </c>
      <c r="C25" s="784">
        <v>5.0439999999999996</v>
      </c>
      <c r="D25" s="784">
        <v>4.8730000000000002</v>
      </c>
      <c r="E25" s="773">
        <v>5.43</v>
      </c>
      <c r="F25" s="773">
        <v>5.5030000000000001</v>
      </c>
      <c r="G25" s="773">
        <v>5.4909999999999997</v>
      </c>
      <c r="H25" s="773">
        <v>5.6210000000000004</v>
      </c>
      <c r="I25" s="773">
        <v>5.2779999999999996</v>
      </c>
      <c r="J25" s="773">
        <v>5.96</v>
      </c>
      <c r="K25" s="773">
        <v>6.04</v>
      </c>
      <c r="L25" s="773">
        <v>6.0430000000000001</v>
      </c>
      <c r="M25" s="773">
        <v>6.008</v>
      </c>
      <c r="N25" s="773">
        <v>5.8689999999999998</v>
      </c>
      <c r="O25" s="773">
        <v>5.827</v>
      </c>
      <c r="P25" s="773">
        <v>6.0170000000000003</v>
      </c>
      <c r="Q25" s="773">
        <v>6.1310000000000002</v>
      </c>
      <c r="R25" s="773">
        <v>6.09</v>
      </c>
      <c r="S25" s="773">
        <v>5.9390000000000001</v>
      </c>
      <c r="T25" s="773">
        <v>5.8280000000000003</v>
      </c>
      <c r="U25" s="773">
        <v>5.5830000000000002</v>
      </c>
      <c r="V25" s="773">
        <v>5.9669999999999996</v>
      </c>
      <c r="W25" s="773">
        <v>5.6219999999999999</v>
      </c>
      <c r="X25" s="773">
        <v>5.6470000000000002</v>
      </c>
      <c r="Y25" s="773">
        <v>5.5019999999999998</v>
      </c>
      <c r="Z25" s="773">
        <v>5.5720000000000001</v>
      </c>
      <c r="AA25" s="773">
        <v>5.4050000000000002</v>
      </c>
      <c r="AB25" s="773">
        <v>5.8369999999999997</v>
      </c>
      <c r="AC25" s="773">
        <v>6.0439999999999996</v>
      </c>
      <c r="AD25" s="773">
        <v>6.0469999999999997</v>
      </c>
      <c r="AE25" s="798">
        <v>6.1429999999999998</v>
      </c>
      <c r="AF25" s="773">
        <v>1.5875640813626717</v>
      </c>
      <c r="AG25" s="767" t="s">
        <v>16</v>
      </c>
      <c r="AH25" s="813">
        <v>1.411</v>
      </c>
      <c r="AI25" s="807">
        <v>-6.3702720637027141</v>
      </c>
      <c r="AJ25" s="806" t="s">
        <v>72</v>
      </c>
    </row>
    <row r="26" spans="1:36" ht="12.75" customHeight="1">
      <c r="A26" s="806" t="s">
        <v>81</v>
      </c>
      <c r="B26" s="812">
        <v>3.62</v>
      </c>
      <c r="C26" s="812">
        <v>7.0540000000000003</v>
      </c>
      <c r="D26" s="812">
        <v>6.37</v>
      </c>
      <c r="E26" s="807">
        <v>6.6539999999999999</v>
      </c>
      <c r="F26" s="807">
        <v>6.7009999999999996</v>
      </c>
      <c r="G26" s="807">
        <v>6.7210000000000001</v>
      </c>
      <c r="H26" s="807">
        <v>6.99</v>
      </c>
      <c r="I26" s="807">
        <v>6.766</v>
      </c>
      <c r="J26" s="807">
        <v>7.0730000000000004</v>
      </c>
      <c r="K26" s="807">
        <v>8.02</v>
      </c>
      <c r="L26" s="807">
        <v>8.1639999999999997</v>
      </c>
      <c r="M26" s="807">
        <v>7.6310000000000002</v>
      </c>
      <c r="N26" s="816">
        <v>7.5629999999999997</v>
      </c>
      <c r="O26" s="816">
        <v>8.0709999999999997</v>
      </c>
      <c r="P26" s="816">
        <v>7.9610000000000003</v>
      </c>
      <c r="Q26" s="816">
        <v>7.7629999999999999</v>
      </c>
      <c r="R26" s="807">
        <v>7.5709999999999997</v>
      </c>
      <c r="S26" s="807">
        <v>7.78</v>
      </c>
      <c r="T26" s="807">
        <v>7.6390000000000002</v>
      </c>
      <c r="U26" s="807">
        <v>7.226</v>
      </c>
      <c r="V26" s="807">
        <v>7.5209999999999999</v>
      </c>
      <c r="W26" s="807">
        <v>7.3040000000000003</v>
      </c>
      <c r="X26" s="807">
        <v>7</v>
      </c>
      <c r="Y26" s="807">
        <v>7.2279999999999998</v>
      </c>
      <c r="Z26" s="807">
        <v>7.1459999999999999</v>
      </c>
      <c r="AA26" s="807">
        <v>8.3919999999999995</v>
      </c>
      <c r="AB26" s="807">
        <v>8.2590000000000003</v>
      </c>
      <c r="AC26" s="807">
        <v>8.4749999999999996</v>
      </c>
      <c r="AD26" s="807">
        <v>8.4730000000000008</v>
      </c>
      <c r="AE26" s="813">
        <v>8.3960000000000008</v>
      </c>
      <c r="AF26" s="807">
        <v>-0.90876903103976758</v>
      </c>
      <c r="AG26" s="806" t="s">
        <v>81</v>
      </c>
      <c r="AH26" s="813">
        <v>0</v>
      </c>
      <c r="AI26" s="807" t="s">
        <v>142</v>
      </c>
      <c r="AJ26" s="806" t="s">
        <v>78</v>
      </c>
    </row>
    <row r="27" spans="1:36" ht="12.75" customHeight="1">
      <c r="A27" s="943" t="s">
        <v>80</v>
      </c>
      <c r="B27" s="944">
        <v>6.98</v>
      </c>
      <c r="C27" s="944">
        <v>17.12</v>
      </c>
      <c r="D27" s="945">
        <v>13.887</v>
      </c>
      <c r="E27" s="945">
        <v>10.39</v>
      </c>
      <c r="F27" s="945">
        <v>11.93</v>
      </c>
      <c r="G27" s="945">
        <v>12.2</v>
      </c>
      <c r="H27" s="945">
        <v>14.3</v>
      </c>
      <c r="I27" s="945">
        <v>13.493</v>
      </c>
      <c r="J27" s="945">
        <v>15.33</v>
      </c>
      <c r="K27" s="945">
        <v>14.97</v>
      </c>
      <c r="L27" s="945">
        <v>18.448</v>
      </c>
      <c r="M27" s="945">
        <v>19.417000000000002</v>
      </c>
      <c r="N27" s="945">
        <v>20.353999999999999</v>
      </c>
      <c r="O27" s="945">
        <v>21.092700000000001</v>
      </c>
      <c r="P27" s="945">
        <v>20.853999999999999</v>
      </c>
      <c r="Q27" s="945">
        <v>23.870999999999999</v>
      </c>
      <c r="R27" s="945">
        <v>24.806000000000001</v>
      </c>
      <c r="S27" s="945">
        <v>25.388000000000002</v>
      </c>
      <c r="T27" s="945">
        <v>25.588099999999997</v>
      </c>
      <c r="U27" s="945">
        <v>23.513000000000002</v>
      </c>
      <c r="V27" s="945">
        <v>21.247299999999999</v>
      </c>
      <c r="W27" s="945">
        <v>22.908000000000001</v>
      </c>
      <c r="X27" s="945">
        <v>24.157</v>
      </c>
      <c r="Y27" s="945">
        <v>23.460999999999999</v>
      </c>
      <c r="Z27" s="945">
        <v>22.324999999999999</v>
      </c>
      <c r="AA27" s="945">
        <v>20.111999999999998</v>
      </c>
      <c r="AB27" s="945">
        <v>20.542999999999999</v>
      </c>
      <c r="AC27" s="945">
        <v>21.843</v>
      </c>
      <c r="AD27" s="945">
        <v>22.204000000000001</v>
      </c>
      <c r="AE27" s="959">
        <v>21.08</v>
      </c>
      <c r="AF27" s="945">
        <v>-5.0621509637903301</v>
      </c>
      <c r="AG27" s="943" t="s">
        <v>80</v>
      </c>
      <c r="AH27" s="798">
        <v>6.1429999999999998</v>
      </c>
      <c r="AI27" s="773">
        <v>1.5875640813626717</v>
      </c>
      <c r="AJ27" s="767" t="s">
        <v>16</v>
      </c>
    </row>
    <row r="28" spans="1:36" ht="12.75" customHeight="1">
      <c r="A28" s="806" t="s">
        <v>92</v>
      </c>
      <c r="B28" s="812" t="s">
        <v>142</v>
      </c>
      <c r="C28" s="812" t="s">
        <v>142</v>
      </c>
      <c r="D28" s="812"/>
      <c r="E28" s="807" t="s">
        <v>142</v>
      </c>
      <c r="F28" s="807" t="s">
        <v>142</v>
      </c>
      <c r="G28" s="807" t="s">
        <v>142</v>
      </c>
      <c r="H28" s="807" t="s">
        <v>142</v>
      </c>
      <c r="I28" s="807" t="s">
        <v>142</v>
      </c>
      <c r="J28" s="807" t="s">
        <v>142</v>
      </c>
      <c r="K28" s="807" t="s">
        <v>142</v>
      </c>
      <c r="L28" s="807" t="s">
        <v>142</v>
      </c>
      <c r="M28" s="807" t="s">
        <v>142</v>
      </c>
      <c r="N28" s="807">
        <v>0.5</v>
      </c>
      <c r="O28" s="807">
        <v>0.5</v>
      </c>
      <c r="P28" s="807">
        <v>0.5</v>
      </c>
      <c r="Q28" s="807">
        <v>0.5</v>
      </c>
      <c r="R28" s="807">
        <v>0.50396059999999998</v>
      </c>
      <c r="S28" s="807">
        <v>0.48450380000000004</v>
      </c>
      <c r="T28" s="807">
        <v>0.4535498</v>
      </c>
      <c r="U28" s="807">
        <v>0.477576</v>
      </c>
      <c r="V28" s="807">
        <v>0.44971740000000004</v>
      </c>
      <c r="W28" s="807">
        <v>0.41286740000000005</v>
      </c>
      <c r="X28" s="807">
        <v>0.3826504</v>
      </c>
      <c r="Y28" s="807">
        <v>0.36348840000000004</v>
      </c>
      <c r="Z28" s="807">
        <v>0.35950860000000001</v>
      </c>
      <c r="AA28" s="807">
        <v>0.35007500000000003</v>
      </c>
      <c r="AB28" s="816">
        <v>0.3710058</v>
      </c>
      <c r="AC28" s="816">
        <v>0.39075739999999998</v>
      </c>
      <c r="AD28" s="989">
        <v>0.39164180000000004</v>
      </c>
      <c r="AE28" s="990">
        <v>0.41599999999999998</v>
      </c>
      <c r="AF28" s="807">
        <v>6.2195097663221759</v>
      </c>
      <c r="AG28" s="806" t="s">
        <v>92</v>
      </c>
      <c r="AH28" s="959">
        <v>21.08</v>
      </c>
      <c r="AI28" s="945">
        <v>-5.0621509637903301</v>
      </c>
      <c r="AJ28" s="943" t="s">
        <v>80</v>
      </c>
    </row>
    <row r="29" spans="1:36" ht="12.75" customHeight="1">
      <c r="A29" s="943" t="s">
        <v>101</v>
      </c>
      <c r="B29" s="944">
        <v>1.84</v>
      </c>
      <c r="C29" s="944">
        <v>5.19</v>
      </c>
      <c r="D29" s="945">
        <v>5.0620000000000003</v>
      </c>
      <c r="E29" s="945">
        <v>3.18</v>
      </c>
      <c r="F29" s="945">
        <v>2.5579999999999998</v>
      </c>
      <c r="G29" s="945">
        <v>2.4710000000000001</v>
      </c>
      <c r="H29" s="945">
        <v>2.8010000000000002</v>
      </c>
      <c r="I29" s="945">
        <v>2.9359999999999999</v>
      </c>
      <c r="J29" s="945">
        <v>2.6619999999999999</v>
      </c>
      <c r="K29" s="945">
        <v>2.2959999999999998</v>
      </c>
      <c r="L29" s="945">
        <v>2.258</v>
      </c>
      <c r="M29" s="945">
        <v>1.6359999999999999</v>
      </c>
      <c r="N29" s="945">
        <v>1.3919999999999999</v>
      </c>
      <c r="O29" s="945">
        <v>1.77</v>
      </c>
      <c r="P29" s="945">
        <v>1.78</v>
      </c>
      <c r="Q29" s="945">
        <v>1.59</v>
      </c>
      <c r="R29" s="945">
        <v>1.8979999999999999</v>
      </c>
      <c r="S29" s="945">
        <v>2.21</v>
      </c>
      <c r="T29" s="945">
        <v>2.0270000000000001</v>
      </c>
      <c r="U29" s="945">
        <v>1.849</v>
      </c>
      <c r="V29" s="945">
        <v>1.72</v>
      </c>
      <c r="W29" s="945">
        <v>1.2430000000000001</v>
      </c>
      <c r="X29" s="945">
        <v>0.996</v>
      </c>
      <c r="Y29" s="945">
        <v>0.879</v>
      </c>
      <c r="Z29" s="945">
        <v>0.78500000000000003</v>
      </c>
      <c r="AA29" s="945">
        <v>0.82899999999999996</v>
      </c>
      <c r="AB29" s="945">
        <v>0.98399999999999999</v>
      </c>
      <c r="AC29" s="945">
        <v>1.0289999999999999</v>
      </c>
      <c r="AD29" s="945">
        <v>1.131</v>
      </c>
      <c r="AE29" s="959">
        <v>1.087</v>
      </c>
      <c r="AF29" s="945">
        <v>-3.8903625110521745</v>
      </c>
      <c r="AG29" s="943" t="s">
        <v>101</v>
      </c>
      <c r="AH29" s="990">
        <v>0.41599999999999998</v>
      </c>
      <c r="AI29" s="807">
        <v>6.2195097663221759</v>
      </c>
      <c r="AJ29" s="806" t="s">
        <v>92</v>
      </c>
    </row>
    <row r="30" spans="1:36" ht="12.75" customHeight="1">
      <c r="A30" s="806" t="s">
        <v>83</v>
      </c>
      <c r="B30" s="815" t="s">
        <v>142</v>
      </c>
      <c r="C30" s="815" t="s">
        <v>142</v>
      </c>
      <c r="D30" s="815" t="s">
        <v>142</v>
      </c>
      <c r="E30" s="816" t="s">
        <v>142</v>
      </c>
      <c r="F30" s="816" t="s">
        <v>142</v>
      </c>
      <c r="G30" s="816" t="s">
        <v>142</v>
      </c>
      <c r="H30" s="816" t="s">
        <v>142</v>
      </c>
      <c r="I30" s="816" t="s">
        <v>142</v>
      </c>
      <c r="J30" s="816" t="s">
        <v>142</v>
      </c>
      <c r="K30" s="816" t="s">
        <v>142</v>
      </c>
      <c r="L30" s="816" t="s">
        <v>142</v>
      </c>
      <c r="M30" s="816" t="s">
        <v>142</v>
      </c>
      <c r="N30" s="816" t="s">
        <v>142</v>
      </c>
      <c r="O30" s="816" t="s">
        <v>142</v>
      </c>
      <c r="P30" s="816" t="s">
        <v>142</v>
      </c>
      <c r="Q30" s="816" t="s">
        <v>142</v>
      </c>
      <c r="R30" s="816" t="s">
        <v>142</v>
      </c>
      <c r="S30" s="816" t="s">
        <v>142</v>
      </c>
      <c r="T30" s="816" t="s">
        <v>142</v>
      </c>
      <c r="U30" s="816" t="s">
        <v>142</v>
      </c>
      <c r="V30" s="816" t="s">
        <v>142</v>
      </c>
      <c r="W30" s="816" t="s">
        <v>142</v>
      </c>
      <c r="X30" s="816" t="s">
        <v>142</v>
      </c>
      <c r="Y30" s="816" t="s">
        <v>142</v>
      </c>
      <c r="Z30" s="816" t="s">
        <v>142</v>
      </c>
      <c r="AA30" s="816" t="s">
        <v>142</v>
      </c>
      <c r="AB30" s="816" t="s">
        <v>142</v>
      </c>
      <c r="AC30" s="816" t="s">
        <v>142</v>
      </c>
      <c r="AD30" s="816" t="s">
        <v>142</v>
      </c>
      <c r="AE30" s="813" t="s">
        <v>142</v>
      </c>
      <c r="AF30" s="807" t="s">
        <v>142</v>
      </c>
      <c r="AG30" s="806" t="s">
        <v>83</v>
      </c>
      <c r="AH30" s="959">
        <v>1.087</v>
      </c>
      <c r="AI30" s="945">
        <v>-3.8903625110521745</v>
      </c>
      <c r="AJ30" s="943" t="s">
        <v>101</v>
      </c>
    </row>
    <row r="31" spans="1:36" ht="12.75" customHeight="1">
      <c r="A31" s="943" t="s">
        <v>85</v>
      </c>
      <c r="B31" s="944"/>
      <c r="C31" s="944"/>
      <c r="D31" s="945"/>
      <c r="E31" s="945"/>
      <c r="F31" s="945"/>
      <c r="G31" s="945">
        <v>5.4</v>
      </c>
      <c r="H31" s="945">
        <v>6.2</v>
      </c>
      <c r="I31" s="950">
        <v>6.1</v>
      </c>
      <c r="J31" s="950">
        <v>5.8</v>
      </c>
      <c r="K31" s="950">
        <v>5.5</v>
      </c>
      <c r="L31" s="950">
        <v>5.6</v>
      </c>
      <c r="M31" s="950">
        <v>5.2</v>
      </c>
      <c r="N31" s="950">
        <v>4.5999999999999996</v>
      </c>
      <c r="O31" s="950">
        <v>4.8</v>
      </c>
      <c r="P31" s="950">
        <v>4.7</v>
      </c>
      <c r="Q31" s="950">
        <v>5</v>
      </c>
      <c r="R31" s="950">
        <v>5.2</v>
      </c>
      <c r="S31" s="950">
        <v>5.3</v>
      </c>
      <c r="T31" s="950">
        <v>5.6</v>
      </c>
      <c r="U31" s="950">
        <v>5.3</v>
      </c>
      <c r="V31" s="950">
        <v>5.3</v>
      </c>
      <c r="W31" s="950">
        <v>5.35</v>
      </c>
      <c r="X31" s="950">
        <v>5.0374999999999996</v>
      </c>
      <c r="Y31" s="950">
        <v>4.96</v>
      </c>
      <c r="Z31" s="950">
        <v>4.2089999999999996</v>
      </c>
      <c r="AA31" s="950">
        <v>4.8940000000000001</v>
      </c>
      <c r="AB31" s="950">
        <v>4.4725000000000001</v>
      </c>
      <c r="AC31" s="950">
        <v>4.9660000000000002</v>
      </c>
      <c r="AD31" s="950">
        <v>4.5854999999999997</v>
      </c>
      <c r="AE31" s="961">
        <v>4.7910000000000004</v>
      </c>
      <c r="AF31" s="950">
        <v>4.4815178279359031</v>
      </c>
      <c r="AG31" s="943" t="s">
        <v>85</v>
      </c>
      <c r="AH31" s="797">
        <v>0</v>
      </c>
      <c r="AI31" s="789" t="s">
        <v>142</v>
      </c>
      <c r="AJ31" s="943" t="s">
        <v>88</v>
      </c>
    </row>
    <row r="32" spans="1:36" ht="12.75" customHeight="1">
      <c r="A32" s="806" t="s">
        <v>87</v>
      </c>
      <c r="B32" s="812" t="s">
        <v>142</v>
      </c>
      <c r="C32" s="812" t="s">
        <v>142</v>
      </c>
      <c r="D32" s="812" t="s">
        <v>142</v>
      </c>
      <c r="E32" s="807" t="s">
        <v>142</v>
      </c>
      <c r="F32" s="807" t="s">
        <v>142</v>
      </c>
      <c r="G32" s="807" t="s">
        <v>142</v>
      </c>
      <c r="H32" s="807" t="s">
        <v>142</v>
      </c>
      <c r="I32" s="807" t="s">
        <v>142</v>
      </c>
      <c r="J32" s="807" t="s">
        <v>142</v>
      </c>
      <c r="K32" s="807" t="s">
        <v>142</v>
      </c>
      <c r="L32" s="807" t="s">
        <v>142</v>
      </c>
      <c r="M32" s="807" t="s">
        <v>142</v>
      </c>
      <c r="N32" s="807" t="s">
        <v>142</v>
      </c>
      <c r="O32" s="807" t="s">
        <v>142</v>
      </c>
      <c r="P32" s="807" t="s">
        <v>142</v>
      </c>
      <c r="Q32" s="807" t="s">
        <v>142</v>
      </c>
      <c r="R32" s="807" t="s">
        <v>142</v>
      </c>
      <c r="S32" s="807" t="s">
        <v>142</v>
      </c>
      <c r="T32" s="807" t="s">
        <v>142</v>
      </c>
      <c r="U32" s="807" t="s">
        <v>142</v>
      </c>
      <c r="V32" s="807" t="s">
        <v>142</v>
      </c>
      <c r="W32" s="807" t="s">
        <v>142</v>
      </c>
      <c r="X32" s="807" t="s">
        <v>142</v>
      </c>
      <c r="Y32" s="807" t="s">
        <v>142</v>
      </c>
      <c r="Z32" s="807" t="s">
        <v>142</v>
      </c>
      <c r="AA32" s="807" t="s">
        <v>142</v>
      </c>
      <c r="AB32" s="807" t="s">
        <v>142</v>
      </c>
      <c r="AC32" s="807" t="s">
        <v>142</v>
      </c>
      <c r="AD32" s="807" t="s">
        <v>142</v>
      </c>
      <c r="AE32" s="813" t="s">
        <v>142</v>
      </c>
      <c r="AF32" s="807" t="s">
        <v>142</v>
      </c>
      <c r="AG32" s="806" t="s">
        <v>87</v>
      </c>
      <c r="AH32" s="813">
        <v>0</v>
      </c>
      <c r="AI32" s="807" t="s">
        <v>142</v>
      </c>
      <c r="AJ32" s="806" t="s">
        <v>83</v>
      </c>
    </row>
    <row r="33" spans="1:36" ht="12.75" customHeight="1">
      <c r="A33" s="943" t="s">
        <v>88</v>
      </c>
      <c r="B33" s="944" t="s">
        <v>142</v>
      </c>
      <c r="C33" s="944" t="s">
        <v>142</v>
      </c>
      <c r="D33" s="945" t="s">
        <v>142</v>
      </c>
      <c r="E33" s="945" t="s">
        <v>142</v>
      </c>
      <c r="F33" s="945" t="s">
        <v>142</v>
      </c>
      <c r="G33" s="945" t="s">
        <v>142</v>
      </c>
      <c r="H33" s="945" t="s">
        <v>142</v>
      </c>
      <c r="I33" s="945" t="s">
        <v>142</v>
      </c>
      <c r="J33" s="945" t="s">
        <v>142</v>
      </c>
      <c r="K33" s="945" t="s">
        <v>142</v>
      </c>
      <c r="L33" s="945" t="s">
        <v>142</v>
      </c>
      <c r="M33" s="945" t="s">
        <v>142</v>
      </c>
      <c r="N33" s="945" t="s">
        <v>142</v>
      </c>
      <c r="O33" s="945" t="s">
        <v>142</v>
      </c>
      <c r="P33" s="945" t="s">
        <v>142</v>
      </c>
      <c r="Q33" s="945" t="s">
        <v>142</v>
      </c>
      <c r="R33" s="945" t="s">
        <v>142</v>
      </c>
      <c r="S33" s="945" t="s">
        <v>142</v>
      </c>
      <c r="T33" s="945" t="s">
        <v>142</v>
      </c>
      <c r="U33" s="945" t="s">
        <v>142</v>
      </c>
      <c r="V33" s="945" t="s">
        <v>142</v>
      </c>
      <c r="W33" s="945" t="s">
        <v>142</v>
      </c>
      <c r="X33" s="945" t="s">
        <v>142</v>
      </c>
      <c r="Y33" s="945" t="s">
        <v>142</v>
      </c>
      <c r="Z33" s="945" t="s">
        <v>142</v>
      </c>
      <c r="AA33" s="945" t="s">
        <v>142</v>
      </c>
      <c r="AB33" s="945" t="s">
        <v>142</v>
      </c>
      <c r="AC33" s="945" t="s">
        <v>142</v>
      </c>
      <c r="AD33" s="945" t="s">
        <v>142</v>
      </c>
      <c r="AE33" s="797" t="s">
        <v>142</v>
      </c>
      <c r="AF33" s="789" t="s">
        <v>142</v>
      </c>
      <c r="AG33" s="943" t="s">
        <v>88</v>
      </c>
      <c r="AH33" s="961">
        <v>4.7910000000000004</v>
      </c>
      <c r="AI33" s="950">
        <v>4.4815178279359031</v>
      </c>
      <c r="AJ33" s="943" t="s">
        <v>85</v>
      </c>
    </row>
    <row r="34" spans="1:36" ht="12.75" customHeight="1">
      <c r="A34" s="946" t="s">
        <v>13</v>
      </c>
      <c r="B34" s="947">
        <v>2.665</v>
      </c>
      <c r="C34" s="947">
        <v>10.077999999999999</v>
      </c>
      <c r="D34" s="948">
        <v>11.1</v>
      </c>
      <c r="E34" s="948">
        <v>11.07</v>
      </c>
      <c r="F34" s="948">
        <v>11</v>
      </c>
      <c r="G34" s="948">
        <v>11.6</v>
      </c>
      <c r="H34" s="948">
        <v>12</v>
      </c>
      <c r="I34" s="948">
        <v>11.1</v>
      </c>
      <c r="J34" s="948">
        <v>11.622999999999999</v>
      </c>
      <c r="K34" s="948">
        <v>11.234999999999999</v>
      </c>
      <c r="L34" s="948">
        <v>11.666</v>
      </c>
      <c r="M34" s="948">
        <v>11.637</v>
      </c>
      <c r="N34" s="948">
        <v>11.423999999999999</v>
      </c>
      <c r="O34" s="948">
        <v>11.561999999999999</v>
      </c>
      <c r="P34" s="948">
        <v>10.935</v>
      </c>
      <c r="Q34" s="948">
        <v>10.484</v>
      </c>
      <c r="R34" s="948">
        <v>10.657</v>
      </c>
      <c r="S34" s="948">
        <v>10.78</v>
      </c>
      <c r="T34" s="948">
        <v>10.776999999999999</v>
      </c>
      <c r="U34" s="948">
        <v>10.228999999999999</v>
      </c>
      <c r="V34" s="948">
        <v>10.18</v>
      </c>
      <c r="W34" s="948">
        <v>10.185</v>
      </c>
      <c r="X34" s="948">
        <v>10.164999999999999</v>
      </c>
      <c r="Y34" s="948">
        <v>10.1</v>
      </c>
      <c r="Z34" s="948">
        <v>9.9139999999999997</v>
      </c>
      <c r="AA34" s="953">
        <v>9.9614106898867565</v>
      </c>
      <c r="AB34" s="953">
        <v>9.9918035632955853</v>
      </c>
      <c r="AC34" s="953">
        <v>9.9557380843941132</v>
      </c>
      <c r="AD34" s="970">
        <v>9.9696507791921523</v>
      </c>
      <c r="AE34" s="987">
        <v>9.9723974756272824</v>
      </c>
      <c r="AF34" s="987">
        <v>2.7550578209442733E-2</v>
      </c>
      <c r="AG34" s="946" t="s">
        <v>13</v>
      </c>
      <c r="AH34" s="964">
        <v>9.9723974756272824</v>
      </c>
      <c r="AI34" s="964">
        <v>2.7550578209442733E-2</v>
      </c>
      <c r="AJ34" s="946" t="s">
        <v>13</v>
      </c>
    </row>
    <row r="35" spans="1:36" ht="12.75" customHeight="1">
      <c r="A35" s="916" t="s">
        <v>270</v>
      </c>
      <c r="B35" s="933" t="s">
        <v>142</v>
      </c>
      <c r="C35" s="933" t="s">
        <v>142</v>
      </c>
      <c r="D35" s="941" t="s">
        <v>142</v>
      </c>
      <c r="E35" s="941" t="s">
        <v>142</v>
      </c>
      <c r="F35" s="941" t="s">
        <v>142</v>
      </c>
      <c r="G35" s="941" t="s">
        <v>142</v>
      </c>
      <c r="H35" s="941" t="s">
        <v>142</v>
      </c>
      <c r="I35" s="941" t="s">
        <v>142</v>
      </c>
      <c r="J35" s="941" t="s">
        <v>142</v>
      </c>
      <c r="K35" s="941" t="s">
        <v>142</v>
      </c>
      <c r="L35" s="941" t="s">
        <v>142</v>
      </c>
      <c r="M35" s="941" t="s">
        <v>142</v>
      </c>
      <c r="N35" s="941" t="s">
        <v>142</v>
      </c>
      <c r="O35" s="941" t="s">
        <v>142</v>
      </c>
      <c r="P35" s="941" t="s">
        <v>142</v>
      </c>
      <c r="Q35" s="941" t="s">
        <v>142</v>
      </c>
      <c r="R35" s="941" t="s">
        <v>142</v>
      </c>
      <c r="S35" s="941" t="s">
        <v>142</v>
      </c>
      <c r="T35" s="941" t="s">
        <v>142</v>
      </c>
      <c r="U35" s="941" t="s">
        <v>142</v>
      </c>
      <c r="V35" s="941" t="s">
        <v>142</v>
      </c>
      <c r="W35" s="941" t="s">
        <v>142</v>
      </c>
      <c r="X35" s="941" t="s">
        <v>142</v>
      </c>
      <c r="Y35" s="941" t="s">
        <v>142</v>
      </c>
      <c r="Z35" s="941" t="s">
        <v>142</v>
      </c>
      <c r="AA35" s="941" t="s">
        <v>142</v>
      </c>
      <c r="AB35" s="941" t="s">
        <v>142</v>
      </c>
      <c r="AC35" s="941" t="s">
        <v>142</v>
      </c>
      <c r="AD35" s="773" t="s">
        <v>142</v>
      </c>
      <c r="AE35" s="797" t="s">
        <v>142</v>
      </c>
      <c r="AF35" s="789" t="s">
        <v>142</v>
      </c>
      <c r="AG35" s="913" t="s">
        <v>270</v>
      </c>
      <c r="AH35" s="773"/>
      <c r="AI35" s="773"/>
      <c r="AJ35" s="991"/>
    </row>
    <row r="36" spans="1:36" ht="12.75" customHeight="1">
      <c r="A36" s="946" t="s">
        <v>223</v>
      </c>
      <c r="B36" s="947" t="s">
        <v>142</v>
      </c>
      <c r="C36" s="947" t="s">
        <v>142</v>
      </c>
      <c r="D36" s="948" t="s">
        <v>142</v>
      </c>
      <c r="E36" s="948" t="s">
        <v>142</v>
      </c>
      <c r="F36" s="948" t="s">
        <v>142</v>
      </c>
      <c r="G36" s="948" t="s">
        <v>142</v>
      </c>
      <c r="H36" s="948" t="s">
        <v>142</v>
      </c>
      <c r="I36" s="948" t="s">
        <v>142</v>
      </c>
      <c r="J36" s="948" t="s">
        <v>142</v>
      </c>
      <c r="K36" s="948" t="s">
        <v>142</v>
      </c>
      <c r="L36" s="948" t="s">
        <v>142</v>
      </c>
      <c r="M36" s="948" t="s">
        <v>142</v>
      </c>
      <c r="N36" s="948" t="s">
        <v>142</v>
      </c>
      <c r="O36" s="948" t="s">
        <v>142</v>
      </c>
      <c r="P36" s="948" t="s">
        <v>142</v>
      </c>
      <c r="Q36" s="948" t="s">
        <v>142</v>
      </c>
      <c r="R36" s="948" t="s">
        <v>142</v>
      </c>
      <c r="S36" s="948" t="s">
        <v>142</v>
      </c>
      <c r="T36" s="948" t="s">
        <v>142</v>
      </c>
      <c r="U36" s="948" t="s">
        <v>142</v>
      </c>
      <c r="V36" s="948" t="s">
        <v>142</v>
      </c>
      <c r="W36" s="948" t="s">
        <v>142</v>
      </c>
      <c r="X36" s="948" t="s">
        <v>142</v>
      </c>
      <c r="Y36" s="948" t="s">
        <v>142</v>
      </c>
      <c r="Z36" s="948" t="s">
        <v>142</v>
      </c>
      <c r="AA36" s="948" t="s">
        <v>142</v>
      </c>
      <c r="AB36" s="948" t="s">
        <v>142</v>
      </c>
      <c r="AC36" s="948" t="s">
        <v>142</v>
      </c>
      <c r="AD36" s="948" t="s">
        <v>142</v>
      </c>
      <c r="AE36" s="813" t="s">
        <v>142</v>
      </c>
      <c r="AF36" s="807" t="s">
        <v>142</v>
      </c>
      <c r="AG36" s="891" t="s">
        <v>223</v>
      </c>
      <c r="AH36" s="773"/>
      <c r="AI36" s="773"/>
      <c r="AJ36" s="991"/>
    </row>
    <row r="37" spans="1:36" ht="12.75" customHeight="1">
      <c r="A37" s="767" t="s">
        <v>145</v>
      </c>
      <c r="B37" s="930" t="s">
        <v>142</v>
      </c>
      <c r="C37" s="930" t="s">
        <v>142</v>
      </c>
      <c r="D37" s="773" t="s">
        <v>142</v>
      </c>
      <c r="E37" s="773" t="s">
        <v>142</v>
      </c>
      <c r="F37" s="773" t="s">
        <v>142</v>
      </c>
      <c r="G37" s="773" t="s">
        <v>142</v>
      </c>
      <c r="H37" s="773" t="s">
        <v>142</v>
      </c>
      <c r="I37" s="773" t="s">
        <v>142</v>
      </c>
      <c r="J37" s="773" t="s">
        <v>142</v>
      </c>
      <c r="K37" s="773" t="s">
        <v>142</v>
      </c>
      <c r="L37" s="773" t="s">
        <v>142</v>
      </c>
      <c r="M37" s="773" t="s">
        <v>142</v>
      </c>
      <c r="N37" s="773" t="s">
        <v>142</v>
      </c>
      <c r="O37" s="773" t="s">
        <v>142</v>
      </c>
      <c r="P37" s="773">
        <v>0.04</v>
      </c>
      <c r="Q37" s="773">
        <v>0.121</v>
      </c>
      <c r="R37" s="773">
        <v>0.12</v>
      </c>
      <c r="S37" s="773">
        <v>0.14899999999999999</v>
      </c>
      <c r="T37" s="773">
        <v>0.17</v>
      </c>
      <c r="U37" s="773">
        <v>0.16400000000000001</v>
      </c>
      <c r="V37" s="773">
        <v>0.16400000000000001</v>
      </c>
      <c r="W37" s="773">
        <v>0.14399999999999999</v>
      </c>
      <c r="X37" s="773">
        <v>0.123</v>
      </c>
      <c r="Y37" s="773">
        <v>9.8000000000000004E-2</v>
      </c>
      <c r="Z37" s="773">
        <v>3.6999999999999998E-2</v>
      </c>
      <c r="AA37" s="786" t="s">
        <v>142</v>
      </c>
      <c r="AB37" s="773">
        <v>6.0000000000000001E-3</v>
      </c>
      <c r="AC37" s="773">
        <v>6.0000000000000001E-3</v>
      </c>
      <c r="AD37" s="773">
        <v>0.01</v>
      </c>
      <c r="AE37" s="798">
        <v>1.2999999999999999E-2</v>
      </c>
      <c r="AF37" s="773">
        <v>29.999999999999972</v>
      </c>
      <c r="AG37" s="912" t="s">
        <v>145</v>
      </c>
      <c r="AH37" s="773"/>
      <c r="AI37" s="773"/>
      <c r="AJ37" s="991"/>
    </row>
    <row r="38" spans="1:36" ht="12.75" customHeight="1">
      <c r="A38" s="946" t="s">
        <v>224</v>
      </c>
      <c r="B38" s="947" t="s">
        <v>142</v>
      </c>
      <c r="C38" s="947" t="s">
        <v>142</v>
      </c>
      <c r="D38" s="948" t="s">
        <v>142</v>
      </c>
      <c r="E38" s="948" t="s">
        <v>142</v>
      </c>
      <c r="F38" s="948" t="s">
        <v>142</v>
      </c>
      <c r="G38" s="948" t="s">
        <v>142</v>
      </c>
      <c r="H38" s="948" t="s">
        <v>142</v>
      </c>
      <c r="I38" s="948" t="s">
        <v>142</v>
      </c>
      <c r="J38" s="948" t="s">
        <v>142</v>
      </c>
      <c r="K38" s="948" t="s">
        <v>142</v>
      </c>
      <c r="L38" s="948" t="s">
        <v>142</v>
      </c>
      <c r="M38" s="948" t="s">
        <v>142</v>
      </c>
      <c r="N38" s="948" t="s">
        <v>142</v>
      </c>
      <c r="O38" s="948" t="s">
        <v>142</v>
      </c>
      <c r="P38" s="948" t="s">
        <v>142</v>
      </c>
      <c r="Q38" s="948" t="s">
        <v>142</v>
      </c>
      <c r="R38" s="948" t="s">
        <v>142</v>
      </c>
      <c r="S38" s="948" t="s">
        <v>142</v>
      </c>
      <c r="T38" s="948">
        <v>0.47</v>
      </c>
      <c r="U38" s="948">
        <v>0.45200000000000001</v>
      </c>
      <c r="V38" s="948">
        <v>0.46200000000000002</v>
      </c>
      <c r="W38" s="948">
        <v>0.40200000000000002</v>
      </c>
      <c r="X38" s="948">
        <v>0.38100000000000001</v>
      </c>
      <c r="Y38" s="948">
        <v>0.311</v>
      </c>
      <c r="Z38" s="948">
        <v>0.29499999999999998</v>
      </c>
      <c r="AA38" s="948">
        <v>0.38100000000000001</v>
      </c>
      <c r="AB38" s="948">
        <v>0.35499999999999998</v>
      </c>
      <c r="AC38" s="948">
        <v>0.40500000000000003</v>
      </c>
      <c r="AD38" s="948">
        <v>0.44700000000000001</v>
      </c>
      <c r="AE38" s="951">
        <v>0.48099999999999998</v>
      </c>
      <c r="AF38" s="948">
        <v>7.6062639821029165</v>
      </c>
      <c r="AG38" s="891" t="s">
        <v>224</v>
      </c>
      <c r="AH38" s="773"/>
      <c r="AI38" s="773"/>
      <c r="AJ38" s="991"/>
    </row>
    <row r="39" spans="1:36" ht="12.75" customHeight="1">
      <c r="A39" s="768" t="s">
        <v>146</v>
      </c>
      <c r="B39" s="932">
        <v>1.3</v>
      </c>
      <c r="C39" s="932">
        <v>13.8</v>
      </c>
      <c r="D39" s="774" t="s">
        <v>99</v>
      </c>
      <c r="E39" s="774" t="s">
        <v>214</v>
      </c>
      <c r="F39" s="774">
        <v>3.1</v>
      </c>
      <c r="G39" s="774">
        <v>3.1</v>
      </c>
      <c r="H39" s="774">
        <v>3.1</v>
      </c>
      <c r="I39" s="774">
        <v>3.2</v>
      </c>
      <c r="J39" s="774">
        <v>4</v>
      </c>
      <c r="K39" s="774">
        <v>21</v>
      </c>
      <c r="L39" s="774">
        <v>39.700000000000003</v>
      </c>
      <c r="M39" s="774">
        <v>43.478000000000002</v>
      </c>
      <c r="N39" s="774">
        <v>53.134</v>
      </c>
      <c r="O39" s="774">
        <v>43.518000000000001</v>
      </c>
      <c r="P39" s="774">
        <v>47.691000000000003</v>
      </c>
      <c r="Q39" s="774">
        <v>18.127734</v>
      </c>
      <c r="R39" s="774">
        <v>11.927372999999999</v>
      </c>
      <c r="S39" s="774">
        <v>5.735652</v>
      </c>
      <c r="T39" s="774">
        <v>5.8407600000000004</v>
      </c>
      <c r="U39" s="774">
        <v>12.893485</v>
      </c>
      <c r="V39" s="774">
        <v>36.397748999999997</v>
      </c>
      <c r="W39" s="774">
        <v>45.111153000000002</v>
      </c>
      <c r="X39" s="774">
        <v>39.636437999999998</v>
      </c>
      <c r="Y39" s="774">
        <v>44.69</v>
      </c>
      <c r="Z39" s="774">
        <v>37.268706999999999</v>
      </c>
      <c r="AA39" s="774">
        <v>26.713999999999999</v>
      </c>
      <c r="AB39" s="774">
        <v>15.331</v>
      </c>
      <c r="AC39" s="774">
        <v>52.514451999999999</v>
      </c>
      <c r="AD39" s="774">
        <v>52.683</v>
      </c>
      <c r="AE39" s="801">
        <v>52.095254000000004</v>
      </c>
      <c r="AF39" s="774">
        <v>-1.1156274319989308</v>
      </c>
      <c r="AG39" s="911" t="s">
        <v>146</v>
      </c>
      <c r="AH39" s="773"/>
      <c r="AI39" s="773"/>
      <c r="AJ39" s="991"/>
    </row>
    <row r="40" spans="1:36" ht="12.75" customHeight="1">
      <c r="A40" s="946" t="s">
        <v>147</v>
      </c>
      <c r="B40" s="960" t="s">
        <v>142</v>
      </c>
      <c r="C40" s="960" t="s">
        <v>142</v>
      </c>
      <c r="D40" s="954" t="s">
        <v>142</v>
      </c>
      <c r="E40" s="954" t="s">
        <v>142</v>
      </c>
      <c r="F40" s="954" t="s">
        <v>142</v>
      </c>
      <c r="G40" s="954" t="s">
        <v>142</v>
      </c>
      <c r="H40" s="954" t="s">
        <v>142</v>
      </c>
      <c r="I40" s="954" t="s">
        <v>142</v>
      </c>
      <c r="J40" s="954" t="s">
        <v>142</v>
      </c>
      <c r="K40" s="954" t="s">
        <v>142</v>
      </c>
      <c r="L40" s="954" t="s">
        <v>142</v>
      </c>
      <c r="M40" s="954" t="s">
        <v>142</v>
      </c>
      <c r="N40" s="954" t="s">
        <v>142</v>
      </c>
      <c r="O40" s="954" t="s">
        <v>142</v>
      </c>
      <c r="P40" s="954" t="s">
        <v>142</v>
      </c>
      <c r="Q40" s="954" t="s">
        <v>142</v>
      </c>
      <c r="R40" s="954" t="s">
        <v>142</v>
      </c>
      <c r="S40" s="954" t="s">
        <v>142</v>
      </c>
      <c r="T40" s="954" t="s">
        <v>142</v>
      </c>
      <c r="U40" s="954" t="s">
        <v>142</v>
      </c>
      <c r="V40" s="954" t="s">
        <v>142</v>
      </c>
      <c r="W40" s="954" t="s">
        <v>142</v>
      </c>
      <c r="X40" s="954" t="s">
        <v>142</v>
      </c>
      <c r="Y40" s="954" t="s">
        <v>142</v>
      </c>
      <c r="Z40" s="954" t="s">
        <v>142</v>
      </c>
      <c r="AA40" s="948" t="s">
        <v>142</v>
      </c>
      <c r="AB40" s="948" t="s">
        <v>142</v>
      </c>
      <c r="AC40" s="948" t="s">
        <v>142</v>
      </c>
      <c r="AD40" s="948" t="s">
        <v>142</v>
      </c>
      <c r="AE40" s="951" t="s">
        <v>142</v>
      </c>
      <c r="AF40" s="948" t="s">
        <v>142</v>
      </c>
      <c r="AG40" s="891" t="s">
        <v>147</v>
      </c>
      <c r="AH40" s="773"/>
      <c r="AI40" s="773"/>
      <c r="AJ40" s="991"/>
    </row>
    <row r="41" spans="1:36" ht="12.75" customHeight="1">
      <c r="A41" s="767" t="s">
        <v>148</v>
      </c>
      <c r="B41" s="930" t="s">
        <v>142</v>
      </c>
      <c r="C41" s="930" t="s">
        <v>142</v>
      </c>
      <c r="D41" s="773">
        <v>2.0550000000000002</v>
      </c>
      <c r="E41" s="773">
        <v>2.5049999999999999</v>
      </c>
      <c r="F41" s="773">
        <v>3.0710000000000002</v>
      </c>
      <c r="G41" s="773">
        <v>3.39</v>
      </c>
      <c r="H41" s="773">
        <v>4.0490000000000004</v>
      </c>
      <c r="I41" s="773">
        <v>5.2610000000000001</v>
      </c>
      <c r="J41" s="773">
        <v>5.1260000000000003</v>
      </c>
      <c r="K41" s="773">
        <v>4.16</v>
      </c>
      <c r="L41" s="773">
        <v>4.1360000000000001</v>
      </c>
      <c r="M41" s="773">
        <v>3.9809999999999999</v>
      </c>
      <c r="N41" s="773">
        <v>3.4849999999999999</v>
      </c>
      <c r="O41" s="773">
        <v>3.681</v>
      </c>
      <c r="P41" s="773">
        <v>3.601</v>
      </c>
      <c r="Q41" s="773">
        <v>3.4940000000000002</v>
      </c>
      <c r="R41" s="773">
        <v>4.7210000000000001</v>
      </c>
      <c r="S41" s="773">
        <v>4.59</v>
      </c>
      <c r="T41" s="773">
        <v>4.5289999999999999</v>
      </c>
      <c r="U41" s="773">
        <v>4.1920000000000002</v>
      </c>
      <c r="V41" s="773">
        <v>3.827</v>
      </c>
      <c r="W41" s="773">
        <v>3.8540000000000001</v>
      </c>
      <c r="X41" s="773">
        <v>3.4649999999999999</v>
      </c>
      <c r="Y41" s="773">
        <v>3.3719999999999999</v>
      </c>
      <c r="Z41" s="773">
        <v>3.1150000000000002</v>
      </c>
      <c r="AA41" s="773">
        <v>2.7240000000000002</v>
      </c>
      <c r="AB41" s="773">
        <v>2.8450000000000002</v>
      </c>
      <c r="AC41" s="773">
        <v>3.3769999999999998</v>
      </c>
      <c r="AD41" s="773">
        <v>3.8130000000000002</v>
      </c>
      <c r="AE41" s="798">
        <v>3.1109999999999998</v>
      </c>
      <c r="AF41" s="773">
        <v>-18.410700236034629</v>
      </c>
      <c r="AG41" s="912" t="s">
        <v>148</v>
      </c>
      <c r="AH41" s="773"/>
      <c r="AI41" s="773"/>
      <c r="AJ41" s="991"/>
    </row>
    <row r="42" spans="1:36" ht="12.75" customHeight="1">
      <c r="A42" s="956" t="s">
        <v>149</v>
      </c>
      <c r="B42" s="957">
        <v>1.2</v>
      </c>
      <c r="C42" s="957">
        <v>1.1000000000000001</v>
      </c>
      <c r="D42" s="962">
        <v>1.2</v>
      </c>
      <c r="E42" s="949">
        <v>1.2270000000000001</v>
      </c>
      <c r="F42" s="949">
        <v>1.2649999999999999</v>
      </c>
      <c r="G42" s="949">
        <v>1.2210000000000001</v>
      </c>
      <c r="H42" s="949">
        <v>1.2110000000000001</v>
      </c>
      <c r="I42" s="963">
        <v>1.248</v>
      </c>
      <c r="J42" s="949">
        <v>1.202</v>
      </c>
      <c r="K42" s="949">
        <v>0.28899999999999998</v>
      </c>
      <c r="L42" s="949">
        <v>0.23400000000000001</v>
      </c>
      <c r="M42" s="949">
        <v>0.23300000000000001</v>
      </c>
      <c r="N42" s="949">
        <v>0.216</v>
      </c>
      <c r="O42" s="949">
        <v>0.23</v>
      </c>
      <c r="P42" s="949">
        <v>0.22600000000000001</v>
      </c>
      <c r="Q42" s="949">
        <v>0.222</v>
      </c>
      <c r="R42" s="949">
        <v>0.23799999999999999</v>
      </c>
      <c r="S42" s="949">
        <v>0.22600000000000001</v>
      </c>
      <c r="T42" s="949">
        <v>0.25600000000000001</v>
      </c>
      <c r="U42" s="949">
        <v>0.217</v>
      </c>
      <c r="V42" s="949">
        <v>0.248</v>
      </c>
      <c r="W42" s="949">
        <v>0.23300000000000001</v>
      </c>
      <c r="X42" s="949">
        <v>0.218</v>
      </c>
      <c r="Y42" s="949">
        <v>0.20300000000000001</v>
      </c>
      <c r="Z42" s="949">
        <v>0.183</v>
      </c>
      <c r="AA42" s="949">
        <v>0.22800000000000001</v>
      </c>
      <c r="AB42" s="949">
        <v>0.23400000000000001</v>
      </c>
      <c r="AC42" s="981">
        <v>0.113</v>
      </c>
      <c r="AD42" s="949">
        <v>0.109</v>
      </c>
      <c r="AE42" s="958">
        <v>0.107</v>
      </c>
      <c r="AF42" s="949">
        <v>-1.8348623853211024</v>
      </c>
      <c r="AG42" s="910" t="s">
        <v>149</v>
      </c>
      <c r="AH42" s="773"/>
      <c r="AI42" s="773"/>
      <c r="AJ42" s="991"/>
    </row>
    <row r="43" spans="1:36" ht="12.75" customHeight="1">
      <c r="A43" s="915" t="s">
        <v>234</v>
      </c>
      <c r="B43" s="927"/>
      <c r="C43" s="927"/>
      <c r="D43" s="927"/>
      <c r="E43" s="927"/>
      <c r="F43" s="927"/>
      <c r="G43" s="927"/>
      <c r="H43" s="927"/>
      <c r="I43" s="927"/>
      <c r="J43" s="927"/>
      <c r="K43" s="927"/>
      <c r="L43" s="927"/>
      <c r="M43" s="927"/>
      <c r="N43" s="927"/>
      <c r="O43" s="927"/>
      <c r="P43" s="927"/>
      <c r="Q43" s="927"/>
      <c r="R43" s="927"/>
      <c r="S43"/>
      <c r="T43"/>
      <c r="U43"/>
      <c r="V43"/>
      <c r="W43"/>
      <c r="X43"/>
      <c r="Y43"/>
      <c r="Z43"/>
      <c r="AA43"/>
      <c r="AB43"/>
      <c r="AC43"/>
      <c r="AD43"/>
      <c r="AE43"/>
      <c r="AF43"/>
      <c r="AG43"/>
    </row>
    <row r="44" spans="1:36" ht="12.75" customHeight="1">
      <c r="A44" s="1142" t="s">
        <v>166</v>
      </c>
      <c r="B44" s="1142"/>
      <c r="C44" s="1142"/>
      <c r="D44" s="1142"/>
      <c r="E44" s="1142"/>
      <c r="F44" s="1142"/>
      <c r="G44" s="1142"/>
      <c r="H44" s="1142"/>
      <c r="I44" s="1142"/>
      <c r="J44" s="1142"/>
      <c r="K44" s="1142"/>
      <c r="L44" s="1142"/>
      <c r="M44" s="1142"/>
      <c r="N44" s="1142"/>
      <c r="O44" s="1142"/>
      <c r="P44" s="1142"/>
      <c r="Q44" s="1142"/>
      <c r="R44" s="1142"/>
      <c r="S44"/>
      <c r="T44"/>
      <c r="U44"/>
      <c r="V44"/>
      <c r="W44"/>
      <c r="X44"/>
      <c r="Y44"/>
      <c r="Z44"/>
      <c r="AA44"/>
      <c r="AB44" s="100"/>
      <c r="AC44" s="100"/>
      <c r="AD44" s="100"/>
      <c r="AE44" s="100"/>
      <c r="AF44" s="100"/>
      <c r="AG44" s="100"/>
    </row>
    <row r="45" spans="1:36" ht="15" customHeight="1">
      <c r="A45" s="982" t="s">
        <v>273</v>
      </c>
      <c r="B45" s="975"/>
      <c r="C45" s="975"/>
      <c r="D45" s="975"/>
      <c r="E45" s="975"/>
      <c r="F45" s="975"/>
      <c r="G45" s="975"/>
      <c r="H45" s="975"/>
      <c r="I45" s="975"/>
      <c r="J45" s="975"/>
      <c r="K45" s="975"/>
      <c r="L45" s="975"/>
      <c r="M45" s="975"/>
      <c r="N45" s="975"/>
      <c r="O45" s="975"/>
      <c r="P45" s="975"/>
      <c r="Q45" s="975"/>
      <c r="R45" s="975"/>
      <c r="S45" s="975"/>
      <c r="T45" s="975"/>
      <c r="U45" s="975"/>
      <c r="V45" s="975"/>
      <c r="W45" s="975"/>
      <c r="X45" s="975"/>
      <c r="Y45" s="975"/>
      <c r="Z45" s="975"/>
      <c r="AA45" s="975"/>
      <c r="AB45" s="100"/>
      <c r="AC45" s="100"/>
      <c r="AD45" s="100"/>
      <c r="AE45" s="100"/>
      <c r="AF45" s="100"/>
      <c r="AG45" s="100"/>
    </row>
    <row r="46" spans="1:36" ht="12.75" customHeight="1">
      <c r="A46" s="929" t="s">
        <v>235</v>
      </c>
      <c r="B46" s="100"/>
      <c r="C46" s="100"/>
      <c r="D46" s="100"/>
      <c r="E46" s="100"/>
      <c r="F46" s="100"/>
      <c r="G46" s="100"/>
      <c r="H46" s="100"/>
      <c r="I46" s="100"/>
      <c r="J46" s="100"/>
      <c r="K46" s="100"/>
      <c r="L46" s="100"/>
      <c r="M46" s="100"/>
      <c r="N46" s="100"/>
      <c r="O46" s="100"/>
      <c r="P46" s="100"/>
      <c r="Q46" s="100"/>
      <c r="R46" s="100"/>
      <c r="S46" s="100"/>
      <c r="T46" s="100"/>
      <c r="U46" s="100"/>
      <c r="V46" s="100"/>
      <c r="W46" s="100"/>
      <c r="X46"/>
      <c r="Y46"/>
      <c r="Z46" s="100"/>
      <c r="AA46" s="100"/>
      <c r="AB46"/>
      <c r="AC46"/>
      <c r="AD46"/>
      <c r="AE46"/>
      <c r="AF46"/>
      <c r="AG46"/>
    </row>
    <row r="47" spans="1:36" ht="15" customHeight="1">
      <c r="A47" s="929" t="s">
        <v>236</v>
      </c>
      <c r="B47" s="100"/>
      <c r="C47" s="100"/>
      <c r="D47" s="100"/>
      <c r="E47" s="100"/>
      <c r="F47" s="100"/>
      <c r="G47" s="100"/>
      <c r="H47" s="100"/>
      <c r="I47" s="100"/>
      <c r="J47" s="100"/>
      <c r="K47" s="100"/>
      <c r="L47" s="100"/>
      <c r="M47" s="100"/>
      <c r="N47" s="100"/>
      <c r="O47"/>
      <c r="P47"/>
      <c r="Q47"/>
      <c r="R47"/>
      <c r="S47"/>
      <c r="T47"/>
      <c r="U47"/>
      <c r="V47"/>
      <c r="W47" s="100"/>
      <c r="X47"/>
      <c r="Y47"/>
      <c r="Z47" s="100"/>
      <c r="AA47" s="100"/>
      <c r="AB47"/>
      <c r="AC47"/>
      <c r="AD47"/>
      <c r="AE47"/>
      <c r="AF47"/>
      <c r="AG47"/>
    </row>
    <row r="48" spans="1:36" ht="12.75" customHeight="1">
      <c r="A48" s="929" t="s">
        <v>351</v>
      </c>
      <c r="B48"/>
      <c r="C48"/>
      <c r="D48"/>
      <c r="E48"/>
      <c r="F48"/>
      <c r="G48"/>
      <c r="H48"/>
      <c r="I48"/>
      <c r="J48"/>
      <c r="K48"/>
      <c r="L48"/>
      <c r="M48"/>
      <c r="N48"/>
      <c r="O48"/>
      <c r="P48"/>
      <c r="Q48"/>
      <c r="R48"/>
      <c r="S48"/>
      <c r="T48"/>
      <c r="U48"/>
      <c r="V48"/>
      <c r="W48"/>
      <c r="X48"/>
      <c r="Y48"/>
      <c r="Z48"/>
      <c r="AA48"/>
      <c r="AB48" s="100"/>
      <c r="AC48" s="100"/>
      <c r="AD48" s="100"/>
      <c r="AE48" s="100"/>
      <c r="AF48"/>
      <c r="AG48"/>
    </row>
    <row r="49" ht="16.5" customHeight="1"/>
  </sheetData>
  <mergeCells count="2">
    <mergeCell ref="A2:AG2"/>
    <mergeCell ref="A44:R44"/>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51"/>
  <sheetViews>
    <sheetView zoomScaleNormal="100" workbookViewId="0">
      <selection activeCell="I8" sqref="I8"/>
    </sheetView>
  </sheetViews>
  <sheetFormatPr defaultRowHeight="12.75"/>
  <cols>
    <col min="1" max="16384" width="9.140625" style="182"/>
  </cols>
  <sheetData>
    <row r="1" spans="1:9" ht="15.75">
      <c r="A1"/>
      <c r="B1" s="965"/>
      <c r="C1" s="922"/>
      <c r="D1" s="922"/>
      <c r="E1" s="905"/>
      <c r="F1"/>
      <c r="G1" s="917" t="s">
        <v>137</v>
      </c>
    </row>
    <row r="2" spans="1:9" ht="12.75" customHeight="1">
      <c r="A2"/>
      <c r="B2" s="1143" t="s">
        <v>161</v>
      </c>
      <c r="C2" s="1143"/>
      <c r="D2" s="1143"/>
      <c r="E2" s="1143"/>
      <c r="F2" s="1143"/>
      <c r="G2" s="1143"/>
    </row>
    <row r="3" spans="1:9" ht="19.5" customHeight="1">
      <c r="A3"/>
      <c r="B3" s="1143"/>
      <c r="C3" s="1143"/>
      <c r="D3" s="1143"/>
      <c r="E3" s="1143"/>
      <c r="F3" s="1143"/>
      <c r="G3" s="1143"/>
    </row>
    <row r="4" spans="1:9">
      <c r="A4"/>
      <c r="B4" s="1144">
        <v>2017</v>
      </c>
      <c r="C4" s="1144"/>
      <c r="D4" s="1144"/>
      <c r="E4" s="1144"/>
      <c r="F4" s="1144"/>
      <c r="G4" s="1144"/>
    </row>
    <row r="5" spans="1:9">
      <c r="A5"/>
      <c r="B5" s="1145" t="s">
        <v>162</v>
      </c>
      <c r="C5" s="1145"/>
      <c r="D5" s="1145"/>
      <c r="E5" s="1145"/>
      <c r="F5" s="1145"/>
      <c r="G5"/>
    </row>
    <row r="6" spans="1:9" ht="28.5" customHeight="1">
      <c r="A6"/>
      <c r="B6" s="35"/>
      <c r="C6" s="966" t="s">
        <v>163</v>
      </c>
      <c r="D6" s="967" t="s">
        <v>164</v>
      </c>
      <c r="E6" s="904" t="s">
        <v>22</v>
      </c>
      <c r="F6" s="968" t="s">
        <v>165</v>
      </c>
      <c r="G6" s="969"/>
    </row>
    <row r="7" spans="1:9">
      <c r="A7"/>
      <c r="B7" s="826" t="s">
        <v>237</v>
      </c>
      <c r="C7" s="983">
        <v>81.842889573406453</v>
      </c>
      <c r="D7" s="983">
        <v>8.5228666496430083</v>
      </c>
      <c r="E7" s="903">
        <v>7.844677441008165</v>
      </c>
      <c r="F7" s="983">
        <v>1.7895663359423903</v>
      </c>
      <c r="G7" s="826" t="s">
        <v>237</v>
      </c>
    </row>
    <row r="8" spans="1:9">
      <c r="A8"/>
      <c r="B8" s="946" t="s">
        <v>81</v>
      </c>
      <c r="C8" s="953">
        <v>72.695035460992912</v>
      </c>
      <c r="D8" s="953">
        <v>9.6668977408059167</v>
      </c>
      <c r="E8" s="972">
        <v>11.248866847970991</v>
      </c>
      <c r="F8" s="953">
        <v>6.3891999502301857</v>
      </c>
      <c r="G8" s="946" t="s">
        <v>81</v>
      </c>
      <c r="I8" s="187">
        <f>AVERAGE(C8:C35)</f>
        <v>80.867647761977949</v>
      </c>
    </row>
    <row r="9" spans="1:9">
      <c r="A9"/>
      <c r="B9" s="767" t="s">
        <v>60</v>
      </c>
      <c r="C9" s="802">
        <v>81.097429464332734</v>
      </c>
      <c r="D9" s="786">
        <v>10.133494462513696</v>
      </c>
      <c r="E9" s="974">
        <v>7.710095056703488</v>
      </c>
      <c r="F9" s="802">
        <v>1.0589810164501037</v>
      </c>
      <c r="G9" s="767" t="s">
        <v>60</v>
      </c>
    </row>
    <row r="10" spans="1:9">
      <c r="A10"/>
      <c r="B10" s="806" t="s">
        <v>100</v>
      </c>
      <c r="C10" s="816">
        <v>81.539763549130356</v>
      </c>
      <c r="D10" s="816">
        <v>14.920033335837291</v>
      </c>
      <c r="E10" s="902">
        <v>2.0274166401583122</v>
      </c>
      <c r="F10" s="816">
        <v>1.5127864748740549</v>
      </c>
      <c r="G10" s="806" t="s">
        <v>100</v>
      </c>
    </row>
    <row r="11" spans="1:9">
      <c r="A11"/>
      <c r="B11" s="767" t="s">
        <v>71</v>
      </c>
      <c r="C11" s="786">
        <v>81.021261889808088</v>
      </c>
      <c r="D11" s="786">
        <v>18.978738110191905</v>
      </c>
      <c r="E11" s="786" t="s">
        <v>142</v>
      </c>
      <c r="F11" s="786" t="s">
        <v>142</v>
      </c>
      <c r="G11" s="767" t="s">
        <v>71</v>
      </c>
    </row>
    <row r="12" spans="1:9" ht="9.75" customHeight="1">
      <c r="A12"/>
      <c r="B12" s="767" t="s">
        <v>61</v>
      </c>
      <c r="C12" s="901">
        <v>66.154427559090578</v>
      </c>
      <c r="D12" s="786">
        <v>15.739568352751462</v>
      </c>
      <c r="E12" s="973">
        <v>8.369099820228568</v>
      </c>
      <c r="F12" s="786">
        <v>9.7369042679293916</v>
      </c>
      <c r="G12" s="767" t="s">
        <v>61</v>
      </c>
    </row>
    <row r="13" spans="1:9">
      <c r="A13"/>
      <c r="B13" s="767" t="s">
        <v>63</v>
      </c>
      <c r="C13" s="786">
        <v>84.209522146735324</v>
      </c>
      <c r="D13" s="786">
        <v>5.6247676970941098</v>
      </c>
      <c r="E13" s="973">
        <v>8.6177740859302503</v>
      </c>
      <c r="F13" s="786">
        <v>1.5479360702402987</v>
      </c>
      <c r="G13" s="767" t="s">
        <v>63</v>
      </c>
    </row>
    <row r="14" spans="1:9">
      <c r="A14"/>
      <c r="B14" s="806" t="s">
        <v>14</v>
      </c>
      <c r="C14" s="900">
        <v>81.179444887585007</v>
      </c>
      <c r="D14" s="816">
        <v>9.8692660240377474</v>
      </c>
      <c r="E14" s="902">
        <v>8.4902726891721993</v>
      </c>
      <c r="F14" s="816">
        <v>0.46101639920505089</v>
      </c>
      <c r="G14" s="806" t="s">
        <v>14</v>
      </c>
    </row>
    <row r="15" spans="1:9">
      <c r="A15"/>
      <c r="B15" s="806" t="s">
        <v>64</v>
      </c>
      <c r="C15" s="816">
        <v>79.879580770196981</v>
      </c>
      <c r="D15" s="816">
        <v>17.150861084263109</v>
      </c>
      <c r="E15" s="902">
        <v>2.2349501744035578</v>
      </c>
      <c r="F15" s="816">
        <v>0.73460797113635234</v>
      </c>
      <c r="G15" s="806" t="s">
        <v>64</v>
      </c>
    </row>
    <row r="16" spans="1:9">
      <c r="A16"/>
      <c r="B16" s="806" t="s">
        <v>15</v>
      </c>
      <c r="C16" s="816">
        <v>81.408808540132839</v>
      </c>
      <c r="D16" s="816">
        <v>16.353305628770613</v>
      </c>
      <c r="E16" s="902">
        <v>0.88858640657577115</v>
      </c>
      <c r="F16" s="816">
        <v>1.3492994245207703</v>
      </c>
      <c r="G16" s="806" t="s">
        <v>15</v>
      </c>
    </row>
    <row r="17" spans="1:7">
      <c r="A17"/>
      <c r="B17" s="767" t="s">
        <v>66</v>
      </c>
      <c r="C17" s="802">
        <v>83.5079050243029</v>
      </c>
      <c r="D17" s="802">
        <v>7.6543937123081953</v>
      </c>
      <c r="E17" s="974">
        <v>6.9205654065559354</v>
      </c>
      <c r="F17" s="802">
        <v>1.9171358568329828</v>
      </c>
      <c r="G17" s="767" t="s">
        <v>66</v>
      </c>
    </row>
    <row r="18" spans="1:7">
      <c r="A18"/>
      <c r="B18" s="946" t="s">
        <v>87</v>
      </c>
      <c r="C18" s="953">
        <v>83.603868962025217</v>
      </c>
      <c r="D18" s="953">
        <v>10.335163827125012</v>
      </c>
      <c r="E18" s="972">
        <v>5.3608798525201511</v>
      </c>
      <c r="F18" s="953">
        <v>0.70008735832962055</v>
      </c>
      <c r="G18" s="946" t="s">
        <v>87</v>
      </c>
    </row>
    <row r="19" spans="1:7">
      <c r="A19"/>
      <c r="B19" s="806" t="s">
        <v>67</v>
      </c>
      <c r="C19" s="816">
        <v>81.035502365550897</v>
      </c>
      <c r="D19" s="816">
        <v>6.2347075265004559</v>
      </c>
      <c r="E19" s="902">
        <v>10.911560111368905</v>
      </c>
      <c r="F19" s="816">
        <v>1.8182299965797535</v>
      </c>
      <c r="G19" s="806" t="s">
        <v>67</v>
      </c>
    </row>
    <row r="20" spans="1:7">
      <c r="A20"/>
      <c r="B20" s="767" t="s">
        <v>144</v>
      </c>
      <c r="C20" s="786">
        <v>82.65951473066788</v>
      </c>
      <c r="D20" s="786">
        <v>13.098514114027711</v>
      </c>
      <c r="E20" s="973">
        <v>2.3230135874516615</v>
      </c>
      <c r="F20" s="786">
        <v>1.9189575678527495</v>
      </c>
      <c r="G20" s="767" t="s">
        <v>144</v>
      </c>
    </row>
    <row r="21" spans="1:7">
      <c r="A21"/>
      <c r="B21" s="767" t="s">
        <v>77</v>
      </c>
      <c r="C21" s="786">
        <v>67.58394689302601</v>
      </c>
      <c r="D21" s="786">
        <v>20.40636769049372</v>
      </c>
      <c r="E21" s="973">
        <v>8.6155741352128619</v>
      </c>
      <c r="F21" s="786">
        <v>3.3941112812674312</v>
      </c>
      <c r="G21" s="767" t="s">
        <v>77</v>
      </c>
    </row>
    <row r="22" spans="1:7">
      <c r="A22"/>
      <c r="B22" s="767" t="s">
        <v>68</v>
      </c>
      <c r="C22" s="786">
        <v>82.342786145668569</v>
      </c>
      <c r="D22" s="802">
        <v>14.298061599271842</v>
      </c>
      <c r="E22" s="974">
        <v>3.0899143223129024</v>
      </c>
      <c r="F22" s="802">
        <v>0.26923793274668117</v>
      </c>
      <c r="G22" s="767" t="s">
        <v>68</v>
      </c>
    </row>
    <row r="23" spans="1:7">
      <c r="A23"/>
      <c r="B23" s="946" t="s">
        <v>69</v>
      </c>
      <c r="C23" s="953">
        <v>82.032671274210529</v>
      </c>
      <c r="D23" s="953">
        <v>11.361824340693953</v>
      </c>
      <c r="E23" s="972">
        <v>5.8619542857646287</v>
      </c>
      <c r="F23" s="953">
        <v>0.74355009933089322</v>
      </c>
      <c r="G23" s="946" t="s">
        <v>69</v>
      </c>
    </row>
    <row r="24" spans="1:7">
      <c r="A24"/>
      <c r="B24" s="767" t="s">
        <v>73</v>
      </c>
      <c r="C24" s="786">
        <v>91.125962516344615</v>
      </c>
      <c r="D24" s="786">
        <v>7.958738921981694</v>
      </c>
      <c r="E24" s="973">
        <v>0.91529856167368884</v>
      </c>
      <c r="F24" s="786" t="s">
        <v>142</v>
      </c>
      <c r="G24" s="767" t="s">
        <v>73</v>
      </c>
    </row>
    <row r="25" spans="1:7">
      <c r="A25"/>
      <c r="B25" s="946" t="s">
        <v>76</v>
      </c>
      <c r="C25" s="953">
        <v>82.894663186381237</v>
      </c>
      <c r="D25" s="953">
        <v>12.374001916495715</v>
      </c>
      <c r="E25" s="972">
        <v>4.7313348971230367</v>
      </c>
      <c r="F25" s="953" t="s">
        <v>142</v>
      </c>
      <c r="G25" s="946" t="s">
        <v>76</v>
      </c>
    </row>
    <row r="26" spans="1:7">
      <c r="A26"/>
      <c r="B26" s="946" t="s">
        <v>72</v>
      </c>
      <c r="C26" s="953">
        <v>83.826532916577378</v>
      </c>
      <c r="D26" s="953">
        <v>12.122330771618815</v>
      </c>
      <c r="E26" s="972">
        <v>3.3355997875737828</v>
      </c>
      <c r="F26" s="953">
        <v>0.71553652423002634</v>
      </c>
      <c r="G26" s="946" t="s">
        <v>72</v>
      </c>
    </row>
    <row r="27" spans="1:7">
      <c r="A27"/>
      <c r="B27" s="946" t="s">
        <v>78</v>
      </c>
      <c r="C27" s="953">
        <v>82.481392067016287</v>
      </c>
      <c r="D27" s="953">
        <v>17.518607932983699</v>
      </c>
      <c r="E27" s="953" t="s">
        <v>142</v>
      </c>
      <c r="F27" s="953" t="s">
        <v>142</v>
      </c>
      <c r="G27" s="946" t="s">
        <v>78</v>
      </c>
    </row>
    <row r="28" spans="1:7">
      <c r="A28"/>
      <c r="B28" s="767" t="s">
        <v>16</v>
      </c>
      <c r="C28" s="786">
        <v>85.281946912449186</v>
      </c>
      <c r="D28" s="786">
        <v>2.8396969926026294</v>
      </c>
      <c r="E28" s="973">
        <v>11.336288790373656</v>
      </c>
      <c r="F28" s="786">
        <v>0.54206730457451979</v>
      </c>
      <c r="G28" s="767" t="s">
        <v>16</v>
      </c>
    </row>
    <row r="29" spans="1:7">
      <c r="A29"/>
      <c r="B29" s="767" t="s">
        <v>80</v>
      </c>
      <c r="C29" s="786">
        <v>77.22005179162889</v>
      </c>
      <c r="D29" s="786">
        <v>13.535761434220397</v>
      </c>
      <c r="E29" s="973">
        <v>7.6260401104096553</v>
      </c>
      <c r="F29" s="786">
        <v>1.6181466637410638</v>
      </c>
      <c r="G29" s="767" t="s">
        <v>80</v>
      </c>
    </row>
    <row r="30" spans="1:7">
      <c r="A30"/>
      <c r="B30" s="946" t="s">
        <v>92</v>
      </c>
      <c r="C30" s="953">
        <v>87.598220750083883</v>
      </c>
      <c r="D30" s="953">
        <v>7.0455601156910062</v>
      </c>
      <c r="E30" s="972">
        <v>4.2909979072772195</v>
      </c>
      <c r="F30" s="953">
        <v>1.0652212269478794</v>
      </c>
      <c r="G30" s="946" t="s">
        <v>92</v>
      </c>
    </row>
    <row r="31" spans="1:7">
      <c r="A31"/>
      <c r="B31" s="767" t="s">
        <v>101</v>
      </c>
      <c r="C31" s="786">
        <v>75.382501575534107</v>
      </c>
      <c r="D31" s="786">
        <v>14.082797677046315</v>
      </c>
      <c r="E31" s="973">
        <v>4.3872198946591094</v>
      </c>
      <c r="F31" s="786">
        <v>6.1474808527604718</v>
      </c>
      <c r="G31" s="767" t="s">
        <v>101</v>
      </c>
    </row>
    <row r="32" spans="1:7">
      <c r="A32"/>
      <c r="B32" s="767" t="s">
        <v>88</v>
      </c>
      <c r="C32" s="786">
        <v>81.722838527909843</v>
      </c>
      <c r="D32" s="786">
        <v>7.0230674414509604</v>
      </c>
      <c r="E32" s="973">
        <v>9.3896812819158306</v>
      </c>
      <c r="F32" s="786">
        <v>1.864412748723367</v>
      </c>
      <c r="G32" s="767" t="s">
        <v>88</v>
      </c>
    </row>
    <row r="33" spans="1:7">
      <c r="A33"/>
      <c r="B33" s="946" t="s">
        <v>83</v>
      </c>
      <c r="C33" s="953">
        <v>86.457423575575632</v>
      </c>
      <c r="D33" s="953">
        <v>11.726372574839221</v>
      </c>
      <c r="E33" s="972">
        <v>1.8162038495851383</v>
      </c>
      <c r="F33" s="953" t="s">
        <v>142</v>
      </c>
      <c r="G33" s="946" t="s">
        <v>83</v>
      </c>
    </row>
    <row r="34" spans="1:7">
      <c r="A34"/>
      <c r="B34" s="767" t="s">
        <v>85</v>
      </c>
      <c r="C34" s="786">
        <v>73.837066795339439</v>
      </c>
      <c r="D34" s="786">
        <v>15.557774564807472</v>
      </c>
      <c r="E34" s="973">
        <v>9.857195901483081</v>
      </c>
      <c r="F34" s="786">
        <v>0.74796273837001526</v>
      </c>
      <c r="G34" s="767" t="s">
        <v>85</v>
      </c>
    </row>
    <row r="35" spans="1:7">
      <c r="A35"/>
      <c r="B35" s="946" t="s">
        <v>13</v>
      </c>
      <c r="C35" s="953">
        <v>84.514067057084844</v>
      </c>
      <c r="D35" s="953">
        <v>4.9769059558717341</v>
      </c>
      <c r="E35" s="972">
        <v>8.6874006399728998</v>
      </c>
      <c r="F35" s="953">
        <v>1.8216263470705378</v>
      </c>
      <c r="G35" s="946" t="s">
        <v>13</v>
      </c>
    </row>
    <row r="36" spans="1:7">
      <c r="A36"/>
      <c r="B36" s="916" t="s">
        <v>270</v>
      </c>
      <c r="C36" s="939">
        <v>88.981999533759605</v>
      </c>
      <c r="D36" s="939">
        <v>11.000399205756741</v>
      </c>
      <c r="E36" s="899">
        <v>1.7601260483637679E-2</v>
      </c>
      <c r="F36" s="939" t="s">
        <v>142</v>
      </c>
      <c r="G36" s="916" t="s">
        <v>270</v>
      </c>
    </row>
    <row r="37" spans="1:7">
      <c r="A37"/>
      <c r="B37" s="946" t="s">
        <v>223</v>
      </c>
      <c r="C37" s="953">
        <v>96.3545275053675</v>
      </c>
      <c r="D37" s="953">
        <v>2.3898274185231276</v>
      </c>
      <c r="E37" s="972">
        <v>1.2556450761093876</v>
      </c>
      <c r="F37" s="953" t="s">
        <v>142</v>
      </c>
      <c r="G37" s="946" t="s">
        <v>223</v>
      </c>
    </row>
    <row r="38" spans="1:7">
      <c r="A38"/>
      <c r="B38" s="767" t="s">
        <v>145</v>
      </c>
      <c r="C38" s="786">
        <v>87.522673031026272</v>
      </c>
      <c r="D38" s="786">
        <v>11.914081145584728</v>
      </c>
      <c r="E38" s="973">
        <v>0.56324582338902152</v>
      </c>
      <c r="F38" s="786" t="s">
        <v>142</v>
      </c>
      <c r="G38" s="767" t="s">
        <v>145</v>
      </c>
    </row>
    <row r="39" spans="1:7">
      <c r="A39"/>
      <c r="B39" s="946" t="s">
        <v>224</v>
      </c>
      <c r="C39" s="953">
        <v>73.595667015814499</v>
      </c>
      <c r="D39" s="953">
        <v>23.93030736157359</v>
      </c>
      <c r="E39" s="972">
        <v>0.92530521798084542</v>
      </c>
      <c r="F39" s="953">
        <v>1.5487204046310701</v>
      </c>
      <c r="G39" s="946" t="s">
        <v>224</v>
      </c>
    </row>
    <row r="40" spans="1:7">
      <c r="A40"/>
      <c r="B40" s="768" t="s">
        <v>146</v>
      </c>
      <c r="C40" s="940"/>
      <c r="D40" s="940"/>
      <c r="E40" s="898"/>
      <c r="F40" s="940"/>
      <c r="G40" s="768" t="s">
        <v>146</v>
      </c>
    </row>
    <row r="41" spans="1:7">
      <c r="A41"/>
      <c r="B41" s="952" t="s">
        <v>147</v>
      </c>
      <c r="C41" s="955">
        <v>88.131662170894614</v>
      </c>
      <c r="D41" s="955">
        <v>11.868337829105394</v>
      </c>
      <c r="E41" s="953" t="s">
        <v>142</v>
      </c>
      <c r="F41" s="953" t="s">
        <v>142</v>
      </c>
      <c r="G41" s="952" t="s">
        <v>147</v>
      </c>
    </row>
    <row r="42" spans="1:7">
      <c r="A42"/>
      <c r="B42" s="767" t="s">
        <v>148</v>
      </c>
      <c r="C42" s="786">
        <v>88.323333377679035</v>
      </c>
      <c r="D42" s="786">
        <v>5.6341213564463128</v>
      </c>
      <c r="E42" s="973">
        <v>4.7680498090917558</v>
      </c>
      <c r="F42" s="786">
        <v>1.2744954567828968</v>
      </c>
      <c r="G42" s="767" t="s">
        <v>148</v>
      </c>
    </row>
    <row r="43" spans="1:7">
      <c r="A43"/>
      <c r="B43" s="956" t="s">
        <v>149</v>
      </c>
      <c r="C43" s="970">
        <v>77.25614873152152</v>
      </c>
      <c r="D43" s="970">
        <v>4.9577173842876503</v>
      </c>
      <c r="E43" s="988">
        <v>16.836388870957329</v>
      </c>
      <c r="F43" s="970">
        <v>0.94974501323349048</v>
      </c>
      <c r="G43" s="956" t="s">
        <v>149</v>
      </c>
    </row>
    <row r="44" spans="1:7">
      <c r="A44"/>
      <c r="B44"/>
      <c r="C44"/>
      <c r="D44"/>
      <c r="E44" s="919"/>
      <c r="F44"/>
      <c r="G44"/>
    </row>
    <row r="45" spans="1:7">
      <c r="A45"/>
      <c r="B45" s="971" t="s">
        <v>166</v>
      </c>
      <c r="C45" s="897"/>
      <c r="D45" s="896"/>
      <c r="E45" s="895"/>
      <c r="F45" s="896"/>
      <c r="G45" s="894"/>
    </row>
    <row r="46" spans="1:7">
      <c r="A46"/>
      <c r="B46" s="1146" t="s">
        <v>352</v>
      </c>
      <c r="C46" s="1146"/>
      <c r="D46" s="1146"/>
      <c r="E46" s="1146"/>
      <c r="F46" s="1146"/>
      <c r="G46"/>
    </row>
    <row r="47" spans="1:7">
      <c r="A47"/>
      <c r="B47" s="893" t="s">
        <v>237</v>
      </c>
      <c r="C47" s="892">
        <v>80.2</v>
      </c>
      <c r="D47" s="892">
        <v>8.4</v>
      </c>
      <c r="E47" s="903">
        <v>7.7</v>
      </c>
      <c r="F47" s="892">
        <v>1.8</v>
      </c>
      <c r="G47" s="893" t="s">
        <v>237</v>
      </c>
    </row>
    <row r="48" spans="1:7" ht="35.25" customHeight="1">
      <c r="A48"/>
      <c r="B48" s="971" t="s">
        <v>239</v>
      </c>
      <c r="C48"/>
      <c r="D48"/>
      <c r="E48" s="919"/>
      <c r="F48"/>
      <c r="G48"/>
    </row>
    <row r="49" spans="1:7">
      <c r="A49"/>
      <c r="B49"/>
      <c r="C49"/>
      <c r="D49"/>
      <c r="E49" s="919"/>
      <c r="F49" s="942">
        <f>SUM(C47:F47)+2</f>
        <v>100.10000000000001</v>
      </c>
      <c r="G49"/>
    </row>
    <row r="50" spans="1:7" ht="15" customHeight="1">
      <c r="A50"/>
      <c r="B50"/>
      <c r="C50"/>
      <c r="D50"/>
      <c r="E50" s="919"/>
      <c r="F50"/>
      <c r="G50"/>
    </row>
    <row r="51" spans="1:7">
      <c r="A51"/>
      <c r="B51"/>
      <c r="C51"/>
      <c r="D51"/>
      <c r="E51" s="919"/>
      <c r="F51"/>
      <c r="G51"/>
    </row>
  </sheetData>
  <mergeCells count="4">
    <mergeCell ref="B2:G3"/>
    <mergeCell ref="B4:G4"/>
    <mergeCell ref="B5:F5"/>
    <mergeCell ref="B46:F46"/>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60"/>
  <sheetViews>
    <sheetView zoomScaleNormal="100" workbookViewId="0">
      <selection activeCell="N7" sqref="N7"/>
    </sheetView>
  </sheetViews>
  <sheetFormatPr defaultRowHeight="11.25"/>
  <cols>
    <col min="1" max="1" width="2.7109375" style="188" customWidth="1"/>
    <col min="2" max="2" width="5" style="190" customWidth="1"/>
    <col min="3" max="14" width="7.7109375" style="190" customWidth="1"/>
    <col min="15" max="15" width="7.28515625" style="190" customWidth="1"/>
    <col min="16" max="16" width="4.5703125" style="190" customWidth="1"/>
    <col min="17" max="18" width="9.140625" style="190" customWidth="1"/>
    <col min="19" max="16384" width="9.140625" style="190"/>
  </cols>
  <sheetData>
    <row r="1" spans="1:18" ht="14.25" customHeight="1">
      <c r="B1" s="189"/>
      <c r="C1" s="191"/>
      <c r="D1" s="191"/>
      <c r="E1" s="191"/>
      <c r="F1" s="191"/>
      <c r="G1" s="191"/>
      <c r="H1" s="191"/>
      <c r="I1" s="191"/>
      <c r="J1" s="191"/>
      <c r="K1" s="191"/>
      <c r="L1" s="191"/>
      <c r="M1" s="191"/>
      <c r="N1" s="191"/>
      <c r="P1" s="191" t="s">
        <v>167</v>
      </c>
    </row>
    <row r="2" spans="1:18" s="194" customFormat="1" ht="30" customHeight="1">
      <c r="A2" s="192"/>
      <c r="B2" s="1135" t="s">
        <v>163</v>
      </c>
      <c r="C2" s="1135"/>
      <c r="D2" s="1135"/>
      <c r="E2" s="1135"/>
      <c r="F2" s="1135"/>
      <c r="G2" s="1135"/>
      <c r="H2" s="1135"/>
      <c r="I2" s="1135"/>
      <c r="J2" s="1135"/>
      <c r="K2" s="1135"/>
      <c r="L2" s="1135"/>
      <c r="M2" s="1135"/>
      <c r="N2" s="1135"/>
      <c r="O2" s="1135"/>
      <c r="P2" s="1135"/>
    </row>
    <row r="3" spans="1:18" ht="12" customHeight="1">
      <c r="C3" s="196"/>
      <c r="D3" s="196"/>
      <c r="E3" s="196"/>
      <c r="F3" s="196"/>
      <c r="G3" s="196"/>
      <c r="H3" s="196"/>
      <c r="I3" s="196"/>
      <c r="J3" s="196"/>
      <c r="K3" s="196"/>
      <c r="L3" s="196"/>
      <c r="M3" s="196"/>
      <c r="N3" s="196"/>
      <c r="O3" s="197"/>
    </row>
    <row r="4" spans="1:18" ht="20.100000000000001" customHeight="1">
      <c r="B4" s="198"/>
      <c r="C4" s="200">
        <v>2006</v>
      </c>
      <c r="D4" s="200">
        <v>2007</v>
      </c>
      <c r="E4" s="200">
        <v>2008</v>
      </c>
      <c r="F4" s="200">
        <v>2009</v>
      </c>
      <c r="G4" s="200">
        <v>2010</v>
      </c>
      <c r="H4" s="200">
        <v>2011</v>
      </c>
      <c r="I4" s="200">
        <v>2012</v>
      </c>
      <c r="J4" s="200">
        <v>2013</v>
      </c>
      <c r="K4" s="200">
        <v>2014</v>
      </c>
      <c r="L4" s="200">
        <v>2015</v>
      </c>
      <c r="M4" s="200">
        <v>2016</v>
      </c>
      <c r="N4" s="200">
        <v>2017</v>
      </c>
      <c r="O4" s="201" t="s">
        <v>335</v>
      </c>
      <c r="P4" s="202"/>
      <c r="Q4" s="179" t="s">
        <v>353</v>
      </c>
      <c r="R4" s="169"/>
    </row>
    <row r="5" spans="1:18" ht="9.9499999999999993" customHeight="1">
      <c r="B5" s="203"/>
      <c r="C5" s="205"/>
      <c r="D5" s="205"/>
      <c r="E5" s="206"/>
      <c r="F5" s="206"/>
      <c r="G5" s="206"/>
      <c r="H5" s="206"/>
      <c r="I5" s="206"/>
      <c r="J5" s="206"/>
      <c r="K5" s="206"/>
      <c r="L5" s="206"/>
      <c r="M5" s="206"/>
      <c r="N5" s="206"/>
      <c r="O5" s="207" t="s">
        <v>143</v>
      </c>
      <c r="P5" s="202"/>
      <c r="Q5" s="157" t="s">
        <v>0</v>
      </c>
      <c r="R5" s="169" t="s">
        <v>299</v>
      </c>
    </row>
    <row r="6" spans="1:18" ht="12.75" customHeight="1">
      <c r="B6" s="208" t="s">
        <v>237</v>
      </c>
      <c r="C6" s="209">
        <v>4549.418913551448</v>
      </c>
      <c r="D6" s="209">
        <v>4596.5889305980709</v>
      </c>
      <c r="E6" s="209">
        <v>4602.442319059387</v>
      </c>
      <c r="F6" s="210">
        <v>4675.1744874633623</v>
      </c>
      <c r="G6" s="210">
        <v>4625.6376098525552</v>
      </c>
      <c r="H6" s="210">
        <v>4592.8814681537378</v>
      </c>
      <c r="I6" s="210">
        <v>4498.2731855008014</v>
      </c>
      <c r="J6" s="210">
        <v>4549.6450207312373</v>
      </c>
      <c r="K6" s="210">
        <v>4615.1988158271706</v>
      </c>
      <c r="L6" s="210">
        <v>4711.7868878429317</v>
      </c>
      <c r="M6" s="210">
        <v>4826.6906715658197</v>
      </c>
      <c r="N6" s="210">
        <v>4901.4169593840743</v>
      </c>
      <c r="O6" s="211">
        <v>1.5481888710720426</v>
      </c>
      <c r="P6" s="208" t="s">
        <v>237</v>
      </c>
      <c r="Q6" s="170">
        <v>511.52267099999995</v>
      </c>
      <c r="R6" s="181">
        <f>N6/Q6*1000</f>
        <v>9582.0131487076851</v>
      </c>
    </row>
    <row r="7" spans="1:18" ht="12.75" customHeight="1">
      <c r="A7" s="212"/>
      <c r="B7" s="213" t="s">
        <v>89</v>
      </c>
      <c r="C7" s="214">
        <v>4024.1609902174887</v>
      </c>
      <c r="D7" s="214">
        <v>4052.4243845874694</v>
      </c>
      <c r="E7" s="214">
        <v>4041.1498004029168</v>
      </c>
      <c r="F7" s="215">
        <v>4097.7763619489124</v>
      </c>
      <c r="G7" s="215">
        <v>4056.3208207955754</v>
      </c>
      <c r="H7" s="215">
        <v>4023.1500666885822</v>
      </c>
      <c r="I7" s="215">
        <v>3920.6030996619666</v>
      </c>
      <c r="J7" s="215">
        <v>3963.8111655480834</v>
      </c>
      <c r="K7" s="215">
        <v>4023.6725587954529</v>
      </c>
      <c r="L7" s="215">
        <v>4108.4408913812549</v>
      </c>
      <c r="M7" s="215">
        <f>M9+M10+M15+M19+M20+M14+M17+M23+M24+M26+M29+M31+M18+M33+M36</f>
        <v>4199.6003029794447</v>
      </c>
      <c r="N7" s="215">
        <f>N9+N10+N15+N19+N20+N14+N17+N23+N24+N26+N29+N31+N18+N33+N36</f>
        <v>4255.6824540136759</v>
      </c>
      <c r="O7" s="216">
        <f>(M7-L7)/L7*100</f>
        <v>2.2188322531163891</v>
      </c>
      <c r="P7" s="213" t="s">
        <v>89</v>
      </c>
      <c r="Q7" s="170">
        <v>407.34291199999996</v>
      </c>
      <c r="R7" s="181">
        <f>N7/Q7*1000</f>
        <v>10447.419922243978</v>
      </c>
    </row>
    <row r="8" spans="1:18" ht="12.75" customHeight="1">
      <c r="A8" s="212"/>
      <c r="B8" s="217" t="s">
        <v>238</v>
      </c>
      <c r="C8" s="218">
        <v>525.08060000000114</v>
      </c>
      <c r="D8" s="218">
        <v>544.51120000000128</v>
      </c>
      <c r="E8" s="218">
        <v>561.60150000000021</v>
      </c>
      <c r="F8" s="219">
        <v>577.69768999999997</v>
      </c>
      <c r="G8" s="219">
        <v>568.67133999999851</v>
      </c>
      <c r="H8" s="219">
        <v>567.30741816365935</v>
      </c>
      <c r="I8" s="219">
        <v>575.58939298034056</v>
      </c>
      <c r="J8" s="219">
        <v>584.52279928146618</v>
      </c>
      <c r="K8" s="219">
        <v>591.39543959985576</v>
      </c>
      <c r="L8" s="219">
        <v>610.95289799396869</v>
      </c>
      <c r="M8" s="219"/>
      <c r="N8" s="219"/>
      <c r="O8" s="220">
        <v>3.3070018949327107</v>
      </c>
      <c r="P8" s="217" t="s">
        <v>238</v>
      </c>
      <c r="Q8" s="170"/>
      <c r="R8" s="181"/>
    </row>
    <row r="9" spans="1:18" ht="12.75" customHeight="1">
      <c r="A9" s="212"/>
      <c r="B9" s="874" t="s">
        <v>81</v>
      </c>
      <c r="C9" s="848">
        <v>70.893000000000001</v>
      </c>
      <c r="D9" s="848">
        <v>72.022999999999996</v>
      </c>
      <c r="E9" s="848">
        <v>73.281000000000006</v>
      </c>
      <c r="F9" s="848">
        <v>72.674999999999997</v>
      </c>
      <c r="G9" s="848">
        <v>73.466999999999999</v>
      </c>
      <c r="H9" s="848">
        <v>74.450999999999993</v>
      </c>
      <c r="I9" s="848">
        <v>74.153999999999996</v>
      </c>
      <c r="J9" s="377">
        <v>74.837000000000003</v>
      </c>
      <c r="K9" s="848">
        <v>76.593999999999994</v>
      </c>
      <c r="L9" s="848">
        <v>78.346999999999994</v>
      </c>
      <c r="M9" s="848">
        <v>80.444000000000003</v>
      </c>
      <c r="N9" s="848">
        <v>81.795000000000002</v>
      </c>
      <c r="O9" s="227">
        <v>1.6794291681169398</v>
      </c>
      <c r="P9" s="213" t="s">
        <v>81</v>
      </c>
      <c r="Q9" s="170">
        <v>8.7728649999999995</v>
      </c>
      <c r="R9" s="181">
        <f t="shared" ref="R9:R36" si="0">N9/Q9*1000</f>
        <v>9323.6360071652762</v>
      </c>
    </row>
    <row r="10" spans="1:18" ht="12.75" customHeight="1">
      <c r="A10" s="212"/>
      <c r="B10" s="874" t="s">
        <v>60</v>
      </c>
      <c r="C10" s="876">
        <v>102.65959801049536</v>
      </c>
      <c r="D10" s="876">
        <v>104.57039703409255</v>
      </c>
      <c r="E10" s="876">
        <v>107.94287032877924</v>
      </c>
      <c r="F10" s="876">
        <v>108.07377743339944</v>
      </c>
      <c r="G10" s="876">
        <v>109.38776021905481</v>
      </c>
      <c r="H10" s="876">
        <v>109.96953280096133</v>
      </c>
      <c r="I10" s="876">
        <v>110.14105828193429</v>
      </c>
      <c r="J10" s="876">
        <v>105.293135637308</v>
      </c>
      <c r="K10" s="876">
        <v>108.11064251165099</v>
      </c>
      <c r="L10" s="876">
        <v>107.001968595549</v>
      </c>
      <c r="M10" s="876">
        <v>106.13976370089</v>
      </c>
      <c r="N10" s="876">
        <v>106.94</v>
      </c>
      <c r="O10" s="244">
        <v>0.75394580806221256</v>
      </c>
      <c r="P10" s="874" t="s">
        <v>60</v>
      </c>
      <c r="Q10" s="170">
        <v>11.351727</v>
      </c>
      <c r="R10" s="181">
        <f t="shared" si="0"/>
        <v>9420.5930075661618</v>
      </c>
    </row>
    <row r="11" spans="1:18" s="235" customFormat="1" ht="12.75" customHeight="1">
      <c r="A11" s="229"/>
      <c r="B11" s="221" t="s">
        <v>100</v>
      </c>
      <c r="C11" s="223">
        <v>37.6</v>
      </c>
      <c r="D11" s="223">
        <v>40.4</v>
      </c>
      <c r="E11" s="223">
        <v>43.2</v>
      </c>
      <c r="F11" s="223">
        <v>46.3</v>
      </c>
      <c r="G11" s="992">
        <v>46.9</v>
      </c>
      <c r="H11" s="223">
        <v>48.068037489384793</v>
      </c>
      <c r="I11" s="223">
        <v>49.702936925862396</v>
      </c>
      <c r="J11" s="376">
        <v>51.364114011617502</v>
      </c>
      <c r="K11" s="223">
        <v>53.956822763753138</v>
      </c>
      <c r="L11" s="223">
        <v>56.846089338036968</v>
      </c>
      <c r="M11" s="223">
        <v>56.62772543455219</v>
      </c>
      <c r="N11" s="223">
        <v>57.673404969351786</v>
      </c>
      <c r="O11" s="224">
        <v>1.8465857965779549</v>
      </c>
      <c r="P11" s="221" t="s">
        <v>100</v>
      </c>
      <c r="Q11" s="170">
        <v>7.1018590000000001</v>
      </c>
      <c r="R11" s="181">
        <f t="shared" si="0"/>
        <v>8120.8884841774225</v>
      </c>
    </row>
    <row r="12" spans="1:18" ht="12.75" customHeight="1">
      <c r="A12" s="212"/>
      <c r="B12" s="221" t="s">
        <v>71</v>
      </c>
      <c r="C12" s="231">
        <v>5</v>
      </c>
      <c r="D12" s="231">
        <v>5.3</v>
      </c>
      <c r="E12" s="231">
        <v>5.75</v>
      </c>
      <c r="F12" s="231">
        <v>6</v>
      </c>
      <c r="G12" s="231">
        <v>5.9</v>
      </c>
      <c r="H12" s="230">
        <v>5.93190592556501</v>
      </c>
      <c r="I12" s="230">
        <v>5.9515765516010246</v>
      </c>
      <c r="J12" s="230">
        <v>5.9211434324198757</v>
      </c>
      <c r="K12" s="230">
        <v>6.0557617857620594</v>
      </c>
      <c r="L12" s="230">
        <v>6.1981335730052542</v>
      </c>
      <c r="M12" s="230">
        <v>6.4728965180617504</v>
      </c>
      <c r="N12" s="230">
        <v>6.5573941867523127</v>
      </c>
      <c r="O12" s="239">
        <v>1.305407377590285</v>
      </c>
      <c r="P12" s="221" t="s">
        <v>71</v>
      </c>
      <c r="Q12" s="170">
        <v>0.85480199999999995</v>
      </c>
      <c r="R12" s="181">
        <f t="shared" si="0"/>
        <v>7671.243383558196</v>
      </c>
    </row>
    <row r="13" spans="1:18" s="235" customFormat="1" ht="12.75" customHeight="1">
      <c r="A13" s="229"/>
      <c r="B13" s="874" t="s">
        <v>61</v>
      </c>
      <c r="C13" s="848">
        <v>69.63</v>
      </c>
      <c r="D13" s="848">
        <v>71.540000000000006</v>
      </c>
      <c r="E13" s="848">
        <v>72.38</v>
      </c>
      <c r="F13" s="848">
        <v>72.290000000000006</v>
      </c>
      <c r="G13" s="848">
        <v>63.57</v>
      </c>
      <c r="H13" s="848">
        <v>65.489999999999995</v>
      </c>
      <c r="I13" s="848">
        <v>64.62</v>
      </c>
      <c r="J13" s="848">
        <v>64.650000000000006</v>
      </c>
      <c r="K13" s="848">
        <v>66.260000000000005</v>
      </c>
      <c r="L13" s="848">
        <v>69.704999999999998</v>
      </c>
      <c r="M13" s="848">
        <v>72.254999999999995</v>
      </c>
      <c r="N13" s="848">
        <v>74.326999999999998</v>
      </c>
      <c r="O13" s="227">
        <v>2.8676216178811273</v>
      </c>
      <c r="P13" s="874" t="s">
        <v>61</v>
      </c>
      <c r="Q13" s="170">
        <v>10.57882</v>
      </c>
      <c r="R13" s="181">
        <f t="shared" si="0"/>
        <v>7026.019915264651</v>
      </c>
    </row>
    <row r="14" spans="1:18" ht="13.5" customHeight="1">
      <c r="A14" s="212"/>
      <c r="B14" s="221" t="s">
        <v>63</v>
      </c>
      <c r="C14" s="230">
        <v>863.32799999999997</v>
      </c>
      <c r="D14" s="230">
        <v>866.53100000000006</v>
      </c>
      <c r="E14" s="230">
        <v>871.32799999999997</v>
      </c>
      <c r="F14" s="232">
        <v>881.1</v>
      </c>
      <c r="G14" s="232">
        <v>887</v>
      </c>
      <c r="H14" s="232">
        <v>894.4</v>
      </c>
      <c r="I14" s="232">
        <v>896.3</v>
      </c>
      <c r="J14" s="232">
        <v>903.1</v>
      </c>
      <c r="K14" s="232">
        <v>916.4</v>
      </c>
      <c r="L14" s="232">
        <v>927</v>
      </c>
      <c r="M14" s="232">
        <v>946.3</v>
      </c>
      <c r="N14" s="232">
        <v>935.7</v>
      </c>
      <c r="O14" s="234">
        <v>-1.1201521716157572</v>
      </c>
      <c r="P14" s="221" t="s">
        <v>63</v>
      </c>
      <c r="Q14" s="180">
        <v>82.521653000000001</v>
      </c>
      <c r="R14" s="181">
        <f t="shared" si="0"/>
        <v>11338.842182426957</v>
      </c>
    </row>
    <row r="15" spans="1:18" ht="12.75" customHeight="1">
      <c r="A15" s="212"/>
      <c r="B15" s="221" t="s">
        <v>14</v>
      </c>
      <c r="C15" s="231">
        <v>49.648000000000003</v>
      </c>
      <c r="D15" s="231">
        <v>50.732999999999997</v>
      </c>
      <c r="E15" s="231">
        <v>51.459000000000003</v>
      </c>
      <c r="F15" s="231">
        <v>51.884</v>
      </c>
      <c r="G15" s="231">
        <v>51.691000000000003</v>
      </c>
      <c r="H15" s="231">
        <v>52.957000000000001</v>
      </c>
      <c r="I15" s="231">
        <v>52.664999999999999</v>
      </c>
      <c r="J15" s="231">
        <v>52.904000000000003</v>
      </c>
      <c r="K15" s="231">
        <v>54.402000000000001</v>
      </c>
      <c r="L15" s="231">
        <v>56.844000000000001</v>
      </c>
      <c r="M15" s="231">
        <v>59.040999999999997</v>
      </c>
      <c r="N15" s="231">
        <v>60.045999999999999</v>
      </c>
      <c r="O15" s="241">
        <v>1.7022069409393481</v>
      </c>
      <c r="P15" s="221" t="s">
        <v>14</v>
      </c>
      <c r="Q15" s="170">
        <v>5.7487690000000002</v>
      </c>
      <c r="R15" s="181">
        <f t="shared" si="0"/>
        <v>10445.018750970859</v>
      </c>
    </row>
    <row r="16" spans="1:18" ht="12.75" customHeight="1">
      <c r="A16" s="212"/>
      <c r="B16" s="221" t="s">
        <v>64</v>
      </c>
      <c r="C16" s="230">
        <v>9.9459999999999997</v>
      </c>
      <c r="D16" s="230">
        <v>10</v>
      </c>
      <c r="E16" s="230">
        <v>10.5</v>
      </c>
      <c r="F16" s="230">
        <v>10.5</v>
      </c>
      <c r="G16" s="230">
        <v>10.1</v>
      </c>
      <c r="H16" s="230">
        <v>10.381082222547919</v>
      </c>
      <c r="I16" s="230">
        <v>10.808595077153129</v>
      </c>
      <c r="J16" s="230">
        <v>11.24613332249695</v>
      </c>
      <c r="K16" s="230">
        <v>11.85200134241278</v>
      </c>
      <c r="L16" s="230">
        <v>12.33194848698124</v>
      </c>
      <c r="M16" s="230">
        <v>12.840848785603473</v>
      </c>
      <c r="N16" s="230">
        <v>13.081243106323074</v>
      </c>
      <c r="O16" s="239">
        <v>1.8721061569475097</v>
      </c>
      <c r="P16" s="221" t="s">
        <v>64</v>
      </c>
      <c r="Q16" s="180">
        <v>1.3156350000000001</v>
      </c>
      <c r="R16" s="181">
        <f t="shared" si="0"/>
        <v>9942.9120586812242</v>
      </c>
    </row>
    <row r="17" spans="1:18" ht="12.75" customHeight="1">
      <c r="A17" s="212"/>
      <c r="B17" s="874" t="s">
        <v>15</v>
      </c>
      <c r="C17" s="876">
        <v>90</v>
      </c>
      <c r="D17" s="226">
        <v>95</v>
      </c>
      <c r="E17" s="226">
        <v>100</v>
      </c>
      <c r="F17" s="226">
        <v>101.3</v>
      </c>
      <c r="G17" s="226">
        <v>99.6</v>
      </c>
      <c r="H17" s="226">
        <v>98.322079941260128</v>
      </c>
      <c r="I17" s="226">
        <v>96.934481527791093</v>
      </c>
      <c r="J17" s="226">
        <v>95.811379215017098</v>
      </c>
      <c r="K17" s="226">
        <v>96.870041465995087</v>
      </c>
      <c r="L17" s="226">
        <v>98.275784515578437</v>
      </c>
      <c r="M17" s="226">
        <v>99.922362971391891</v>
      </c>
      <c r="N17" s="848">
        <v>101.87708750292296</v>
      </c>
      <c r="O17" s="227">
        <v>1.9562433007020701</v>
      </c>
      <c r="P17" s="213" t="s">
        <v>15</v>
      </c>
      <c r="Q17" s="170">
        <v>10.768193</v>
      </c>
      <c r="R17" s="181">
        <f t="shared" si="0"/>
        <v>9460.9269635976016</v>
      </c>
    </row>
    <row r="18" spans="1:18" ht="12.75" customHeight="1">
      <c r="A18" s="212"/>
      <c r="B18" s="874" t="s">
        <v>66</v>
      </c>
      <c r="C18" s="848">
        <v>340.93700000000001</v>
      </c>
      <c r="D18" s="848">
        <v>343.29300000000001</v>
      </c>
      <c r="E18" s="848">
        <v>342.61099999999999</v>
      </c>
      <c r="F18" s="848">
        <v>350.40100000000001</v>
      </c>
      <c r="G18" s="848">
        <v>341.62900000000002</v>
      </c>
      <c r="H18" s="848">
        <v>334.02100000000002</v>
      </c>
      <c r="I18" s="848">
        <v>321.04500000000002</v>
      </c>
      <c r="J18" s="848">
        <v>316.53899999999999</v>
      </c>
      <c r="K18" s="848">
        <v>308.70400000000001</v>
      </c>
      <c r="L18" s="848">
        <v>317.553</v>
      </c>
      <c r="M18" s="848">
        <v>329.88</v>
      </c>
      <c r="N18" s="848">
        <v>332.858</v>
      </c>
      <c r="O18" s="227">
        <v>0.90275251606644247</v>
      </c>
      <c r="P18" s="874" t="s">
        <v>66</v>
      </c>
      <c r="Q18" s="170">
        <v>46.528024000000002</v>
      </c>
      <c r="R18" s="181">
        <f t="shared" si="0"/>
        <v>7153.9251269299548</v>
      </c>
    </row>
    <row r="19" spans="1:18" ht="12.75" customHeight="1">
      <c r="A19" s="212"/>
      <c r="B19" s="874" t="s">
        <v>87</v>
      </c>
      <c r="C19" s="225">
        <v>62.454999999999998</v>
      </c>
      <c r="D19" s="225">
        <v>63.784999999999997</v>
      </c>
      <c r="E19" s="225">
        <v>63.4</v>
      </c>
      <c r="F19" s="225">
        <v>64.33</v>
      </c>
      <c r="G19" s="225">
        <v>64.745000000000005</v>
      </c>
      <c r="H19" s="848">
        <v>65.489999999999995</v>
      </c>
      <c r="I19" s="848">
        <v>65.27</v>
      </c>
      <c r="J19" s="848">
        <v>65.114999999999995</v>
      </c>
      <c r="K19" s="848">
        <v>65.52</v>
      </c>
      <c r="L19" s="848">
        <v>66.295000000000002</v>
      </c>
      <c r="M19" s="848">
        <v>57.006</v>
      </c>
      <c r="N19" s="848">
        <v>66.606999999999999</v>
      </c>
      <c r="O19" s="227">
        <v>16.842086797880924</v>
      </c>
      <c r="P19" s="213" t="s">
        <v>87</v>
      </c>
      <c r="Q19" s="170">
        <v>5.5032969999999999</v>
      </c>
      <c r="R19" s="181">
        <f t="shared" si="0"/>
        <v>12103.108373035293</v>
      </c>
    </row>
    <row r="20" spans="1:18" s="235" customFormat="1" ht="12.75" customHeight="1">
      <c r="A20" s="229"/>
      <c r="B20" s="221" t="s">
        <v>67</v>
      </c>
      <c r="C20" s="242">
        <v>700.9141843686657</v>
      </c>
      <c r="D20" s="242">
        <v>705.34974950007359</v>
      </c>
      <c r="E20" s="242">
        <v>689.6663151892991</v>
      </c>
      <c r="F20" s="242">
        <v>690.13045232984962</v>
      </c>
      <c r="G20" s="242">
        <v>695.87129702480968</v>
      </c>
      <c r="H20" s="242">
        <v>695.89468592518222</v>
      </c>
      <c r="I20" s="242">
        <v>696.73462707617625</v>
      </c>
      <c r="J20" s="242">
        <v>699.01631315244504</v>
      </c>
      <c r="K20" s="242">
        <v>706.94401297852585</v>
      </c>
      <c r="L20" s="242">
        <v>722.9</v>
      </c>
      <c r="M20" s="242">
        <v>742.5</v>
      </c>
      <c r="N20" s="242">
        <v>743.4</v>
      </c>
      <c r="O20" s="224">
        <v>0.12121212121212466</v>
      </c>
      <c r="P20" s="221" t="s">
        <v>67</v>
      </c>
      <c r="Q20" s="170">
        <v>66.989082999999994</v>
      </c>
      <c r="R20" s="181">
        <f t="shared" si="0"/>
        <v>11097.33059041874</v>
      </c>
    </row>
    <row r="21" spans="1:18" ht="12.75" customHeight="1">
      <c r="A21" s="212"/>
      <c r="B21" s="874" t="s">
        <v>144</v>
      </c>
      <c r="C21" s="876">
        <v>25</v>
      </c>
      <c r="D21" s="876">
        <v>26</v>
      </c>
      <c r="E21" s="876">
        <v>27</v>
      </c>
      <c r="F21" s="876">
        <v>26.8</v>
      </c>
      <c r="G21" s="876">
        <v>25.7</v>
      </c>
      <c r="H21" s="876">
        <v>25.242000000000001</v>
      </c>
      <c r="I21" s="876">
        <v>26.146999999999998</v>
      </c>
      <c r="J21" s="876">
        <v>26.145</v>
      </c>
      <c r="K21" s="876">
        <v>26.056999999999999</v>
      </c>
      <c r="L21" s="876">
        <v>26.393000000000001</v>
      </c>
      <c r="M21" s="876">
        <v>26.181000000000001</v>
      </c>
      <c r="N21" s="876">
        <v>26.189</v>
      </c>
      <c r="O21" s="244">
        <v>3.0556510446501761E-2</v>
      </c>
      <c r="P21" s="874" t="s">
        <v>144</v>
      </c>
      <c r="Q21" s="170">
        <v>4.1542130000000004</v>
      </c>
      <c r="R21" s="181">
        <f t="shared" si="0"/>
        <v>6304.2025047824945</v>
      </c>
    </row>
    <row r="22" spans="1:18" s="235" customFormat="1" ht="12.75" customHeight="1">
      <c r="A22" s="229"/>
      <c r="B22" s="221" t="s">
        <v>77</v>
      </c>
      <c r="C22" s="230">
        <v>52.314999999999998</v>
      </c>
      <c r="D22" s="230">
        <v>53.945999999999998</v>
      </c>
      <c r="E22" s="230">
        <v>54.005000000000003</v>
      </c>
      <c r="F22" s="230">
        <v>54.396000000000001</v>
      </c>
      <c r="G22" s="230">
        <v>52.594999999999999</v>
      </c>
      <c r="H22" s="230">
        <v>52.250999999999998</v>
      </c>
      <c r="I22" s="230">
        <v>51.792999999999999</v>
      </c>
      <c r="J22" s="230">
        <v>51.823999999999998</v>
      </c>
      <c r="K22" s="230">
        <v>52.722999999999999</v>
      </c>
      <c r="L22" s="230">
        <v>54.603000000000002</v>
      </c>
      <c r="M22" s="230">
        <v>56.677</v>
      </c>
      <c r="N22" s="230">
        <v>60.645000000000003</v>
      </c>
      <c r="O22" s="239">
        <v>7.0010762743264507</v>
      </c>
      <c r="P22" s="221" t="s">
        <v>77</v>
      </c>
      <c r="Q22" s="170">
        <v>9.797561</v>
      </c>
      <c r="R22" s="181">
        <f t="shared" si="0"/>
        <v>6189.8058098336924</v>
      </c>
    </row>
    <row r="23" spans="1:18" ht="12.75" customHeight="1">
      <c r="A23" s="212"/>
      <c r="B23" s="874" t="s">
        <v>68</v>
      </c>
      <c r="C23" s="236">
        <v>45.99</v>
      </c>
      <c r="D23" s="236">
        <v>47.959499999999998</v>
      </c>
      <c r="E23" s="236">
        <v>48.887999999999998</v>
      </c>
      <c r="F23" s="236">
        <v>48.857999999999997</v>
      </c>
      <c r="G23" s="236">
        <v>48.082500000000003</v>
      </c>
      <c r="H23" s="236">
        <v>47.457000000000001</v>
      </c>
      <c r="I23" s="236">
        <v>46.613999999999997</v>
      </c>
      <c r="J23" s="236">
        <v>48.046499999999995</v>
      </c>
      <c r="K23" s="236">
        <v>47.185500000000005</v>
      </c>
      <c r="L23" s="236">
        <v>51.913499999999999</v>
      </c>
      <c r="M23" s="236">
        <v>55.033500000000004</v>
      </c>
      <c r="N23" s="236">
        <v>56.548944072441628</v>
      </c>
      <c r="O23" s="237">
        <v>2.7536756201979244</v>
      </c>
      <c r="P23" s="874" t="s">
        <v>68</v>
      </c>
      <c r="Q23" s="180">
        <v>4.7843830000000001</v>
      </c>
      <c r="R23" s="181">
        <f t="shared" si="0"/>
        <v>11819.485202677466</v>
      </c>
    </row>
    <row r="24" spans="1:18" s="235" customFormat="1" ht="12.75" customHeight="1">
      <c r="A24" s="229"/>
      <c r="B24" s="874" t="s">
        <v>69</v>
      </c>
      <c r="C24" s="225">
        <v>676.255</v>
      </c>
      <c r="D24" s="225">
        <v>677.05600000000004</v>
      </c>
      <c r="E24" s="225">
        <v>676.35900000000004</v>
      </c>
      <c r="F24" s="225">
        <v>719.91200000000003</v>
      </c>
      <c r="G24" s="225">
        <v>698.39</v>
      </c>
      <c r="H24" s="225">
        <v>665.32799999999997</v>
      </c>
      <c r="I24" s="225">
        <v>578.66800000000001</v>
      </c>
      <c r="J24" s="225">
        <v>620.36800000000005</v>
      </c>
      <c r="K24" s="225">
        <v>642.91999999999996</v>
      </c>
      <c r="L24" s="225">
        <v>676.35</v>
      </c>
      <c r="M24" s="225">
        <v>704.54200000000003</v>
      </c>
      <c r="N24" s="876">
        <v>744.91899999999998</v>
      </c>
      <c r="O24" s="244">
        <v>5.7309571324349662</v>
      </c>
      <c r="P24" s="213" t="s">
        <v>69</v>
      </c>
      <c r="Q24" s="170">
        <v>60.589444999999998</v>
      </c>
      <c r="R24" s="181">
        <f t="shared" si="0"/>
        <v>12294.534138743142</v>
      </c>
    </row>
    <row r="25" spans="1:18" ht="12.75" customHeight="1">
      <c r="A25" s="212"/>
      <c r="B25" s="221" t="s">
        <v>73</v>
      </c>
      <c r="C25" s="240">
        <v>39.472000000000001</v>
      </c>
      <c r="D25" s="240">
        <v>39.119</v>
      </c>
      <c r="E25" s="240">
        <v>37.991</v>
      </c>
      <c r="F25" s="240">
        <v>36.055</v>
      </c>
      <c r="G25" s="240">
        <v>32.569000000000003</v>
      </c>
      <c r="H25" s="240">
        <v>29.908000000000001</v>
      </c>
      <c r="I25" s="240">
        <v>34.191000000000003</v>
      </c>
      <c r="J25" s="240">
        <v>33.325000000000003</v>
      </c>
      <c r="K25" s="240">
        <v>24.335999999999999</v>
      </c>
      <c r="L25" s="240">
        <v>24.864999999999998</v>
      </c>
      <c r="M25" s="240">
        <v>25.853999999999999</v>
      </c>
      <c r="N25" s="240">
        <v>31.361000000000001</v>
      </c>
      <c r="O25" s="241">
        <v>21.300379051597432</v>
      </c>
      <c r="P25" s="221" t="s">
        <v>73</v>
      </c>
      <c r="Q25" s="180">
        <v>2.8479040000000002</v>
      </c>
      <c r="R25" s="181">
        <f t="shared" si="0"/>
        <v>11011.958268256232</v>
      </c>
    </row>
    <row r="26" spans="1:18" s="235" customFormat="1" ht="12.75" customHeight="1">
      <c r="A26" s="229"/>
      <c r="B26" s="874" t="s">
        <v>76</v>
      </c>
      <c r="C26" s="876">
        <v>6.5</v>
      </c>
      <c r="D26" s="876">
        <v>6.6</v>
      </c>
      <c r="E26" s="876">
        <v>6.7</v>
      </c>
      <c r="F26" s="876">
        <v>6.7</v>
      </c>
      <c r="G26" s="876">
        <v>6.5</v>
      </c>
      <c r="H26" s="876">
        <v>6.5917580235815709</v>
      </c>
      <c r="I26" s="876">
        <v>6.7331326886577019</v>
      </c>
      <c r="J26" s="876">
        <v>6.8509305497477948</v>
      </c>
      <c r="K26" s="876">
        <v>7.132396036634483</v>
      </c>
      <c r="L26" s="876">
        <v>7.3213582606667256</v>
      </c>
      <c r="M26" s="876">
        <v>7.5254204786711547</v>
      </c>
      <c r="N26" s="876">
        <v>7.6739151349680519</v>
      </c>
      <c r="O26" s="244">
        <v>1.9732406543629963</v>
      </c>
      <c r="P26" s="213" t="s">
        <v>76</v>
      </c>
      <c r="Q26" s="170">
        <v>0.59066700000000005</v>
      </c>
      <c r="R26" s="181">
        <f t="shared" si="0"/>
        <v>12991.948314309164</v>
      </c>
    </row>
    <row r="27" spans="1:18" ht="12.75" customHeight="1">
      <c r="A27" s="212"/>
      <c r="B27" s="221" t="s">
        <v>72</v>
      </c>
      <c r="C27" s="230">
        <v>14.019600000000001</v>
      </c>
      <c r="D27" s="230">
        <v>15.9572</v>
      </c>
      <c r="E27" s="230">
        <v>14.2525</v>
      </c>
      <c r="F27" s="230">
        <v>12.70369</v>
      </c>
      <c r="G27" s="248">
        <v>12.312340000000001</v>
      </c>
      <c r="H27" s="230">
        <v>11.3499</v>
      </c>
      <c r="I27" s="230">
        <v>11.528</v>
      </c>
      <c r="J27" s="230">
        <v>11.7334</v>
      </c>
      <c r="K27" s="230">
        <v>12.6258</v>
      </c>
      <c r="L27" s="230">
        <v>13.5426</v>
      </c>
      <c r="M27" s="230">
        <v>13.8988</v>
      </c>
      <c r="N27" s="230">
        <v>14.978</v>
      </c>
      <c r="O27" s="239">
        <v>7.7646991107146022</v>
      </c>
      <c r="P27" s="221" t="s">
        <v>72</v>
      </c>
      <c r="Q27" s="180">
        <v>1.950116</v>
      </c>
      <c r="R27" s="181">
        <f t="shared" si="0"/>
        <v>7680.5687456541045</v>
      </c>
    </row>
    <row r="28" spans="1:18" s="235" customFormat="1" ht="12.75" customHeight="1">
      <c r="A28" s="229"/>
      <c r="B28" s="874" t="s">
        <v>78</v>
      </c>
      <c r="C28" s="226">
        <v>2.0499999999999998</v>
      </c>
      <c r="D28" s="226">
        <v>2.1</v>
      </c>
      <c r="E28" s="226">
        <v>2.15</v>
      </c>
      <c r="F28" s="226">
        <v>2.2000000000000002</v>
      </c>
      <c r="G28" s="226">
        <v>2.2000000000000002</v>
      </c>
      <c r="H28" s="226">
        <v>2.2297181531995443</v>
      </c>
      <c r="I28" s="226">
        <v>2.2404488975013952</v>
      </c>
      <c r="J28" s="226">
        <v>2.291235362302769</v>
      </c>
      <c r="K28" s="226">
        <v>2.4135009155436644</v>
      </c>
      <c r="L28" s="226">
        <v>2.5042317396135667</v>
      </c>
      <c r="M28" s="226">
        <v>2.5939190716426603</v>
      </c>
      <c r="N28" s="848">
        <v>2.6182962299592711</v>
      </c>
      <c r="O28" s="227">
        <v>0.93978098943439647</v>
      </c>
      <c r="P28" s="213" t="s">
        <v>78</v>
      </c>
      <c r="Q28" s="170">
        <v>0.46029700000000001</v>
      </c>
      <c r="R28" s="181">
        <f t="shared" si="0"/>
        <v>5688.2756784408139</v>
      </c>
    </row>
    <row r="29" spans="1:18" ht="12.75" customHeight="1">
      <c r="A29" s="212"/>
      <c r="B29" s="874" t="s">
        <v>16</v>
      </c>
      <c r="C29" s="848">
        <v>148</v>
      </c>
      <c r="D29" s="848">
        <v>148.80000000000001</v>
      </c>
      <c r="E29" s="876">
        <v>147</v>
      </c>
      <c r="F29" s="876">
        <v>146.30000000000001</v>
      </c>
      <c r="G29" s="876">
        <v>144.19999999999999</v>
      </c>
      <c r="H29" s="876">
        <v>144.4</v>
      </c>
      <c r="I29" s="876">
        <v>139.69999999999999</v>
      </c>
      <c r="J29" s="876">
        <v>145.4</v>
      </c>
      <c r="K29" s="876">
        <v>144.96899999999999</v>
      </c>
      <c r="L29" s="876">
        <v>139.5</v>
      </c>
      <c r="M29" s="876">
        <v>140.80000000000001</v>
      </c>
      <c r="N29" s="876">
        <v>138.69999999999999</v>
      </c>
      <c r="O29" s="244">
        <v>-1.4914772727272947</v>
      </c>
      <c r="P29" s="874" t="s">
        <v>16</v>
      </c>
      <c r="Q29" s="180">
        <v>17.081506999999998</v>
      </c>
      <c r="R29" s="181">
        <f t="shared" si="0"/>
        <v>8119.8924661623832</v>
      </c>
    </row>
    <row r="30" spans="1:18" s="235" customFormat="1" ht="12.75" customHeight="1">
      <c r="A30" s="229"/>
      <c r="B30" s="221" t="s">
        <v>80</v>
      </c>
      <c r="C30" s="230">
        <v>156.6</v>
      </c>
      <c r="D30" s="230">
        <v>162.30000000000001</v>
      </c>
      <c r="E30" s="230">
        <v>172.6</v>
      </c>
      <c r="F30" s="231">
        <v>182.75800000000001</v>
      </c>
      <c r="G30" s="230">
        <v>188.81</v>
      </c>
      <c r="H30" s="230">
        <v>189.10300000000001</v>
      </c>
      <c r="I30" s="230">
        <v>189.32400000000001</v>
      </c>
      <c r="J30" s="230">
        <v>193.33600000000001</v>
      </c>
      <c r="K30" s="230">
        <v>197.03200000000001</v>
      </c>
      <c r="L30" s="230">
        <v>200.57</v>
      </c>
      <c r="M30" s="230">
        <v>203.78299999999999</v>
      </c>
      <c r="N30" s="230">
        <v>205.74691578298317</v>
      </c>
      <c r="O30" s="239">
        <v>0.96372895824636373</v>
      </c>
      <c r="P30" s="221" t="s">
        <v>80</v>
      </c>
      <c r="Q30" s="170">
        <v>37.972963999999997</v>
      </c>
      <c r="R30" s="181">
        <f t="shared" si="0"/>
        <v>5418.2474610879253</v>
      </c>
    </row>
    <row r="31" spans="1:18" ht="12.75" customHeight="1">
      <c r="A31" s="212"/>
      <c r="B31" s="221" t="s">
        <v>92</v>
      </c>
      <c r="C31" s="230">
        <v>86</v>
      </c>
      <c r="D31" s="230">
        <v>86.6</v>
      </c>
      <c r="E31" s="230">
        <v>87</v>
      </c>
      <c r="F31" s="230">
        <v>86</v>
      </c>
      <c r="G31" s="230">
        <v>83.7</v>
      </c>
      <c r="H31" s="230">
        <v>83.190084528920025</v>
      </c>
      <c r="I31" s="230">
        <v>82.13077342280117</v>
      </c>
      <c r="J31" s="230">
        <v>81.865937271332953</v>
      </c>
      <c r="K31" s="230">
        <v>83.335892690114903</v>
      </c>
      <c r="L31" s="230">
        <v>84.467857514628818</v>
      </c>
      <c r="M31" s="230">
        <v>90.461994001226003</v>
      </c>
      <c r="N31" s="230">
        <v>92.191507303343357</v>
      </c>
      <c r="O31" s="239">
        <v>1.9118673219760325</v>
      </c>
      <c r="P31" s="221" t="s">
        <v>92</v>
      </c>
      <c r="Q31" s="180">
        <v>10.309573</v>
      </c>
      <c r="R31" s="181">
        <f t="shared" si="0"/>
        <v>8942.3206279584374</v>
      </c>
    </row>
    <row r="32" spans="1:18" ht="12.75" customHeight="1">
      <c r="A32" s="212"/>
      <c r="B32" s="874" t="s">
        <v>101</v>
      </c>
      <c r="C32" s="848">
        <v>64.099999999999994</v>
      </c>
      <c r="D32" s="848">
        <v>67.5</v>
      </c>
      <c r="E32" s="848">
        <v>70.5</v>
      </c>
      <c r="F32" s="848">
        <v>75.5</v>
      </c>
      <c r="G32" s="848">
        <v>75.5</v>
      </c>
      <c r="H32" s="848">
        <v>74.97833815332045</v>
      </c>
      <c r="I32" s="848">
        <v>77.04505960700007</v>
      </c>
      <c r="J32" s="848">
        <v>80.363418326056077</v>
      </c>
      <c r="K32" s="848">
        <v>85.193859872241475</v>
      </c>
      <c r="L32" s="848">
        <v>89.866362080533492</v>
      </c>
      <c r="M32" s="848">
        <v>95.591682544376425</v>
      </c>
      <c r="N32" s="848">
        <v>97.303330280284371</v>
      </c>
      <c r="O32" s="227">
        <v>1.7905822874425752</v>
      </c>
      <c r="P32" s="874" t="s">
        <v>101</v>
      </c>
      <c r="Q32" s="170">
        <v>19.644349999999999</v>
      </c>
      <c r="R32" s="181">
        <f t="shared" si="0"/>
        <v>4953.2476401756421</v>
      </c>
    </row>
    <row r="33" spans="1:18" ht="12.75" customHeight="1">
      <c r="A33" s="212"/>
      <c r="B33" s="221" t="s">
        <v>88</v>
      </c>
      <c r="C33" s="230">
        <v>108.13703214573366</v>
      </c>
      <c r="D33" s="230">
        <v>110.23856590007244</v>
      </c>
      <c r="E33" s="230">
        <v>109.46845217694035</v>
      </c>
      <c r="F33" s="230">
        <v>108.89703801054038</v>
      </c>
      <c r="G33" s="230">
        <v>108.01282861161354</v>
      </c>
      <c r="H33" s="230">
        <v>109.02898505595721</v>
      </c>
      <c r="I33" s="230">
        <v>108.37233901934596</v>
      </c>
      <c r="J33" s="230">
        <v>108.20578822350051</v>
      </c>
      <c r="K33" s="230">
        <v>110.34047754415158</v>
      </c>
      <c r="L33" s="230">
        <v>111.895515890943</v>
      </c>
      <c r="M33" s="230">
        <v>114.50426182726601</v>
      </c>
      <c r="N33" s="230">
        <v>116.026</v>
      </c>
      <c r="O33" s="239">
        <v>1.3289795056096665</v>
      </c>
      <c r="P33" s="221" t="s">
        <v>88</v>
      </c>
      <c r="Q33" s="180">
        <v>9.9951530000000002</v>
      </c>
      <c r="R33" s="181">
        <f t="shared" si="0"/>
        <v>11608.22650738813</v>
      </c>
    </row>
    <row r="34" spans="1:18" ht="12.75" customHeight="1">
      <c r="A34" s="212"/>
      <c r="B34" s="221" t="s">
        <v>83</v>
      </c>
      <c r="C34" s="231">
        <v>23.006</v>
      </c>
      <c r="D34" s="231">
        <v>24.355</v>
      </c>
      <c r="E34" s="231">
        <v>24.878</v>
      </c>
      <c r="F34" s="231">
        <v>25.774999999999999</v>
      </c>
      <c r="G34" s="231">
        <v>25.635999999999999</v>
      </c>
      <c r="H34" s="231">
        <v>25.487436219641157</v>
      </c>
      <c r="I34" s="231">
        <v>25.302775921222882</v>
      </c>
      <c r="J34" s="231">
        <v>25.168354826572546</v>
      </c>
      <c r="K34" s="231">
        <v>25.638692920142624</v>
      </c>
      <c r="L34" s="231">
        <v>25.996532775797913</v>
      </c>
      <c r="M34" s="231">
        <v>26.478496232138678</v>
      </c>
      <c r="N34" s="231">
        <v>27.133920814744961</v>
      </c>
      <c r="O34" s="241">
        <v>2.4753089331815943</v>
      </c>
      <c r="P34" s="221" t="s">
        <v>83</v>
      </c>
      <c r="Q34" s="170">
        <v>2.0658949999999998</v>
      </c>
      <c r="R34" s="181">
        <f t="shared" si="0"/>
        <v>13134.220671788724</v>
      </c>
    </row>
    <row r="35" spans="1:18" ht="12.75" customHeight="1">
      <c r="A35" s="212"/>
      <c r="B35" s="221" t="s">
        <v>85</v>
      </c>
      <c r="C35" s="230">
        <v>26.341999999999999</v>
      </c>
      <c r="D35" s="230">
        <v>25.994</v>
      </c>
      <c r="E35" s="230">
        <v>26.395</v>
      </c>
      <c r="F35" s="230">
        <v>26.42</v>
      </c>
      <c r="G35" s="230">
        <v>26.879000000000001</v>
      </c>
      <c r="H35" s="230">
        <v>26.887</v>
      </c>
      <c r="I35" s="230">
        <v>26.934999999999999</v>
      </c>
      <c r="J35" s="230">
        <v>27.155000000000001</v>
      </c>
      <c r="K35" s="230">
        <v>27.251000000000001</v>
      </c>
      <c r="L35" s="249">
        <v>27.530999999999999</v>
      </c>
      <c r="M35" s="249">
        <v>27.835999999999999</v>
      </c>
      <c r="N35" s="249">
        <v>28.12</v>
      </c>
      <c r="O35" s="239">
        <v>1.0202615318293056</v>
      </c>
      <c r="P35" s="221" t="s">
        <v>85</v>
      </c>
      <c r="Q35" s="170">
        <v>5.4353429999999996</v>
      </c>
      <c r="R35" s="181">
        <f t="shared" si="0"/>
        <v>5173.5465452686249</v>
      </c>
    </row>
    <row r="36" spans="1:18" ht="12.75" customHeight="1">
      <c r="A36" s="212"/>
      <c r="B36" s="874" t="s">
        <v>13</v>
      </c>
      <c r="C36" s="225">
        <v>672.6214990265529</v>
      </c>
      <c r="D36" s="225">
        <v>673.5385181638319</v>
      </c>
      <c r="E36" s="225">
        <v>665.73718136436867</v>
      </c>
      <c r="F36" s="225">
        <v>660.91552968957365</v>
      </c>
      <c r="G36" s="225">
        <v>644.68988399707871</v>
      </c>
      <c r="H36" s="225">
        <v>644.07292371421613</v>
      </c>
      <c r="I36" s="225">
        <v>647.22138050375452</v>
      </c>
      <c r="J36" s="225">
        <v>641.76923740042116</v>
      </c>
      <c r="K36" s="225">
        <v>654.37541300024156</v>
      </c>
      <c r="L36" s="225">
        <v>655.1690050715963</v>
      </c>
      <c r="M36" s="225">
        <v>665.5</v>
      </c>
      <c r="N36" s="876">
        <v>670.4</v>
      </c>
      <c r="O36" s="244">
        <v>0.73628850488354658</v>
      </c>
      <c r="P36" s="213" t="s">
        <v>13</v>
      </c>
      <c r="Q36" s="170">
        <v>65.808572999999996</v>
      </c>
      <c r="R36" s="181">
        <f t="shared" si="0"/>
        <v>10187.1225805185</v>
      </c>
    </row>
    <row r="37" spans="1:18" ht="12.75" customHeight="1">
      <c r="A37" s="212"/>
      <c r="B37" s="251" t="s">
        <v>270</v>
      </c>
      <c r="C37" s="253">
        <v>6.87</v>
      </c>
      <c r="D37" s="253">
        <v>6.3769999999999998</v>
      </c>
      <c r="E37" s="253">
        <v>5.6470000000000002</v>
      </c>
      <c r="F37" s="253">
        <v>6.0679999999999996</v>
      </c>
      <c r="G37" s="253">
        <v>5.5350000000000001</v>
      </c>
      <c r="H37" s="253">
        <v>6.726</v>
      </c>
      <c r="I37" s="253">
        <v>6.6539999999999999</v>
      </c>
      <c r="J37" s="253">
        <v>7.5869999999999997</v>
      </c>
      <c r="K37" s="254">
        <v>8.5147087631836964</v>
      </c>
      <c r="L37" s="254">
        <v>9.1301001235411867</v>
      </c>
      <c r="M37" s="254">
        <v>9.8813133263123767</v>
      </c>
      <c r="N37" s="254">
        <v>10.110866732127308</v>
      </c>
      <c r="O37" s="255">
        <v>2.3231062332945953</v>
      </c>
      <c r="P37" s="251" t="s">
        <v>270</v>
      </c>
      <c r="Q37" s="228"/>
    </row>
    <row r="38" spans="1:18" ht="12.75" customHeight="1">
      <c r="A38" s="212"/>
      <c r="B38" s="874" t="s">
        <v>223</v>
      </c>
      <c r="C38" s="226"/>
      <c r="D38" s="226"/>
      <c r="E38" s="226"/>
      <c r="F38" s="226"/>
      <c r="G38" s="226">
        <v>4.0794439430330511</v>
      </c>
      <c r="H38" s="226">
        <v>3.9296942863908528</v>
      </c>
      <c r="I38" s="226">
        <v>3.9769749659620941</v>
      </c>
      <c r="J38" s="226">
        <v>4.0735233437976959</v>
      </c>
      <c r="K38" s="226">
        <v>4.0257796220392139</v>
      </c>
      <c r="L38" s="226">
        <v>4.0854062327582561</v>
      </c>
      <c r="M38" s="226">
        <v>4.496951770863971</v>
      </c>
      <c r="N38" s="848">
        <v>4.6042243626959474</v>
      </c>
      <c r="O38" s="227">
        <v>2.3854512411496671</v>
      </c>
      <c r="P38" s="213" t="s">
        <v>223</v>
      </c>
      <c r="Q38" s="228"/>
      <c r="R38" s="746">
        <f>R6</f>
        <v>9582.0131487076851</v>
      </c>
    </row>
    <row r="39" spans="1:18" s="235" customFormat="1" ht="12.75" customHeight="1">
      <c r="A39" s="229"/>
      <c r="B39" s="221" t="s">
        <v>145</v>
      </c>
      <c r="C39" s="223">
        <v>3.806</v>
      </c>
      <c r="D39" s="223">
        <v>3.9740000000000002</v>
      </c>
      <c r="E39" s="223">
        <v>4.2149999999999999</v>
      </c>
      <c r="F39" s="223">
        <v>4.2439999999999998</v>
      </c>
      <c r="G39" s="223">
        <v>4.6829999999999998</v>
      </c>
      <c r="H39" s="223">
        <v>5.3220000000000001</v>
      </c>
      <c r="I39" s="223">
        <v>5.1159999999999997</v>
      </c>
      <c r="J39" s="223">
        <v>6.3410000000000002</v>
      </c>
      <c r="K39" s="223">
        <v>6.7690000000000001</v>
      </c>
      <c r="L39" s="223">
        <v>6.9870000000000001</v>
      </c>
      <c r="M39" s="223">
        <v>7.1920000000000002</v>
      </c>
      <c r="N39" s="223">
        <v>9.1679999999999993</v>
      </c>
      <c r="O39" s="239">
        <v>27.474972191323687</v>
      </c>
      <c r="P39" s="221" t="s">
        <v>145</v>
      </c>
      <c r="Q39" s="190"/>
      <c r="R39" s="746">
        <f>R7</f>
        <v>10447.419922243978</v>
      </c>
    </row>
    <row r="40" spans="1:18" s="235" customFormat="1" ht="12.75" customHeight="1">
      <c r="A40" s="229"/>
      <c r="B40" s="874" t="s">
        <v>224</v>
      </c>
      <c r="C40" s="226"/>
      <c r="D40" s="226"/>
      <c r="E40" s="226"/>
      <c r="F40" s="226"/>
      <c r="G40" s="226">
        <v>30.589796610169493</v>
      </c>
      <c r="H40" s="226">
        <v>26.079487179487181</v>
      </c>
      <c r="I40" s="226">
        <v>26.518480492612699</v>
      </c>
      <c r="J40" s="226">
        <v>27.106308597581521</v>
      </c>
      <c r="K40" s="226">
        <v>27.918314222064502</v>
      </c>
      <c r="L40" s="226">
        <v>28.61996915457172</v>
      </c>
      <c r="M40" s="226">
        <v>29.512492930402949</v>
      </c>
      <c r="N40" s="848">
        <v>29.985312873850475</v>
      </c>
      <c r="O40" s="227">
        <v>1.6021009968983009</v>
      </c>
      <c r="P40" s="213" t="s">
        <v>224</v>
      </c>
      <c r="Q40" s="228"/>
    </row>
    <row r="41" spans="1:18" ht="12" customHeight="1">
      <c r="A41" s="212"/>
      <c r="B41" s="256" t="s">
        <v>146</v>
      </c>
      <c r="C41" s="259">
        <v>108</v>
      </c>
      <c r="D41" s="259">
        <v>114</v>
      </c>
      <c r="E41" s="259">
        <v>120</v>
      </c>
      <c r="F41" s="260">
        <v>124.038</v>
      </c>
      <c r="G41" s="258">
        <v>137.857</v>
      </c>
      <c r="H41" s="258">
        <v>146.93100000000001</v>
      </c>
      <c r="I41" s="258">
        <v>162.315</v>
      </c>
      <c r="J41" s="258">
        <v>173.33199999999999</v>
      </c>
      <c r="K41" s="258">
        <v>182.155</v>
      </c>
      <c r="L41" s="258">
        <v>199.89500000000001</v>
      </c>
      <c r="M41" s="258">
        <v>213.85300000000001</v>
      </c>
      <c r="N41" s="258">
        <v>217.99504601287668</v>
      </c>
      <c r="O41" s="261">
        <v>1.9368659840529148</v>
      </c>
      <c r="P41" s="256" t="s">
        <v>146</v>
      </c>
    </row>
    <row r="42" spans="1:18" ht="12.75" customHeight="1">
      <c r="A42" s="212"/>
      <c r="B42" s="874" t="s">
        <v>147</v>
      </c>
      <c r="C42" s="225">
        <v>4.8330000000000002</v>
      </c>
      <c r="D42" s="225">
        <v>5.077</v>
      </c>
      <c r="E42" s="225">
        <v>4.9480000000000004</v>
      </c>
      <c r="F42" s="262">
        <v>5.0019999999999998</v>
      </c>
      <c r="G42" s="262">
        <v>4.9580000000000002</v>
      </c>
      <c r="H42" s="262">
        <v>4.7759999999999998</v>
      </c>
      <c r="I42" s="262">
        <v>4.8319999999999999</v>
      </c>
      <c r="J42" s="262">
        <v>4.9710000000000001</v>
      </c>
      <c r="K42" s="262">
        <v>5.226</v>
      </c>
      <c r="L42" s="262">
        <v>5.5780000000000003</v>
      </c>
      <c r="M42" s="262">
        <v>6.468</v>
      </c>
      <c r="N42" s="879">
        <v>6.6463186788775586</v>
      </c>
      <c r="O42" s="263">
        <v>2.7569369028688726</v>
      </c>
      <c r="P42" s="213" t="s">
        <v>147</v>
      </c>
    </row>
    <row r="43" spans="1:18" ht="12.75" customHeight="1">
      <c r="A43" s="212"/>
      <c r="B43" s="221" t="s">
        <v>148</v>
      </c>
      <c r="C43" s="230">
        <v>54.938000000000002</v>
      </c>
      <c r="D43" s="230">
        <v>56.673999999999999</v>
      </c>
      <c r="E43" s="230">
        <v>57.743000000000009</v>
      </c>
      <c r="F43" s="230">
        <v>58.292000000000002</v>
      </c>
      <c r="G43" s="230">
        <v>58.777999999999999</v>
      </c>
      <c r="H43" s="230">
        <v>59.903000000000006</v>
      </c>
      <c r="I43" s="230">
        <v>60.704000000000001</v>
      </c>
      <c r="J43" s="230">
        <v>61.512999999999998</v>
      </c>
      <c r="K43" s="230">
        <v>63.48</v>
      </c>
      <c r="L43" s="230">
        <v>64.716000000000008</v>
      </c>
      <c r="M43" s="230">
        <v>64.992000000000004</v>
      </c>
      <c r="N43" s="230">
        <v>66.39</v>
      </c>
      <c r="O43" s="239">
        <v>2.1510339734120976</v>
      </c>
      <c r="P43" s="221" t="s">
        <v>148</v>
      </c>
    </row>
    <row r="44" spans="1:18" ht="12.75" customHeight="1">
      <c r="A44" s="212"/>
      <c r="B44" s="851" t="s">
        <v>149</v>
      </c>
      <c r="C44" s="250">
        <v>78.394000000000005</v>
      </c>
      <c r="D44" s="250">
        <v>79.260999999999996</v>
      </c>
      <c r="E44" s="250">
        <v>81.397000000000006</v>
      </c>
      <c r="F44" s="250">
        <v>83.887</v>
      </c>
      <c r="G44" s="250">
        <v>85.933999999999997</v>
      </c>
      <c r="H44" s="250">
        <v>86.722999999999999</v>
      </c>
      <c r="I44" s="250">
        <v>88.15</v>
      </c>
      <c r="J44" s="250">
        <v>89.466999999999999</v>
      </c>
      <c r="K44" s="250">
        <v>90.703999999999994</v>
      </c>
      <c r="L44" s="250">
        <v>91.995000000000005</v>
      </c>
      <c r="M44" s="250">
        <v>93.97</v>
      </c>
      <c r="N44" s="877">
        <v>95.742000000000004</v>
      </c>
      <c r="O44" s="264">
        <v>1.8857082047462086</v>
      </c>
      <c r="P44" s="217" t="s">
        <v>149</v>
      </c>
    </row>
    <row r="45" spans="1:18" ht="15" customHeight="1">
      <c r="A45" s="212"/>
      <c r="B45" s="265" t="s">
        <v>168</v>
      </c>
      <c r="C45" s="266"/>
      <c r="D45" s="266"/>
      <c r="E45" s="266"/>
      <c r="F45" s="266"/>
      <c r="G45" s="266"/>
      <c r="H45" s="266"/>
      <c r="I45" s="266"/>
      <c r="J45" s="266"/>
      <c r="K45" s="266"/>
      <c r="L45" s="266"/>
      <c r="M45" s="266"/>
      <c r="N45" s="266"/>
      <c r="P45" s="266"/>
    </row>
    <row r="46" spans="1:18" ht="12.75" customHeight="1">
      <c r="B46" s="267" t="s">
        <v>166</v>
      </c>
      <c r="C46" s="268"/>
      <c r="D46" s="268"/>
      <c r="E46" s="268"/>
      <c r="F46" s="268"/>
      <c r="G46" s="268"/>
      <c r="H46" s="268"/>
      <c r="I46" s="268"/>
      <c r="J46" s="268"/>
      <c r="K46" s="268"/>
      <c r="L46" s="268"/>
      <c r="M46" s="268"/>
      <c r="N46" s="268"/>
      <c r="O46" s="268"/>
      <c r="P46" s="268"/>
    </row>
    <row r="47" spans="1:18" ht="12.75" customHeight="1">
      <c r="B47" s="194" t="s">
        <v>302</v>
      </c>
    </row>
    <row r="48" spans="1:18" ht="13.5" customHeight="1">
      <c r="A48" s="190"/>
      <c r="B48" s="269" t="s">
        <v>274</v>
      </c>
    </row>
    <row r="49" spans="1:14" ht="12.75" customHeight="1">
      <c r="A49" s="190"/>
      <c r="B49" s="269" t="s">
        <v>169</v>
      </c>
    </row>
    <row r="50" spans="1:14" ht="12.75" customHeight="1">
      <c r="A50" s="190"/>
      <c r="B50" s="269" t="s">
        <v>279</v>
      </c>
    </row>
    <row r="51" spans="1:14">
      <c r="B51" s="190" t="s">
        <v>280</v>
      </c>
    </row>
    <row r="52" spans="1:14">
      <c r="B52" s="190" t="s">
        <v>281</v>
      </c>
      <c r="K52" s="223"/>
      <c r="L52" s="223"/>
      <c r="M52" s="223"/>
      <c r="N52" s="223"/>
    </row>
    <row r="53" spans="1:14">
      <c r="B53" s="270" t="s">
        <v>282</v>
      </c>
    </row>
    <row r="54" spans="1:14">
      <c r="B54" s="270" t="s">
        <v>283</v>
      </c>
    </row>
    <row r="57" spans="1:14">
      <c r="K57" s="230"/>
      <c r="L57" s="230"/>
      <c r="M57" s="230"/>
      <c r="N57" s="230"/>
    </row>
    <row r="58" spans="1:14">
      <c r="K58" s="230"/>
      <c r="L58" s="230"/>
      <c r="M58" s="230"/>
      <c r="N58" s="230"/>
    </row>
    <row r="59" spans="1:14">
      <c r="K59" s="271"/>
      <c r="L59" s="271"/>
      <c r="M59" s="271"/>
      <c r="N59" s="271"/>
    </row>
    <row r="60" spans="1:14">
      <c r="K60" s="223"/>
      <c r="L60" s="223"/>
      <c r="M60" s="223"/>
      <c r="N60" s="223"/>
    </row>
  </sheetData>
  <mergeCells count="1">
    <mergeCell ref="B2:P2"/>
  </mergeCells>
  <printOptions horizontalCentered="1"/>
  <pageMargins left="0.47244094488188981" right="0.27559055118110237" top="0.51181102362204722" bottom="0.27559055118110237" header="0" footer="0"/>
  <pageSetup paperSize="9" scale="76" orientation="portrait" r:id="rId1"/>
  <headerFooter alignWithMargins="0"/>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A27306590</value>
    </field>
    <field name="Objective-Title">
      <value order="0">Chapter12 - International</value>
    </field>
    <field name="Objective-Description">
      <value order="0"/>
    </field>
    <field name="Objective-CreationStamp">
      <value order="0">2020-02-28T08:09:10Z</value>
    </field>
    <field name="Objective-IsApproved">
      <value order="0">false</value>
    </field>
    <field name="Objective-IsPublished">
      <value order="0">true</value>
    </field>
    <field name="Objective-DatePublished">
      <value order="0">2020-02-28T08:10:12Z</value>
    </field>
    <field name="Objective-ModificationStamp">
      <value order="0">2020-02-28T08:11:10Z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2019: Research and analysis: Transport: 2019-2024</value>
    </field>
    <field name="Objective-Parent">
      <value order="0">Transport Statistics: Scottish Transport Statistics: 2019: Research and analysis: Transport: 2019-2024</value>
    </field>
    <field name="Objective-State">
      <value order="0">Published</value>
    </field>
    <field name="Objective-VersionId">
      <value order="0">vA39598438</value>
    </field>
    <field name="Objective-Version">
      <value order="0">1.0</value>
    </field>
    <field name="Objective-VersionNumber">
      <value order="0">2</value>
    </field>
    <field name="Objective-VersionComment">
      <value order="0">Version 2</value>
    </field>
    <field name="Objective-FileNumber">
      <value order="0">PUBRES/3898</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16</vt:i4>
      </vt:variant>
    </vt:vector>
  </HeadingPairs>
  <TitlesOfParts>
    <vt:vector size="37" baseType="lpstr">
      <vt:lpstr>International comparisons-2017</vt:lpstr>
      <vt:lpstr>footnotes</vt:lpstr>
      <vt:lpstr>Table1.1</vt:lpstr>
      <vt:lpstr>Table 2.2.4c</vt:lpstr>
      <vt:lpstr>Table 2.2.5</vt:lpstr>
      <vt:lpstr>Table 2.2.6</vt:lpstr>
      <vt:lpstr>Table 2.2.7</vt:lpstr>
      <vt:lpstr>Table 2.3.3</vt:lpstr>
      <vt:lpstr>Table 2.3.4</vt:lpstr>
      <vt:lpstr>Table 2.3.5</vt:lpstr>
      <vt:lpstr>Table 2.3.6</vt:lpstr>
      <vt:lpstr>Table 2.3.7</vt:lpstr>
      <vt:lpstr>Table 2.4.1</vt:lpstr>
      <vt:lpstr>Table 2.5.1</vt:lpstr>
      <vt:lpstr>Table 2.5.2</vt:lpstr>
      <vt:lpstr>Table 2.5.3</vt:lpstr>
      <vt:lpstr>Table 2.6.2</vt:lpstr>
      <vt:lpstr>Table 2.6.4</vt:lpstr>
      <vt:lpstr>Table 2.6.5</vt:lpstr>
      <vt:lpstr>Table 2.6.6</vt:lpstr>
      <vt:lpstr>Table 2.7.1</vt:lpstr>
      <vt:lpstr>'International comparisons-2017'!Print_Area</vt:lpstr>
      <vt:lpstr>'Table 2.2.4c'!Print_Area</vt:lpstr>
      <vt:lpstr>'Table 2.3.4'!Print_Area</vt:lpstr>
      <vt:lpstr>'Table 2.3.5'!Print_Area</vt:lpstr>
      <vt:lpstr>'Table 2.3.6'!Print_Area</vt:lpstr>
      <vt:lpstr>'Table 2.3.7'!Print_Area</vt:lpstr>
      <vt:lpstr>'Table 2.5.1'!Print_Area</vt:lpstr>
      <vt:lpstr>'Table 2.5.3'!Print_Area</vt:lpstr>
      <vt:lpstr>'Table 2.6.2'!Print_Area</vt:lpstr>
      <vt:lpstr>'Table 2.6.4'!Print_Area</vt:lpstr>
      <vt:lpstr>'Table 2.6.5'!Print_Area</vt:lpstr>
      <vt:lpstr>'Table 2.6.6'!Print_Area</vt:lpstr>
      <vt:lpstr>'Table 2.7.1'!Print_Area</vt:lpstr>
      <vt:lpstr>Table1.1!Print_Area</vt:lpstr>
      <vt:lpstr>'International comparisons-2017'!Print_Titles</vt:lpstr>
      <vt:lpstr>'Table 2.4.1'!Print_Titles</vt:lpstr>
    </vt:vector>
  </TitlesOfParts>
  <Company>The Scottish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Dixon</dc:creator>
  <cp:lastModifiedBy>u016789</cp:lastModifiedBy>
  <cp:lastPrinted>2019-11-07T10:12:32Z</cp:lastPrinted>
  <dcterms:created xsi:type="dcterms:W3CDTF">2003-03-18T15:19:18Z</dcterms:created>
  <dcterms:modified xsi:type="dcterms:W3CDTF">2020-02-28T08:09:11Z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A27306590</vt:lpwstr>
  </property>
  <property fmtid="{D5CDD505-2E9C-101B-9397-08002B2CF9AE}" pid="3" name="Objective-Comment">
    <vt:lpwstr/>
  </property>
  <property fmtid="{D5CDD505-2E9C-101B-9397-08002B2CF9AE}" pid="4" name="Objective-CreationStamp">
    <vt:filetime>2020-02-28T08:09:28Z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2020-02-28T08:10:12Z</vt:filetime>
  </property>
  <property fmtid="{D5CDD505-2E9C-101B-9397-08002B2CF9AE}" pid="8" name="Objective-ModificationStamp">
    <vt:filetime>2020-02-28T08:11:10Z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Statistics: Scottish Transport Statistics: 2019: Research and analysis: Transport: 2019-2024:</vt:lpwstr>
  </property>
  <property fmtid="{D5CDD505-2E9C-101B-9397-08002B2CF9AE}" pid="11" name="Objective-Parent">
    <vt:lpwstr>Transport Statistics: Scottish Transport Statistics: 2019: Research and analysis: Transport: 2019-2024</vt:lpwstr>
  </property>
  <property fmtid="{D5CDD505-2E9C-101B-9397-08002B2CF9AE}" pid="12" name="Objective-State">
    <vt:lpwstr>Published</vt:lpwstr>
  </property>
  <property fmtid="{D5CDD505-2E9C-101B-9397-08002B2CF9AE}" pid="13" name="Objective-Title">
    <vt:lpwstr>Chapter12 - International</vt:lpwstr>
  </property>
  <property fmtid="{D5CDD505-2E9C-101B-9397-08002B2CF9AE}" pid="14" name="Objective-Version">
    <vt:lpwstr>1.0</vt:lpwstr>
  </property>
  <property fmtid="{D5CDD505-2E9C-101B-9397-08002B2CF9AE}" pid="15" name="Objective-VersionComment">
    <vt:lpwstr>Version 2</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vA39598438</vt:lpwstr>
  </property>
</Properties>
</file>