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scotsconnect-my.sharepoint.com/personal/andrew_knight_transport_gov_scot/Documents/STS2022/Files for website/"/>
    </mc:Choice>
  </mc:AlternateContent>
  <xr:revisionPtr revIDLastSave="1" documentId="13_ncr:1_{9738B724-F370-4DF8-815B-843C4F02D13F}" xr6:coauthVersionLast="47" xr6:coauthVersionMax="47" xr10:uidLastSave="{9C835CD7-9CAE-4EC2-A218-F1E6EAE85421}"/>
  <bookViews>
    <workbookView xWindow="-120" yWindow="-120" windowWidth="29040" windowHeight="15840" xr2:uid="{00000000-000D-0000-FFFF-FFFF00000000}"/>
  </bookViews>
  <sheets>
    <sheet name="Contents" sheetId="2" r:id="rId1"/>
    <sheet name="Notes" sheetId="1" r:id="rId2"/>
    <sheet name="9.1a" sheetId="23" r:id="rId3"/>
    <sheet name="9.1b" sheetId="47" r:id="rId4"/>
    <sheet name="9.1c" sheetId="48" r:id="rId5"/>
    <sheet name="9.1d" sheetId="49" r:id="rId6"/>
    <sheet name="9.2" sheetId="50" r:id="rId7"/>
    <sheet name="9.3" sheetId="51" r:id="rId8"/>
    <sheet name="9.4" sheetId="52" r:id="rId9"/>
    <sheet name="9.5" sheetId="53" r:id="rId10"/>
    <sheet name="9.6a" sheetId="54" r:id="rId11"/>
    <sheet name="9.6b" sheetId="55" r:id="rId12"/>
    <sheet name="9.7" sheetId="56" r:id="rId13"/>
    <sheet name="9.8" sheetId="57" r:id="rId14"/>
    <sheet name="9.9" sheetId="58" r:id="rId15"/>
    <sheet name="9.10" sheetId="59" r:id="rId16"/>
    <sheet name="9.11" sheetId="60" r:id="rId17"/>
    <sheet name="9.12a" sheetId="61" r:id="rId18"/>
    <sheet name="9.12b" sheetId="62" r:id="rId19"/>
    <sheet name="9.13a" sheetId="63" r:id="rId20"/>
    <sheet name="9.13b" sheetId="74" r:id="rId21"/>
    <sheet name="9.14a" sheetId="64" r:id="rId22"/>
    <sheet name="9.14b" sheetId="65" r:id="rId23"/>
    <sheet name="9.15" sheetId="66" r:id="rId24"/>
    <sheet name="9.15cont" sheetId="68" r:id="rId25"/>
    <sheet name="9.15b" sheetId="67" r:id="rId26"/>
    <sheet name="9.16a" sheetId="71" r:id="rId27"/>
    <sheet name="9.16b" sheetId="72" r:id="rId28"/>
    <sheet name="9.16c" sheetId="73" r:id="rId29"/>
    <sheet name="9.17" sheetId="69" r:id="rId30"/>
    <sheet name="9.18" sheetId="70"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1" i="64" l="1"/>
  <c r="AF31" i="64"/>
  <c r="AE32" i="64"/>
  <c r="AF32" i="64"/>
  <c r="Q39" i="57" l="1"/>
  <c r="S39" i="57" s="1"/>
  <c r="R39" i="57"/>
  <c r="Q42" i="57"/>
  <c r="R42" i="57"/>
  <c r="Q60" i="57"/>
  <c r="R60" i="57"/>
  <c r="Q52" i="57"/>
  <c r="R52" i="57"/>
  <c r="Q48" i="57"/>
  <c r="S48" i="57" s="1"/>
  <c r="R48" i="57"/>
  <c r="S52" i="57" l="1"/>
  <c r="S42" i="57"/>
  <c r="E37" i="57"/>
  <c r="F37" i="57"/>
  <c r="G37" i="57"/>
  <c r="H37" i="57"/>
  <c r="I37" i="57"/>
  <c r="J37" i="57"/>
  <c r="K37" i="57"/>
  <c r="L37" i="57"/>
  <c r="M37" i="57"/>
  <c r="N37" i="57"/>
  <c r="O37" i="57"/>
  <c r="P37" i="57"/>
  <c r="D37" i="57"/>
  <c r="Q63" i="57"/>
  <c r="R63" i="57"/>
  <c r="Q18" i="57"/>
  <c r="R18" i="57"/>
  <c r="S63" i="57" l="1"/>
  <c r="S18" i="57"/>
  <c r="AF19" i="63"/>
  <c r="AF20" i="63"/>
  <c r="AF10" i="59" l="1"/>
  <c r="AF7" i="59"/>
  <c r="B16" i="55" l="1"/>
  <c r="C16" i="55"/>
  <c r="D16" i="55"/>
  <c r="E16" i="55"/>
  <c r="F16" i="55"/>
  <c r="G16" i="55"/>
  <c r="G16" i="54"/>
  <c r="F16" i="54"/>
  <c r="E16" i="54"/>
  <c r="D16" i="54"/>
  <c r="C16" i="54"/>
  <c r="B16" i="54"/>
  <c r="H15" i="54"/>
  <c r="H14" i="54"/>
  <c r="H13" i="54"/>
  <c r="H12" i="54"/>
  <c r="H11" i="54"/>
  <c r="H10" i="54"/>
  <c r="H9" i="54"/>
  <c r="H8" i="54"/>
  <c r="H7" i="54"/>
  <c r="H6" i="54"/>
  <c r="H5" i="54"/>
  <c r="H16" i="54" s="1"/>
  <c r="AF30" i="52" l="1"/>
  <c r="AF38" i="52"/>
  <c r="AF42" i="52"/>
  <c r="AF43" i="52"/>
  <c r="AF40" i="52"/>
  <c r="AF36" i="52"/>
  <c r="AF34" i="52"/>
  <c r="AF32" i="52"/>
  <c r="AF28" i="52"/>
  <c r="AF26" i="52"/>
  <c r="AF24" i="52"/>
  <c r="AF22" i="52"/>
  <c r="AF20" i="52"/>
  <c r="AF18" i="52"/>
  <c r="AF16" i="52"/>
  <c r="AF14" i="52"/>
  <c r="AF12" i="52"/>
  <c r="AF10" i="52"/>
  <c r="AF8" i="52"/>
  <c r="AF44" i="52" l="1"/>
  <c r="AF45" i="52" s="1"/>
  <c r="AF46" i="52"/>
  <c r="AF62" i="51"/>
  <c r="AF63" i="51"/>
  <c r="AF64" i="51"/>
  <c r="AF25" i="71" l="1"/>
  <c r="AF17" i="71"/>
  <c r="AF13" i="71"/>
  <c r="AF16" i="72"/>
  <c r="AF8" i="72"/>
  <c r="AF16" i="73"/>
  <c r="AF8" i="73"/>
  <c r="AF23" i="73"/>
  <c r="AF26" i="72"/>
  <c r="AF35" i="71"/>
  <c r="AF37" i="71" l="1"/>
  <c r="AF28" i="64"/>
  <c r="AF29" i="64"/>
  <c r="AF30" i="64"/>
  <c r="AE17" i="62"/>
  <c r="AE5" i="62"/>
  <c r="AE6" i="62"/>
  <c r="AE7" i="62"/>
  <c r="AE8" i="62"/>
  <c r="AE9" i="62"/>
  <c r="AE10" i="62"/>
  <c r="AE12" i="62"/>
  <c r="AE14" i="62"/>
  <c r="AE15" i="62"/>
  <c r="AE5" i="61"/>
  <c r="AE6" i="61"/>
  <c r="AE7" i="61"/>
  <c r="AE8" i="61"/>
  <c r="AE9" i="61"/>
  <c r="AE14" i="61"/>
  <c r="AE15" i="61"/>
  <c r="AE16" i="61"/>
  <c r="AE17" i="61"/>
  <c r="AE18" i="61"/>
  <c r="AE19" i="61"/>
  <c r="AE21" i="61"/>
  <c r="AH16" i="68" l="1"/>
  <c r="AF10" i="65" l="1"/>
  <c r="AE11" i="62" s="1"/>
  <c r="AF11" i="65"/>
  <c r="AF13" i="65"/>
  <c r="AE13" i="61" s="1"/>
  <c r="AF14" i="65"/>
  <c r="AF15" i="65"/>
  <c r="AE12" i="61" s="1"/>
  <c r="AF6" i="65"/>
  <c r="AE10" i="61" s="1"/>
  <c r="AF17" i="65" l="1"/>
  <c r="AE11" i="61"/>
  <c r="AE20" i="61" s="1"/>
  <c r="AE23" i="61" s="1"/>
  <c r="AG45" i="67"/>
  <c r="AH45" i="68"/>
  <c r="AG46" i="66"/>
  <c r="AG39" i="67" l="1"/>
  <c r="AG16" i="67"/>
  <c r="AG46" i="67" s="1"/>
  <c r="AH39" i="68"/>
  <c r="AH46" i="68" s="1"/>
  <c r="AG40" i="66"/>
  <c r="AG17" i="66"/>
  <c r="AG47" i="66" s="1"/>
  <c r="AF11" i="73" l="1"/>
  <c r="AF25" i="73" s="1"/>
  <c r="AF11" i="72"/>
  <c r="AF28" i="72" l="1"/>
  <c r="AE13" i="62"/>
  <c r="AE16" i="62" s="1"/>
  <c r="AE19" i="62" s="1"/>
  <c r="AF12" i="65"/>
  <c r="AF16" i="65" s="1"/>
  <c r="D30" i="64"/>
  <c r="E30" i="64"/>
  <c r="F30" i="64"/>
  <c r="G30" i="64"/>
  <c r="H30" i="64"/>
  <c r="I30" i="64"/>
  <c r="J30" i="64"/>
  <c r="K30" i="64"/>
  <c r="L30" i="64"/>
  <c r="C30" i="64"/>
  <c r="M30" i="64" l="1"/>
  <c r="N30" i="64"/>
  <c r="O30" i="64"/>
  <c r="P30" i="64"/>
  <c r="Q30" i="64"/>
  <c r="R30" i="64"/>
  <c r="S30" i="64"/>
  <c r="T30" i="64"/>
  <c r="U30" i="64"/>
  <c r="V30" i="64"/>
  <c r="W30" i="64"/>
  <c r="X30" i="64"/>
  <c r="Y30" i="64"/>
  <c r="Z30" i="64"/>
  <c r="AA30" i="64"/>
  <c r="AB30" i="64"/>
  <c r="AC30" i="64"/>
  <c r="AD30" i="64"/>
  <c r="AE30" i="64"/>
  <c r="B53" i="57" l="1"/>
  <c r="C53" i="57"/>
  <c r="D53" i="57"/>
  <c r="E53" i="57"/>
  <c r="F53" i="57"/>
  <c r="G53" i="57"/>
  <c r="H53" i="57"/>
  <c r="I53" i="57"/>
  <c r="J53" i="57"/>
  <c r="K53" i="57"/>
  <c r="L53" i="57"/>
  <c r="M53" i="57"/>
  <c r="N53" i="57"/>
  <c r="O53" i="57"/>
  <c r="P53" i="57"/>
  <c r="B25" i="57"/>
  <c r="C25" i="57"/>
  <c r="D25" i="57"/>
  <c r="E25" i="57"/>
  <c r="F25" i="57"/>
  <c r="G25" i="57"/>
  <c r="H25" i="57"/>
  <c r="I25" i="57"/>
  <c r="J25" i="57"/>
  <c r="K25" i="57"/>
  <c r="L25" i="57"/>
  <c r="M25" i="57"/>
  <c r="N25" i="57"/>
  <c r="O25" i="57"/>
  <c r="P25" i="57"/>
  <c r="B37" i="57"/>
  <c r="C37" i="57"/>
  <c r="B44" i="57"/>
  <c r="C44" i="57"/>
  <c r="D44" i="57"/>
  <c r="E44" i="57"/>
  <c r="F44" i="57"/>
  <c r="G44" i="57"/>
  <c r="H44" i="57"/>
  <c r="I44" i="57"/>
  <c r="J44" i="57"/>
  <c r="K44" i="57"/>
  <c r="L44" i="57"/>
  <c r="M44" i="57"/>
  <c r="N44" i="57"/>
  <c r="O44" i="57"/>
  <c r="P44" i="57"/>
  <c r="Q26" i="57"/>
  <c r="R26" i="57"/>
  <c r="S26" i="57" l="1"/>
  <c r="AE34" i="52"/>
  <c r="AE20" i="52"/>
  <c r="AE18" i="52"/>
  <c r="H5" i="56"/>
  <c r="H6" i="56"/>
  <c r="H7" i="56"/>
  <c r="H8" i="56"/>
  <c r="C30" i="56"/>
  <c r="D30" i="56"/>
  <c r="E30" i="56"/>
  <c r="F30" i="56"/>
  <c r="G30" i="56"/>
  <c r="B30" i="56"/>
  <c r="C26" i="56"/>
  <c r="D26" i="56"/>
  <c r="E26" i="56"/>
  <c r="F26" i="56"/>
  <c r="G26" i="56"/>
  <c r="B26" i="56"/>
  <c r="C22" i="56"/>
  <c r="D22" i="56"/>
  <c r="E22" i="56"/>
  <c r="F22" i="56"/>
  <c r="G22" i="56"/>
  <c r="B22" i="56"/>
  <c r="C19" i="56"/>
  <c r="D19" i="56"/>
  <c r="E19" i="56"/>
  <c r="F19" i="56"/>
  <c r="G19" i="56"/>
  <c r="B19" i="56"/>
  <c r="C14" i="56"/>
  <c r="D14" i="56"/>
  <c r="E14" i="56"/>
  <c r="F14" i="56"/>
  <c r="G14" i="56"/>
  <c r="B14" i="56"/>
  <c r="C9" i="56"/>
  <c r="D9" i="56"/>
  <c r="E9" i="56"/>
  <c r="F9" i="56"/>
  <c r="G9" i="56"/>
  <c r="B9" i="56"/>
  <c r="H15" i="55" l="1"/>
  <c r="H14" i="55"/>
  <c r="H13" i="55"/>
  <c r="H12" i="55"/>
  <c r="H11" i="55"/>
  <c r="H10" i="55"/>
  <c r="H9" i="55"/>
  <c r="H8" i="55"/>
  <c r="H7" i="55"/>
  <c r="H6" i="55"/>
  <c r="H5" i="55"/>
  <c r="H16" i="55" l="1"/>
  <c r="AE24" i="52"/>
  <c r="AE26" i="52"/>
  <c r="AE38" i="52"/>
  <c r="AE28" i="52"/>
  <c r="AE16" i="52"/>
  <c r="AE14" i="52" l="1"/>
  <c r="D45" i="68" l="1"/>
  <c r="D39" i="68"/>
  <c r="N38" i="68"/>
  <c r="L38" i="68"/>
  <c r="N37" i="68"/>
  <c r="M37" i="68"/>
  <c r="N35" i="68"/>
  <c r="N34" i="68"/>
  <c r="N33" i="68"/>
  <c r="N32" i="68"/>
  <c r="N31" i="68"/>
  <c r="N30" i="68"/>
  <c r="N25" i="68"/>
  <c r="N23" i="68"/>
  <c r="N20" i="68"/>
  <c r="D16" i="68"/>
  <c r="D46" i="68" s="1"/>
  <c r="N15" i="68"/>
  <c r="N14" i="68"/>
  <c r="M14" i="68"/>
  <c r="L14" i="68"/>
  <c r="K14" i="68"/>
  <c r="N13" i="68"/>
  <c r="M13" i="68"/>
  <c r="L13" i="68"/>
  <c r="N12" i="68"/>
  <c r="N11" i="68"/>
  <c r="N7" i="68"/>
  <c r="N5" i="68"/>
  <c r="D32" i="64"/>
  <c r="E32" i="64"/>
  <c r="F32" i="64"/>
  <c r="G32" i="64"/>
  <c r="H32" i="64"/>
  <c r="I32" i="64"/>
  <c r="J32" i="64"/>
  <c r="K32" i="64"/>
  <c r="L32" i="64"/>
  <c r="M32" i="64"/>
  <c r="C32" i="64"/>
  <c r="N32" i="64"/>
  <c r="O32" i="64"/>
  <c r="P32" i="64"/>
  <c r="Q32" i="64"/>
  <c r="R32" i="64"/>
  <c r="S32" i="64"/>
  <c r="T32" i="64"/>
  <c r="U32" i="64"/>
  <c r="V32" i="64"/>
  <c r="W32" i="64"/>
  <c r="X32" i="64"/>
  <c r="Y32" i="64"/>
  <c r="Z32" i="64"/>
  <c r="AA32" i="64"/>
  <c r="AB32" i="64"/>
  <c r="AC32" i="64"/>
  <c r="AD32" i="64"/>
  <c r="C31" i="64"/>
  <c r="D31" i="64"/>
  <c r="E31" i="64"/>
  <c r="F31" i="64"/>
  <c r="G31" i="64"/>
  <c r="H31" i="64"/>
  <c r="I31" i="64"/>
  <c r="J31" i="64"/>
  <c r="K31" i="64"/>
  <c r="L31" i="64"/>
  <c r="M31" i="64"/>
  <c r="N31" i="64"/>
  <c r="O31" i="64"/>
  <c r="P31" i="64"/>
  <c r="Q31" i="64"/>
  <c r="R31" i="64"/>
  <c r="S31" i="64"/>
  <c r="T31" i="64"/>
  <c r="U31" i="64"/>
  <c r="V31" i="64"/>
  <c r="W31" i="64"/>
  <c r="X31" i="64"/>
  <c r="Y31" i="64"/>
  <c r="Z31" i="64"/>
  <c r="AA31" i="64"/>
  <c r="AB31" i="64"/>
  <c r="AC31" i="64"/>
  <c r="AD31" i="64"/>
  <c r="B6" i="62"/>
  <c r="K18" i="62"/>
  <c r="T18" i="62"/>
  <c r="J18" i="62"/>
  <c r="C14" i="62"/>
  <c r="D14" i="62"/>
  <c r="E14" i="62"/>
  <c r="F14" i="62"/>
  <c r="G14" i="62"/>
  <c r="H14" i="62"/>
  <c r="I14" i="62"/>
  <c r="J14" i="62"/>
  <c r="K14" i="62"/>
  <c r="L14" i="62"/>
  <c r="M14" i="62"/>
  <c r="N14" i="62"/>
  <c r="O14" i="62"/>
  <c r="P14" i="62"/>
  <c r="Q14" i="62"/>
  <c r="R14" i="62"/>
  <c r="S14" i="62"/>
  <c r="T14" i="62"/>
  <c r="U14" i="62"/>
  <c r="V14" i="62"/>
  <c r="W14" i="62"/>
  <c r="X14" i="62"/>
  <c r="Y14" i="62"/>
  <c r="Z14" i="62"/>
  <c r="AA14" i="62"/>
  <c r="AB14" i="62"/>
  <c r="AC14" i="62"/>
  <c r="AD14" i="62"/>
  <c r="B14" i="62"/>
  <c r="C15" i="62"/>
  <c r="D15" i="62"/>
  <c r="E15" i="62"/>
  <c r="F15" i="62"/>
  <c r="G15" i="62"/>
  <c r="H15" i="62"/>
  <c r="I15" i="62"/>
  <c r="J15" i="62"/>
  <c r="K15" i="62"/>
  <c r="L15" i="62"/>
  <c r="M15" i="62"/>
  <c r="N15" i="62"/>
  <c r="O15" i="62"/>
  <c r="P15" i="62"/>
  <c r="Q15" i="62"/>
  <c r="R15" i="62"/>
  <c r="S15" i="62"/>
  <c r="T15" i="62"/>
  <c r="U15" i="62"/>
  <c r="V15" i="62"/>
  <c r="W15" i="62"/>
  <c r="X15" i="62"/>
  <c r="Y15" i="62"/>
  <c r="Z15" i="62"/>
  <c r="AA15" i="62"/>
  <c r="AB15" i="62"/>
  <c r="AC15" i="62"/>
  <c r="AD15" i="62"/>
  <c r="B15" i="62"/>
  <c r="C9" i="62"/>
  <c r="D9" i="62"/>
  <c r="E9" i="62"/>
  <c r="F9" i="62"/>
  <c r="G9" i="62"/>
  <c r="H9" i="62"/>
  <c r="I9" i="62"/>
  <c r="J9" i="62"/>
  <c r="K9" i="62"/>
  <c r="L9" i="62"/>
  <c r="M9" i="62"/>
  <c r="N9" i="62"/>
  <c r="O9" i="62"/>
  <c r="P9" i="62"/>
  <c r="Q9" i="62"/>
  <c r="R9" i="62"/>
  <c r="S9" i="62"/>
  <c r="T9" i="62"/>
  <c r="U9" i="62"/>
  <c r="V9" i="62"/>
  <c r="W9" i="62"/>
  <c r="X9" i="62"/>
  <c r="Y9" i="62"/>
  <c r="Z9" i="62"/>
  <c r="AA9" i="62"/>
  <c r="AB9" i="62"/>
  <c r="AC9" i="62"/>
  <c r="AD9" i="62"/>
  <c r="B9" i="62"/>
  <c r="C8" i="62"/>
  <c r="D8" i="62"/>
  <c r="E8" i="62"/>
  <c r="F8" i="62"/>
  <c r="G8" i="62"/>
  <c r="H8" i="62"/>
  <c r="I8" i="62"/>
  <c r="J8" i="62"/>
  <c r="K8" i="62"/>
  <c r="L8" i="62"/>
  <c r="M8" i="62"/>
  <c r="N8" i="62"/>
  <c r="O8" i="62"/>
  <c r="P8" i="62"/>
  <c r="Q8" i="62"/>
  <c r="R8" i="62"/>
  <c r="S8" i="62"/>
  <c r="T8" i="62"/>
  <c r="U8" i="62"/>
  <c r="V8" i="62"/>
  <c r="W8" i="62"/>
  <c r="X8" i="62"/>
  <c r="Y8" i="62"/>
  <c r="Z8" i="62"/>
  <c r="AA8" i="62"/>
  <c r="AB8" i="62"/>
  <c r="AC8" i="62"/>
  <c r="AD8" i="62"/>
  <c r="B8" i="62"/>
  <c r="P6" i="62"/>
  <c r="C7" i="62"/>
  <c r="D7" i="62"/>
  <c r="E7" i="62"/>
  <c r="F7" i="62"/>
  <c r="G7" i="62"/>
  <c r="H7" i="62"/>
  <c r="I7" i="62"/>
  <c r="J7" i="62"/>
  <c r="K7" i="62"/>
  <c r="L7" i="62"/>
  <c r="M7" i="62"/>
  <c r="N7" i="62"/>
  <c r="O7" i="62"/>
  <c r="P7" i="62"/>
  <c r="Q7" i="62"/>
  <c r="R7" i="62"/>
  <c r="S7" i="62"/>
  <c r="T7" i="62"/>
  <c r="U7" i="62"/>
  <c r="V7" i="62"/>
  <c r="W7" i="62"/>
  <c r="X7" i="62"/>
  <c r="Y7" i="62"/>
  <c r="Z7" i="62"/>
  <c r="AA7" i="62"/>
  <c r="AB7" i="62"/>
  <c r="AC7" i="62"/>
  <c r="AD7" i="62"/>
  <c r="B7" i="62"/>
  <c r="C6" i="62"/>
  <c r="D6" i="62"/>
  <c r="E6" i="62"/>
  <c r="F6" i="62"/>
  <c r="G6" i="62"/>
  <c r="H6" i="62"/>
  <c r="I6" i="62"/>
  <c r="J6" i="62"/>
  <c r="K6" i="62"/>
  <c r="L6" i="62"/>
  <c r="M6" i="62"/>
  <c r="N6" i="62"/>
  <c r="O6" i="62"/>
  <c r="Q6" i="62"/>
  <c r="R6" i="62"/>
  <c r="S6" i="62"/>
  <c r="T6" i="62"/>
  <c r="U6" i="62"/>
  <c r="V6" i="62"/>
  <c r="W6" i="62"/>
  <c r="X6" i="62"/>
  <c r="Y6" i="62"/>
  <c r="Z6" i="62"/>
  <c r="AA6" i="62"/>
  <c r="AB6" i="62"/>
  <c r="AC6" i="62"/>
  <c r="AD6" i="62"/>
  <c r="C5" i="62"/>
  <c r="D5" i="62"/>
  <c r="E5" i="62"/>
  <c r="F5" i="62"/>
  <c r="G5" i="62"/>
  <c r="H5" i="62"/>
  <c r="I5" i="62"/>
  <c r="J5" i="62"/>
  <c r="K5" i="62"/>
  <c r="L5" i="62"/>
  <c r="M5" i="62"/>
  <c r="N5" i="62"/>
  <c r="O5" i="62"/>
  <c r="P5" i="62"/>
  <c r="Q5" i="62"/>
  <c r="R5" i="62"/>
  <c r="S5" i="62"/>
  <c r="T5" i="62"/>
  <c r="U5" i="62"/>
  <c r="V5" i="62"/>
  <c r="W5" i="62"/>
  <c r="X5" i="62"/>
  <c r="Y5" i="62"/>
  <c r="Z5" i="62"/>
  <c r="AA5" i="62"/>
  <c r="AB5" i="62"/>
  <c r="AC5" i="62"/>
  <c r="AD5" i="62"/>
  <c r="B5" i="62"/>
  <c r="U22" i="61"/>
  <c r="V22" i="61"/>
  <c r="W22" i="61"/>
  <c r="X22" i="61"/>
  <c r="AA22" i="61"/>
  <c r="D16" i="74"/>
  <c r="L18" i="62" s="1"/>
  <c r="T16" i="74"/>
  <c r="AB18" i="62" s="1"/>
  <c r="S16" i="74"/>
  <c r="AA18" i="62" s="1"/>
  <c r="R16" i="74"/>
  <c r="Z18" i="62" s="1"/>
  <c r="Q16" i="74"/>
  <c r="Y18" i="62" s="1"/>
  <c r="P16" i="74"/>
  <c r="X18" i="62" s="1"/>
  <c r="O16" i="74"/>
  <c r="W18" i="62" s="1"/>
  <c r="N16" i="74"/>
  <c r="V18" i="62" s="1"/>
  <c r="M16" i="74"/>
  <c r="U18" i="62" s="1"/>
  <c r="L16" i="74"/>
  <c r="K16" i="74"/>
  <c r="S18" i="62" s="1"/>
  <c r="J16" i="74"/>
  <c r="R18" i="62" s="1"/>
  <c r="I16" i="74"/>
  <c r="Q18" i="62" s="1"/>
  <c r="H16" i="74"/>
  <c r="P18" i="62" s="1"/>
  <c r="G16" i="74"/>
  <c r="O18" i="62" s="1"/>
  <c r="F16" i="74"/>
  <c r="N18" i="62" s="1"/>
  <c r="E16" i="74"/>
  <c r="M18" i="62" s="1"/>
  <c r="T15" i="74"/>
  <c r="AB22" i="61" s="1"/>
  <c r="S15" i="74"/>
  <c r="R15" i="74"/>
  <c r="Z22" i="61" s="1"/>
  <c r="Q15" i="74"/>
  <c r="Y22" i="61" s="1"/>
  <c r="L15" i="74"/>
  <c r="T22" i="61" s="1"/>
  <c r="K15" i="74"/>
  <c r="S22" i="61" s="1"/>
  <c r="J15" i="74"/>
  <c r="R22" i="61" s="1"/>
  <c r="I15" i="74"/>
  <c r="Q22" i="61" s="1"/>
  <c r="H15" i="74"/>
  <c r="P22" i="61" s="1"/>
  <c r="G15" i="74"/>
  <c r="O22" i="61" s="1"/>
  <c r="F15" i="74"/>
  <c r="N22" i="61" s="1"/>
  <c r="E15" i="74"/>
  <c r="M22" i="61" s="1"/>
  <c r="D15" i="74"/>
  <c r="L22" i="61" s="1"/>
  <c r="C15" i="74"/>
  <c r="K22" i="61" s="1"/>
  <c r="B15" i="74"/>
  <c r="J22" i="61" s="1"/>
  <c r="C19" i="61"/>
  <c r="D19" i="61"/>
  <c r="E19" i="61"/>
  <c r="F19" i="61"/>
  <c r="G19" i="61"/>
  <c r="H19" i="61"/>
  <c r="I19" i="61"/>
  <c r="J19" i="61"/>
  <c r="K19" i="61"/>
  <c r="L19" i="61"/>
  <c r="M19" i="61"/>
  <c r="N19" i="61"/>
  <c r="O19" i="61"/>
  <c r="P19" i="61"/>
  <c r="Q19" i="61"/>
  <c r="R19" i="61"/>
  <c r="S19" i="61"/>
  <c r="T19" i="61"/>
  <c r="U19" i="61"/>
  <c r="V19" i="61"/>
  <c r="W19" i="61"/>
  <c r="X19" i="61"/>
  <c r="Y19" i="61"/>
  <c r="Z19" i="61"/>
  <c r="AA19" i="61"/>
  <c r="AB19" i="61"/>
  <c r="AC19" i="61"/>
  <c r="AD19" i="61"/>
  <c r="B19" i="61"/>
  <c r="C18" i="61"/>
  <c r="D18" i="61"/>
  <c r="E18" i="61"/>
  <c r="F18" i="61"/>
  <c r="G18" i="61"/>
  <c r="H18" i="61"/>
  <c r="I18" i="61"/>
  <c r="J18" i="61"/>
  <c r="K18" i="61"/>
  <c r="L18" i="61"/>
  <c r="M18" i="61"/>
  <c r="N18" i="61"/>
  <c r="O18" i="61"/>
  <c r="P18" i="61"/>
  <c r="Q18" i="61"/>
  <c r="R18" i="61"/>
  <c r="S18" i="61"/>
  <c r="T18" i="61"/>
  <c r="U18" i="61"/>
  <c r="V18" i="61"/>
  <c r="W18" i="61"/>
  <c r="X18" i="61"/>
  <c r="Y18" i="61"/>
  <c r="Z18" i="61"/>
  <c r="AA18" i="61"/>
  <c r="AB18" i="61"/>
  <c r="AC18" i="61"/>
  <c r="AD18" i="61"/>
  <c r="B18" i="61"/>
  <c r="C17" i="61"/>
  <c r="D17" i="61"/>
  <c r="E17" i="61"/>
  <c r="F17" i="61"/>
  <c r="G17" i="61"/>
  <c r="H17" i="61"/>
  <c r="I17" i="61"/>
  <c r="J17" i="61"/>
  <c r="K17" i="61"/>
  <c r="L17" i="61"/>
  <c r="M17" i="61"/>
  <c r="N17" i="61"/>
  <c r="O17" i="61"/>
  <c r="P17" i="61"/>
  <c r="Q17" i="61"/>
  <c r="R17" i="61"/>
  <c r="S17" i="61"/>
  <c r="T17" i="61"/>
  <c r="U17" i="61"/>
  <c r="V17" i="61"/>
  <c r="W17" i="61"/>
  <c r="X17" i="61"/>
  <c r="Y17" i="61"/>
  <c r="Z17" i="61"/>
  <c r="AA17" i="61"/>
  <c r="AB17" i="61"/>
  <c r="AC17" i="61"/>
  <c r="AD17" i="61"/>
  <c r="B17" i="61"/>
  <c r="C16" i="61"/>
  <c r="D16" i="61"/>
  <c r="E16" i="61"/>
  <c r="F16" i="61"/>
  <c r="G16" i="61"/>
  <c r="H16" i="61"/>
  <c r="I16" i="61"/>
  <c r="J16" i="61"/>
  <c r="K16" i="61"/>
  <c r="L16" i="61"/>
  <c r="M16" i="61"/>
  <c r="N16" i="61"/>
  <c r="O16" i="61"/>
  <c r="P16" i="61"/>
  <c r="Q16" i="61"/>
  <c r="R16" i="61"/>
  <c r="S16" i="61"/>
  <c r="T16" i="61"/>
  <c r="U16" i="61"/>
  <c r="V16" i="61"/>
  <c r="W16" i="61"/>
  <c r="X16" i="61"/>
  <c r="Y16" i="61"/>
  <c r="Z16" i="61"/>
  <c r="AA16" i="61"/>
  <c r="AB16" i="61"/>
  <c r="AC16" i="61"/>
  <c r="AD16" i="61"/>
  <c r="B16" i="61"/>
  <c r="C15" i="61"/>
  <c r="D15" i="61"/>
  <c r="E15" i="61"/>
  <c r="F15" i="61"/>
  <c r="G15" i="61"/>
  <c r="H15" i="61"/>
  <c r="I15" i="61"/>
  <c r="J15" i="61"/>
  <c r="K15" i="61"/>
  <c r="L15" i="61"/>
  <c r="M15" i="61"/>
  <c r="N15" i="61"/>
  <c r="O15" i="61"/>
  <c r="P15" i="61"/>
  <c r="Q15" i="61"/>
  <c r="R15" i="61"/>
  <c r="S15" i="61"/>
  <c r="T15" i="61"/>
  <c r="U15" i="61"/>
  <c r="V15" i="61"/>
  <c r="W15" i="61"/>
  <c r="X15" i="61"/>
  <c r="Y15" i="61"/>
  <c r="Z15" i="61"/>
  <c r="AA15" i="61"/>
  <c r="AB15" i="61"/>
  <c r="AC15" i="61"/>
  <c r="AD15" i="61"/>
  <c r="B15" i="61"/>
  <c r="C11" i="73"/>
  <c r="AE23" i="73"/>
  <c r="AD23" i="73"/>
  <c r="AC23" i="73"/>
  <c r="AB23" i="73"/>
  <c r="AA23" i="73"/>
  <c r="Z23" i="73"/>
  <c r="Y23" i="73"/>
  <c r="X23" i="73"/>
  <c r="W23" i="73"/>
  <c r="V23" i="73"/>
  <c r="U23" i="73"/>
  <c r="T23" i="73"/>
  <c r="S23" i="73"/>
  <c r="R23" i="73"/>
  <c r="Q23" i="73"/>
  <c r="P23" i="73"/>
  <c r="O23" i="73"/>
  <c r="N23" i="73"/>
  <c r="M23" i="73"/>
  <c r="L23" i="73"/>
  <c r="K23" i="73"/>
  <c r="J23" i="73"/>
  <c r="I23" i="73"/>
  <c r="H23" i="73"/>
  <c r="G23" i="73"/>
  <c r="F23" i="73"/>
  <c r="E23" i="73"/>
  <c r="D23" i="73"/>
  <c r="C23" i="73"/>
  <c r="AE16" i="73"/>
  <c r="AD16" i="73"/>
  <c r="AC16" i="73"/>
  <c r="AB16" i="73"/>
  <c r="AA16" i="73"/>
  <c r="Z16" i="73"/>
  <c r="Y16" i="73"/>
  <c r="X16" i="73"/>
  <c r="W16" i="73"/>
  <c r="V16" i="73"/>
  <c r="U16" i="73"/>
  <c r="T16" i="73"/>
  <c r="S16" i="73"/>
  <c r="R16" i="73"/>
  <c r="Q16" i="73"/>
  <c r="P16" i="73"/>
  <c r="O16" i="73"/>
  <c r="N16" i="73"/>
  <c r="M16" i="73"/>
  <c r="L16" i="73"/>
  <c r="K16" i="73"/>
  <c r="J16" i="73"/>
  <c r="I16" i="73"/>
  <c r="H16" i="73"/>
  <c r="G16" i="73"/>
  <c r="F16" i="73"/>
  <c r="E16" i="73"/>
  <c r="D16" i="73"/>
  <c r="C16" i="73"/>
  <c r="AE11" i="73"/>
  <c r="AD11" i="73"/>
  <c r="AC11" i="73"/>
  <c r="AB11" i="73"/>
  <c r="AA11" i="73"/>
  <c r="Z11" i="73"/>
  <c r="Y11" i="73"/>
  <c r="X11" i="73"/>
  <c r="W11" i="73"/>
  <c r="V11" i="73"/>
  <c r="U11" i="73"/>
  <c r="T11" i="73"/>
  <c r="S11" i="73"/>
  <c r="R11" i="73"/>
  <c r="Q11" i="73"/>
  <c r="P11" i="73"/>
  <c r="O11" i="73"/>
  <c r="N11" i="73"/>
  <c r="M11" i="73"/>
  <c r="L11" i="73"/>
  <c r="K11" i="73"/>
  <c r="J11" i="73"/>
  <c r="I11" i="73"/>
  <c r="H11" i="73"/>
  <c r="G11" i="73"/>
  <c r="F11" i="73"/>
  <c r="E11" i="73"/>
  <c r="D11" i="73"/>
  <c r="AE8" i="73"/>
  <c r="AD8" i="73"/>
  <c r="AC8" i="73"/>
  <c r="AB8" i="73"/>
  <c r="AB25" i="73" s="1"/>
  <c r="AA8" i="73"/>
  <c r="Z8" i="73"/>
  <c r="Y8" i="73"/>
  <c r="X8" i="73"/>
  <c r="W8" i="73"/>
  <c r="V8" i="73"/>
  <c r="U8" i="73"/>
  <c r="T8" i="73"/>
  <c r="T25" i="73" s="1"/>
  <c r="S8" i="73"/>
  <c r="R8" i="73"/>
  <c r="Q8" i="73"/>
  <c r="P8" i="73"/>
  <c r="O8" i="73"/>
  <c r="N8" i="73"/>
  <c r="M8" i="73"/>
  <c r="L8" i="73"/>
  <c r="L25" i="73" s="1"/>
  <c r="K8" i="73"/>
  <c r="J8" i="73"/>
  <c r="I8" i="73"/>
  <c r="H8" i="73"/>
  <c r="G8" i="73"/>
  <c r="F8" i="73"/>
  <c r="E8" i="73"/>
  <c r="D8" i="73"/>
  <c r="D25" i="73" s="1"/>
  <c r="C8" i="73"/>
  <c r="D11" i="72"/>
  <c r="C13" i="62" s="1"/>
  <c r="E11" i="72"/>
  <c r="D13" i="62" s="1"/>
  <c r="F11" i="72"/>
  <c r="E13" i="62" s="1"/>
  <c r="G11" i="72"/>
  <c r="F13" i="62" s="1"/>
  <c r="H11" i="72"/>
  <c r="I11" i="72"/>
  <c r="J11" i="72"/>
  <c r="K11" i="72"/>
  <c r="L11" i="72"/>
  <c r="M11" i="72"/>
  <c r="N11" i="72"/>
  <c r="M13" i="62" s="1"/>
  <c r="O11" i="72"/>
  <c r="O12" i="65" s="1"/>
  <c r="P11" i="72"/>
  <c r="Q11" i="72"/>
  <c r="R11" i="72"/>
  <c r="Q13" i="62" s="1"/>
  <c r="S11" i="72"/>
  <c r="R13" i="62" s="1"/>
  <c r="T11" i="72"/>
  <c r="S13" i="62" s="1"/>
  <c r="U11" i="72"/>
  <c r="T13" i="62" s="1"/>
  <c r="V11" i="72"/>
  <c r="U13" i="62" s="1"/>
  <c r="W11" i="72"/>
  <c r="W12" i="65" s="1"/>
  <c r="X11" i="72"/>
  <c r="Y11" i="72"/>
  <c r="X13" i="62" s="1"/>
  <c r="Z11" i="72"/>
  <c r="Y13" i="62" s="1"/>
  <c r="AA11" i="72"/>
  <c r="AB11" i="72"/>
  <c r="AA13" i="62" s="1"/>
  <c r="AC11" i="72"/>
  <c r="AB13" i="62" s="1"/>
  <c r="AD11" i="72"/>
  <c r="AC13" i="62" s="1"/>
  <c r="AE11" i="72"/>
  <c r="AD13" i="62" s="1"/>
  <c r="C11" i="72"/>
  <c r="C12" i="65" s="1"/>
  <c r="AE26" i="72"/>
  <c r="AE10" i="65" s="1"/>
  <c r="AD11" i="62" s="1"/>
  <c r="AD26" i="72"/>
  <c r="AC26" i="72"/>
  <c r="AC10" i="65" s="1"/>
  <c r="AB11" i="62" s="1"/>
  <c r="AB26" i="72"/>
  <c r="AA26" i="72"/>
  <c r="AA10" i="65" s="1"/>
  <c r="Z11" i="62" s="1"/>
  <c r="Z26" i="72"/>
  <c r="Y26" i="72"/>
  <c r="Y10" i="65" s="1"/>
  <c r="X11" i="62" s="1"/>
  <c r="X26" i="72"/>
  <c r="W26" i="72"/>
  <c r="W10" i="65" s="1"/>
  <c r="V11" i="62" s="1"/>
  <c r="V26" i="72"/>
  <c r="U26" i="72"/>
  <c r="U10" i="65" s="1"/>
  <c r="T11" i="62" s="1"/>
  <c r="T26" i="72"/>
  <c r="S26" i="72"/>
  <c r="S10" i="65" s="1"/>
  <c r="R11" i="62" s="1"/>
  <c r="R26" i="72"/>
  <c r="R10" i="65" s="1"/>
  <c r="Q11" i="62" s="1"/>
  <c r="Q26" i="72"/>
  <c r="Q10" i="65" s="1"/>
  <c r="P11" i="62" s="1"/>
  <c r="P26" i="72"/>
  <c r="P10" i="65" s="1"/>
  <c r="O11" i="62" s="1"/>
  <c r="O26" i="72"/>
  <c r="O10" i="65" s="1"/>
  <c r="N11" i="62" s="1"/>
  <c r="N26" i="72"/>
  <c r="N10" i="65" s="1"/>
  <c r="M11" i="62" s="1"/>
  <c r="M26" i="72"/>
  <c r="M10" i="65" s="1"/>
  <c r="L11" i="62" s="1"/>
  <c r="L26" i="72"/>
  <c r="L10" i="65" s="1"/>
  <c r="K11" i="62" s="1"/>
  <c r="K26" i="72"/>
  <c r="K10" i="65" s="1"/>
  <c r="J11" i="62" s="1"/>
  <c r="J26" i="72"/>
  <c r="J10" i="65" s="1"/>
  <c r="I11" i="62" s="1"/>
  <c r="I26" i="72"/>
  <c r="I10" i="65" s="1"/>
  <c r="H11" i="62" s="1"/>
  <c r="H26" i="72"/>
  <c r="H10" i="65" s="1"/>
  <c r="G11" i="62" s="1"/>
  <c r="G26" i="72"/>
  <c r="G10" i="65" s="1"/>
  <c r="F11" i="62" s="1"/>
  <c r="F26" i="72"/>
  <c r="F10" i="65" s="1"/>
  <c r="E11" i="62" s="1"/>
  <c r="E26" i="72"/>
  <c r="E10" i="65" s="1"/>
  <c r="D11" i="62" s="1"/>
  <c r="D26" i="72"/>
  <c r="D10" i="65" s="1"/>
  <c r="C11" i="62" s="1"/>
  <c r="C26" i="72"/>
  <c r="AE16" i="72"/>
  <c r="AD10" i="62" s="1"/>
  <c r="AD16" i="72"/>
  <c r="AD5" i="65" s="1"/>
  <c r="AC16" i="72"/>
  <c r="AC5" i="65" s="1"/>
  <c r="AB16" i="72"/>
  <c r="AA10" i="62" s="1"/>
  <c r="AA16" i="72"/>
  <c r="Z10" i="62" s="1"/>
  <c r="Z16" i="72"/>
  <c r="Y10" i="62" s="1"/>
  <c r="Y16" i="72"/>
  <c r="X10" i="62" s="1"/>
  <c r="X16" i="72"/>
  <c r="W10" i="62" s="1"/>
  <c r="W16" i="72"/>
  <c r="V10" i="62" s="1"/>
  <c r="V16" i="72"/>
  <c r="V5" i="65" s="1"/>
  <c r="U16" i="72"/>
  <c r="U5" i="65" s="1"/>
  <c r="T16" i="72"/>
  <c r="S10" i="62" s="1"/>
  <c r="S16" i="72"/>
  <c r="R10" i="62" s="1"/>
  <c r="R16" i="72"/>
  <c r="Q10" i="62" s="1"/>
  <c r="Q16" i="72"/>
  <c r="P10" i="62" s="1"/>
  <c r="P16" i="72"/>
  <c r="O10" i="62" s="1"/>
  <c r="O16" i="72"/>
  <c r="N10" i="62" s="1"/>
  <c r="N16" i="72"/>
  <c r="N5" i="65" s="1"/>
  <c r="M16" i="72"/>
  <c r="M5" i="65" s="1"/>
  <c r="L16" i="72"/>
  <c r="K10" i="62" s="1"/>
  <c r="K16" i="72"/>
  <c r="J10" i="62" s="1"/>
  <c r="J16" i="72"/>
  <c r="I10" i="62" s="1"/>
  <c r="I16" i="72"/>
  <c r="H10" i="62" s="1"/>
  <c r="H16" i="72"/>
  <c r="G10" i="62" s="1"/>
  <c r="G16" i="72"/>
  <c r="F10" i="62" s="1"/>
  <c r="F16" i="72"/>
  <c r="F5" i="65" s="1"/>
  <c r="E16" i="72"/>
  <c r="E5" i="65" s="1"/>
  <c r="D16" i="72"/>
  <c r="C10" i="62" s="1"/>
  <c r="C16" i="72"/>
  <c r="B10" i="62" s="1"/>
  <c r="AE8" i="72"/>
  <c r="AD12" i="62" s="1"/>
  <c r="AD8" i="72"/>
  <c r="AC12" i="62" s="1"/>
  <c r="AC8" i="72"/>
  <c r="AB8" i="72"/>
  <c r="AA8" i="72"/>
  <c r="Z12" i="62" s="1"/>
  <c r="Z8" i="72"/>
  <c r="Y8" i="72"/>
  <c r="X12" i="62" s="1"/>
  <c r="X8" i="72"/>
  <c r="W12" i="62" s="1"/>
  <c r="W8" i="72"/>
  <c r="V12" i="62" s="1"/>
  <c r="V8" i="72"/>
  <c r="U12" i="62" s="1"/>
  <c r="U8" i="72"/>
  <c r="T8" i="72"/>
  <c r="S8" i="72"/>
  <c r="R8" i="72"/>
  <c r="Q8" i="72"/>
  <c r="P12" i="62" s="1"/>
  <c r="P8" i="72"/>
  <c r="P28" i="72" s="1"/>
  <c r="O8" i="72"/>
  <c r="O28" i="72" s="1"/>
  <c r="N8" i="72"/>
  <c r="M8" i="72"/>
  <c r="L8" i="72"/>
  <c r="K8" i="72"/>
  <c r="J12" i="62" s="1"/>
  <c r="J8" i="72"/>
  <c r="J14" i="65" s="1"/>
  <c r="I8" i="72"/>
  <c r="H12" i="62" s="1"/>
  <c r="H8" i="72"/>
  <c r="G12" i="62" s="1"/>
  <c r="G8" i="72"/>
  <c r="F12" i="62" s="1"/>
  <c r="F8" i="72"/>
  <c r="E12" i="62" s="1"/>
  <c r="E8" i="72"/>
  <c r="E28" i="72" s="1"/>
  <c r="D8" i="72"/>
  <c r="C8" i="72"/>
  <c r="B12" i="62" s="1"/>
  <c r="R28" i="72" l="1"/>
  <c r="D10" i="62"/>
  <c r="AB10" i="62"/>
  <c r="X10" i="65"/>
  <c r="W11" i="62" s="1"/>
  <c r="K5" i="65"/>
  <c r="S28" i="72"/>
  <c r="C10" i="65"/>
  <c r="B11" i="62" s="1"/>
  <c r="S5" i="65"/>
  <c r="N28" i="72"/>
  <c r="T28" i="72"/>
  <c r="AB28" i="72"/>
  <c r="L28" i="72"/>
  <c r="I12" i="62"/>
  <c r="Q12" i="62"/>
  <c r="Q16" i="62" s="1"/>
  <c r="Z14" i="65"/>
  <c r="T10" i="62"/>
  <c r="AA5" i="65"/>
  <c r="V13" i="62"/>
  <c r="L10" i="62"/>
  <c r="H13" i="62"/>
  <c r="E12" i="65"/>
  <c r="M12" i="65"/>
  <c r="N13" i="62"/>
  <c r="U12" i="65"/>
  <c r="AC12" i="65"/>
  <c r="C25" i="73"/>
  <c r="K25" i="73"/>
  <c r="S25" i="73"/>
  <c r="AA25" i="73"/>
  <c r="R14" i="65"/>
  <c r="X12" i="65"/>
  <c r="P12" i="65"/>
  <c r="H12" i="65"/>
  <c r="G25" i="73"/>
  <c r="O25" i="73"/>
  <c r="W25" i="73"/>
  <c r="AE25" i="73"/>
  <c r="Y12" i="62"/>
  <c r="C12" i="62"/>
  <c r="C16" i="62" s="1"/>
  <c r="AA12" i="62"/>
  <c r="H25" i="73"/>
  <c r="P25" i="73"/>
  <c r="X25" i="73"/>
  <c r="K12" i="62"/>
  <c r="L12" i="62"/>
  <c r="AB12" i="62"/>
  <c r="AB16" i="62" s="1"/>
  <c r="S12" i="62"/>
  <c r="T12" i="62"/>
  <c r="T16" i="62" s="1"/>
  <c r="M28" i="72"/>
  <c r="AB5" i="65"/>
  <c r="T5" i="65"/>
  <c r="L5" i="65"/>
  <c r="D5" i="65"/>
  <c r="AD12" i="65"/>
  <c r="V12" i="65"/>
  <c r="N12" i="65"/>
  <c r="F12" i="65"/>
  <c r="AA14" i="65"/>
  <c r="S14" i="65"/>
  <c r="K14" i="65"/>
  <c r="AC10" i="62"/>
  <c r="U10" i="62"/>
  <c r="U16" i="62" s="1"/>
  <c r="M10" i="62"/>
  <c r="E10" i="62"/>
  <c r="E16" i="62" s="1"/>
  <c r="R12" i="62"/>
  <c r="B13" i="62"/>
  <c r="B16" i="62" s="1"/>
  <c r="W13" i="62"/>
  <c r="W16" i="62" s="1"/>
  <c r="O13" i="62"/>
  <c r="G13" i="62"/>
  <c r="AA28" i="72"/>
  <c r="K28" i="72"/>
  <c r="W28" i="72"/>
  <c r="Z5" i="65"/>
  <c r="R5" i="65"/>
  <c r="J5" i="65"/>
  <c r="AB12" i="65"/>
  <c r="T12" i="65"/>
  <c r="L12" i="65"/>
  <c r="D12" i="65"/>
  <c r="Y14" i="65"/>
  <c r="Q14" i="65"/>
  <c r="I14" i="65"/>
  <c r="V28" i="72"/>
  <c r="AD28" i="72"/>
  <c r="J28" i="72"/>
  <c r="Y5" i="65"/>
  <c r="Q5" i="65"/>
  <c r="I5" i="65"/>
  <c r="AD10" i="65"/>
  <c r="AC11" i="62" s="1"/>
  <c r="AC16" i="62" s="1"/>
  <c r="V10" i="65"/>
  <c r="U11" i="62" s="1"/>
  <c r="AA12" i="65"/>
  <c r="S12" i="65"/>
  <c r="K12" i="65"/>
  <c r="C14" i="65"/>
  <c r="X14" i="65"/>
  <c r="P14" i="65"/>
  <c r="H14" i="65"/>
  <c r="O12" i="62"/>
  <c r="L13" i="62"/>
  <c r="L16" i="62" s="1"/>
  <c r="I28" i="72"/>
  <c r="Q28" i="72"/>
  <c r="C5" i="65"/>
  <c r="X5" i="65"/>
  <c r="P5" i="65"/>
  <c r="H5" i="65"/>
  <c r="Z12" i="65"/>
  <c r="R12" i="65"/>
  <c r="J12" i="65"/>
  <c r="AE14" i="65"/>
  <c r="W14" i="65"/>
  <c r="O14" i="65"/>
  <c r="G14" i="65"/>
  <c r="N12" i="62"/>
  <c r="K13" i="62"/>
  <c r="K16" i="62" s="1"/>
  <c r="X28" i="72"/>
  <c r="AE5" i="65"/>
  <c r="W5" i="65"/>
  <c r="O5" i="65"/>
  <c r="G5" i="65"/>
  <c r="AB10" i="65"/>
  <c r="AA11" i="62" s="1"/>
  <c r="AA16" i="62" s="1"/>
  <c r="T10" i="65"/>
  <c r="S11" i="62" s="1"/>
  <c r="S16" i="62" s="1"/>
  <c r="Y12" i="65"/>
  <c r="Q12" i="65"/>
  <c r="I12" i="65"/>
  <c r="AD14" i="65"/>
  <c r="V14" i="65"/>
  <c r="N14" i="65"/>
  <c r="F14" i="65"/>
  <c r="M12" i="62"/>
  <c r="Z13" i="62"/>
  <c r="Z16" i="62" s="1"/>
  <c r="J13" i="62"/>
  <c r="J16" i="62" s="1"/>
  <c r="AE28" i="72"/>
  <c r="G28" i="72"/>
  <c r="AC14" i="65"/>
  <c r="U14" i="65"/>
  <c r="M14" i="65"/>
  <c r="E14" i="65"/>
  <c r="D12" i="62"/>
  <c r="I13" i="62"/>
  <c r="I16" i="62" s="1"/>
  <c r="Z28" i="72"/>
  <c r="F28" i="72"/>
  <c r="Z10" i="65"/>
  <c r="Y11" i="62" s="1"/>
  <c r="Y16" i="62" s="1"/>
  <c r="AE12" i="65"/>
  <c r="G12" i="65"/>
  <c r="AB14" i="65"/>
  <c r="T14" i="65"/>
  <c r="L14" i="65"/>
  <c r="D14" i="65"/>
  <c r="P13" i="62"/>
  <c r="P16" i="62" s="1"/>
  <c r="G16" i="62"/>
  <c r="V16" i="62"/>
  <c r="N16" i="62"/>
  <c r="F16" i="62"/>
  <c r="AD16" i="62"/>
  <c r="R16" i="62"/>
  <c r="X16" i="62"/>
  <c r="H16" i="62"/>
  <c r="D16" i="62"/>
  <c r="AC25" i="73"/>
  <c r="E25" i="73"/>
  <c r="I25" i="73"/>
  <c r="M25" i="73"/>
  <c r="Q25" i="73"/>
  <c r="U25" i="73"/>
  <c r="Y25" i="73"/>
  <c r="F25" i="73"/>
  <c r="J25" i="73"/>
  <c r="N25" i="73"/>
  <c r="R25" i="73"/>
  <c r="V25" i="73"/>
  <c r="Z25" i="73"/>
  <c r="AD25" i="73"/>
  <c r="U28" i="72"/>
  <c r="Y28" i="72"/>
  <c r="AC28" i="72"/>
  <c r="H28" i="72"/>
  <c r="D28" i="72"/>
  <c r="C28" i="72"/>
  <c r="M16" i="62" l="1"/>
  <c r="O16" i="62"/>
  <c r="F35" i="71"/>
  <c r="F11" i="65" s="1"/>
  <c r="F17" i="71"/>
  <c r="F13" i="65" s="1"/>
  <c r="E13" i="61" s="1"/>
  <c r="G17" i="71"/>
  <c r="G13" i="65" s="1"/>
  <c r="F13" i="61" s="1"/>
  <c r="H17" i="71"/>
  <c r="H13" i="65" s="1"/>
  <c r="I17" i="71"/>
  <c r="I13" i="65" s="1"/>
  <c r="J17" i="71"/>
  <c r="J13" i="65" s="1"/>
  <c r="K17" i="71"/>
  <c r="K13" i="65" s="1"/>
  <c r="L17" i="71"/>
  <c r="L13" i="65" s="1"/>
  <c r="M17" i="71"/>
  <c r="M13" i="65" s="1"/>
  <c r="N17" i="71"/>
  <c r="N13" i="65" s="1"/>
  <c r="M13" i="61" s="1"/>
  <c r="O17" i="71"/>
  <c r="O13" i="65" s="1"/>
  <c r="N13" i="61" s="1"/>
  <c r="P17" i="71"/>
  <c r="P13" i="65" s="1"/>
  <c r="O13" i="61" s="1"/>
  <c r="Q17" i="71"/>
  <c r="Q13" i="65" s="1"/>
  <c r="P13" i="61" s="1"/>
  <c r="R17" i="71"/>
  <c r="R13" i="65" s="1"/>
  <c r="S17" i="71"/>
  <c r="S13" i="65" s="1"/>
  <c r="T17" i="71"/>
  <c r="T13" i="65" s="1"/>
  <c r="U17" i="71"/>
  <c r="U13" i="65" s="1"/>
  <c r="V17" i="71"/>
  <c r="V13" i="65" s="1"/>
  <c r="U13" i="61" s="1"/>
  <c r="W17" i="71"/>
  <c r="W13" i="65" s="1"/>
  <c r="V13" i="61" s="1"/>
  <c r="X17" i="71"/>
  <c r="X13" i="65" s="1"/>
  <c r="W13" i="61" s="1"/>
  <c r="Y17" i="71"/>
  <c r="Y13" i="65" s="1"/>
  <c r="X13" i="61" s="1"/>
  <c r="Z17" i="71"/>
  <c r="Z13" i="65" s="1"/>
  <c r="AA17" i="71"/>
  <c r="AA13" i="65" s="1"/>
  <c r="AB17" i="71"/>
  <c r="AB13" i="65" s="1"/>
  <c r="AC17" i="71"/>
  <c r="AC13" i="65" s="1"/>
  <c r="AD17" i="71"/>
  <c r="AD13" i="65" s="1"/>
  <c r="AC13" i="61" s="1"/>
  <c r="AE17" i="71"/>
  <c r="AE13" i="65" s="1"/>
  <c r="AD13" i="61" s="1"/>
  <c r="E17" i="71"/>
  <c r="E13" i="65" s="1"/>
  <c r="D13" i="61" s="1"/>
  <c r="C13" i="71"/>
  <c r="C15" i="65" s="1"/>
  <c r="B12" i="61" s="1"/>
  <c r="C8" i="71"/>
  <c r="B14" i="61" s="1"/>
  <c r="AE35" i="71"/>
  <c r="AE11" i="65" s="1"/>
  <c r="AD11" i="61" s="1"/>
  <c r="AD35" i="71"/>
  <c r="AD11" i="65" s="1"/>
  <c r="AC35" i="71"/>
  <c r="AC11" i="65" s="1"/>
  <c r="AB35" i="71"/>
  <c r="AB11" i="65" s="1"/>
  <c r="AA11" i="61" s="1"/>
  <c r="AA35" i="71"/>
  <c r="AA11" i="65" s="1"/>
  <c r="Z11" i="61" s="1"/>
  <c r="Z35" i="71"/>
  <c r="Z11" i="65" s="1"/>
  <c r="Y11" i="61" s="1"/>
  <c r="Y35" i="71"/>
  <c r="Y11" i="65" s="1"/>
  <c r="X11" i="61" s="1"/>
  <c r="X35" i="71"/>
  <c r="X11" i="65" s="1"/>
  <c r="W11" i="61" s="1"/>
  <c r="W35" i="71"/>
  <c r="W11" i="65" s="1"/>
  <c r="V35" i="71"/>
  <c r="V11" i="65" s="1"/>
  <c r="U35" i="71"/>
  <c r="U11" i="65" s="1"/>
  <c r="T35" i="71"/>
  <c r="T11" i="65" s="1"/>
  <c r="S11" i="61" s="1"/>
  <c r="S35" i="71"/>
  <c r="S11" i="65" s="1"/>
  <c r="R35" i="71"/>
  <c r="R11" i="65" s="1"/>
  <c r="Q35" i="71"/>
  <c r="Q11" i="65" s="1"/>
  <c r="P11" i="61" s="1"/>
  <c r="P35" i="71"/>
  <c r="P11" i="65" s="1"/>
  <c r="O35" i="71"/>
  <c r="O11" i="65" s="1"/>
  <c r="N35" i="71"/>
  <c r="N11" i="65" s="1"/>
  <c r="M35" i="71"/>
  <c r="M11" i="65" s="1"/>
  <c r="L35" i="71"/>
  <c r="L11" i="65" s="1"/>
  <c r="K11" i="61" s="1"/>
  <c r="K35" i="71"/>
  <c r="K11" i="65" s="1"/>
  <c r="J35" i="71"/>
  <c r="J11" i="65" s="1"/>
  <c r="I11" i="61" s="1"/>
  <c r="I35" i="71"/>
  <c r="I11" i="65" s="1"/>
  <c r="H35" i="71"/>
  <c r="H11" i="65" s="1"/>
  <c r="G35" i="71"/>
  <c r="G11" i="65" s="1"/>
  <c r="E35" i="71"/>
  <c r="E11" i="65" s="1"/>
  <c r="D35" i="71"/>
  <c r="D11" i="65" s="1"/>
  <c r="C35" i="71"/>
  <c r="C11" i="65" s="1"/>
  <c r="B11" i="61" s="1"/>
  <c r="AE25" i="71"/>
  <c r="AE6" i="65" s="1"/>
  <c r="AD10" i="61" s="1"/>
  <c r="AD25" i="71"/>
  <c r="AD6" i="65" s="1"/>
  <c r="AC10" i="61" s="1"/>
  <c r="AC25" i="71"/>
  <c r="AC6" i="65" s="1"/>
  <c r="AB10" i="61" s="1"/>
  <c r="AB25" i="71"/>
  <c r="AB6" i="65" s="1"/>
  <c r="AA25" i="71"/>
  <c r="AA6" i="65" s="1"/>
  <c r="Z25" i="71"/>
  <c r="Z6" i="65" s="1"/>
  <c r="Y25" i="71"/>
  <c r="Y6" i="65" s="1"/>
  <c r="X25" i="71"/>
  <c r="X6" i="65" s="1"/>
  <c r="W10" i="61" s="1"/>
  <c r="W25" i="71"/>
  <c r="W6" i="65" s="1"/>
  <c r="V10" i="61" s="1"/>
  <c r="V25" i="71"/>
  <c r="V6" i="65" s="1"/>
  <c r="U25" i="71"/>
  <c r="U6" i="65" s="1"/>
  <c r="T10" i="61" s="1"/>
  <c r="T25" i="71"/>
  <c r="T6" i="65" s="1"/>
  <c r="S25" i="71"/>
  <c r="S6" i="65" s="1"/>
  <c r="R25" i="71"/>
  <c r="R6" i="65" s="1"/>
  <c r="Q25" i="71"/>
  <c r="Q6" i="65" s="1"/>
  <c r="P25" i="71"/>
  <c r="P6" i="65" s="1"/>
  <c r="O10" i="61" s="1"/>
  <c r="O25" i="71"/>
  <c r="O6" i="65" s="1"/>
  <c r="N10" i="61" s="1"/>
  <c r="N25" i="71"/>
  <c r="N6" i="65" s="1"/>
  <c r="M10" i="61" s="1"/>
  <c r="M25" i="71"/>
  <c r="M6" i="65" s="1"/>
  <c r="L25" i="71"/>
  <c r="L6" i="65" s="1"/>
  <c r="K25" i="71"/>
  <c r="K6" i="65" s="1"/>
  <c r="J25" i="71"/>
  <c r="J6" i="65" s="1"/>
  <c r="I25" i="71"/>
  <c r="I6" i="65" s="1"/>
  <c r="H25" i="71"/>
  <c r="H6" i="65" s="1"/>
  <c r="G10" i="61" s="1"/>
  <c r="G25" i="71"/>
  <c r="G6" i="65" s="1"/>
  <c r="F10" i="61" s="1"/>
  <c r="F25" i="71"/>
  <c r="F6" i="65" s="1"/>
  <c r="E10" i="61" s="1"/>
  <c r="E25" i="71"/>
  <c r="E6" i="65" s="1"/>
  <c r="D10" i="61" s="1"/>
  <c r="D25" i="71"/>
  <c r="D6" i="65" s="1"/>
  <c r="C25" i="71"/>
  <c r="C6" i="65" s="1"/>
  <c r="D17" i="71"/>
  <c r="D13" i="65" s="1"/>
  <c r="C17" i="71"/>
  <c r="C13" i="65" s="1"/>
  <c r="AE13" i="71"/>
  <c r="AE15" i="65" s="1"/>
  <c r="AD13" i="71"/>
  <c r="AD15" i="65" s="1"/>
  <c r="AC12" i="61" s="1"/>
  <c r="AC13" i="71"/>
  <c r="AC15" i="65" s="1"/>
  <c r="AB13" i="71"/>
  <c r="AB15" i="65" s="1"/>
  <c r="AA12" i="61" s="1"/>
  <c r="AA13" i="71"/>
  <c r="AA15" i="65" s="1"/>
  <c r="Z13" i="71"/>
  <c r="Z15" i="65" s="1"/>
  <c r="Y13" i="71"/>
  <c r="Y15" i="65" s="1"/>
  <c r="X13" i="71"/>
  <c r="X15" i="65" s="1"/>
  <c r="W13" i="71"/>
  <c r="W15" i="65" s="1"/>
  <c r="V12" i="61" s="1"/>
  <c r="V13" i="71"/>
  <c r="V15" i="65" s="1"/>
  <c r="U12" i="61" s="1"/>
  <c r="U13" i="71"/>
  <c r="U15" i="65" s="1"/>
  <c r="T12" i="61" s="1"/>
  <c r="T13" i="71"/>
  <c r="T15" i="65" s="1"/>
  <c r="S13" i="71"/>
  <c r="S15" i="65" s="1"/>
  <c r="R13" i="71"/>
  <c r="R15" i="65" s="1"/>
  <c r="Q13" i="71"/>
  <c r="Q15" i="65" s="1"/>
  <c r="P13" i="71"/>
  <c r="P15" i="65" s="1"/>
  <c r="O13" i="71"/>
  <c r="O15" i="65" s="1"/>
  <c r="N13" i="71"/>
  <c r="N15" i="65" s="1"/>
  <c r="M12" i="61" s="1"/>
  <c r="M13" i="71"/>
  <c r="M15" i="65" s="1"/>
  <c r="L12" i="61" s="1"/>
  <c r="L13" i="71"/>
  <c r="L15" i="65" s="1"/>
  <c r="K12" i="61" s="1"/>
  <c r="K13" i="71"/>
  <c r="K15" i="65" s="1"/>
  <c r="J13" i="71"/>
  <c r="J15" i="65" s="1"/>
  <c r="I13" i="71"/>
  <c r="I15" i="65" s="1"/>
  <c r="H13" i="71"/>
  <c r="H15" i="65" s="1"/>
  <c r="G13" i="71"/>
  <c r="G15" i="65" s="1"/>
  <c r="F12" i="61" s="1"/>
  <c r="F13" i="71"/>
  <c r="F15" i="65" s="1"/>
  <c r="E12" i="61" s="1"/>
  <c r="E13" i="71"/>
  <c r="E15" i="65" s="1"/>
  <c r="D12" i="61" s="1"/>
  <c r="D13" i="71"/>
  <c r="D15" i="65" s="1"/>
  <c r="C12" i="61" s="1"/>
  <c r="AE8" i="71"/>
  <c r="AD14" i="61" s="1"/>
  <c r="AD8" i="71"/>
  <c r="AC14" i="61" s="1"/>
  <c r="AC8" i="71"/>
  <c r="AB14" i="61" s="1"/>
  <c r="AB8" i="71"/>
  <c r="AA14" i="61" s="1"/>
  <c r="AA8" i="71"/>
  <c r="Z14" i="61" s="1"/>
  <c r="Z8" i="71"/>
  <c r="Y14" i="61" s="1"/>
  <c r="Y8" i="71"/>
  <c r="X14" i="61" s="1"/>
  <c r="X8" i="71"/>
  <c r="W14" i="61" s="1"/>
  <c r="W8" i="71"/>
  <c r="V14" i="61" s="1"/>
  <c r="V8" i="71"/>
  <c r="U14" i="61" s="1"/>
  <c r="U8" i="71"/>
  <c r="T14" i="61" s="1"/>
  <c r="T8" i="71"/>
  <c r="S14" i="61" s="1"/>
  <c r="S8" i="71"/>
  <c r="R14" i="61" s="1"/>
  <c r="R8" i="71"/>
  <c r="Q14" i="61" s="1"/>
  <c r="Q8" i="71"/>
  <c r="P14" i="61" s="1"/>
  <c r="P8" i="71"/>
  <c r="O14" i="61" s="1"/>
  <c r="O8" i="71"/>
  <c r="N14" i="61" s="1"/>
  <c r="N8" i="71"/>
  <c r="M14" i="61" s="1"/>
  <c r="M8" i="71"/>
  <c r="L14" i="61" s="1"/>
  <c r="L8" i="71"/>
  <c r="K14" i="61" s="1"/>
  <c r="K8" i="71"/>
  <c r="J14" i="61" s="1"/>
  <c r="J8" i="71"/>
  <c r="I14" i="61" s="1"/>
  <c r="I8" i="71"/>
  <c r="H14" i="61" s="1"/>
  <c r="H8" i="71"/>
  <c r="G14" i="61" s="1"/>
  <c r="G8" i="71"/>
  <c r="F14" i="61" s="1"/>
  <c r="F8" i="71"/>
  <c r="E14" i="61" s="1"/>
  <c r="E8" i="71"/>
  <c r="D14" i="61" s="1"/>
  <c r="D8" i="71"/>
  <c r="C14" i="61" s="1"/>
  <c r="C13" i="61"/>
  <c r="G13" i="61"/>
  <c r="H13" i="61"/>
  <c r="I13" i="61"/>
  <c r="J13" i="61"/>
  <c r="K13" i="61"/>
  <c r="L13" i="61"/>
  <c r="Q13" i="61"/>
  <c r="R13" i="61"/>
  <c r="S13" i="61"/>
  <c r="T13" i="61"/>
  <c r="Y13" i="61"/>
  <c r="Z13" i="61"/>
  <c r="AA13" i="61"/>
  <c r="AB13" i="61"/>
  <c r="B13" i="61"/>
  <c r="G12" i="61"/>
  <c r="H12" i="61"/>
  <c r="I12" i="61"/>
  <c r="J12" i="61"/>
  <c r="N12" i="61"/>
  <c r="O12" i="61"/>
  <c r="P12" i="61"/>
  <c r="Q12" i="61"/>
  <c r="R12" i="61"/>
  <c r="S12" i="61"/>
  <c r="W12" i="61"/>
  <c r="X12" i="61"/>
  <c r="Y12" i="61"/>
  <c r="Z12" i="61"/>
  <c r="AB12" i="61"/>
  <c r="AD12" i="61"/>
  <c r="C11" i="61"/>
  <c r="D11" i="61"/>
  <c r="E11" i="61"/>
  <c r="F11" i="61"/>
  <c r="G11" i="61"/>
  <c r="H11" i="61"/>
  <c r="J11" i="61"/>
  <c r="L11" i="61"/>
  <c r="M11" i="61"/>
  <c r="N11" i="61"/>
  <c r="O11" i="61"/>
  <c r="Q11" i="61"/>
  <c r="R11" i="61"/>
  <c r="T11" i="61"/>
  <c r="U11" i="61"/>
  <c r="V11" i="61"/>
  <c r="AB11" i="61"/>
  <c r="AC11" i="61"/>
  <c r="C10" i="61"/>
  <c r="H10" i="61"/>
  <c r="I10" i="61"/>
  <c r="J10" i="61"/>
  <c r="K10" i="61"/>
  <c r="L10" i="61"/>
  <c r="P10" i="61"/>
  <c r="Q10" i="61"/>
  <c r="R10" i="61"/>
  <c r="S10" i="61"/>
  <c r="U10" i="61"/>
  <c r="X10" i="61"/>
  <c r="Y10" i="61"/>
  <c r="Z10" i="61"/>
  <c r="AA10" i="61"/>
  <c r="B10" i="61"/>
  <c r="C9" i="61"/>
  <c r="D9" i="61"/>
  <c r="E9" i="61"/>
  <c r="F9" i="61"/>
  <c r="G9" i="61"/>
  <c r="H9" i="61"/>
  <c r="I9" i="61"/>
  <c r="J9" i="61"/>
  <c r="K9" i="61"/>
  <c r="L9" i="61"/>
  <c r="M9" i="61"/>
  <c r="N9" i="61"/>
  <c r="O9" i="61"/>
  <c r="P9" i="61"/>
  <c r="Q9" i="61"/>
  <c r="R9" i="61"/>
  <c r="S9" i="61"/>
  <c r="T9" i="61"/>
  <c r="U9" i="61"/>
  <c r="V9" i="61"/>
  <c r="W9" i="61"/>
  <c r="X9" i="61"/>
  <c r="Y9" i="61"/>
  <c r="Z9" i="61"/>
  <c r="AA9" i="61"/>
  <c r="AB9" i="61"/>
  <c r="AC9" i="61"/>
  <c r="AD9" i="61"/>
  <c r="B9" i="61"/>
  <c r="C8" i="61"/>
  <c r="D8" i="61"/>
  <c r="E8" i="61"/>
  <c r="F8" i="61"/>
  <c r="G8" i="61"/>
  <c r="H8" i="61"/>
  <c r="I8" i="61"/>
  <c r="J8" i="61"/>
  <c r="K8" i="61"/>
  <c r="L8" i="61"/>
  <c r="M8" i="61"/>
  <c r="N8" i="61"/>
  <c r="O8" i="61"/>
  <c r="P8" i="61"/>
  <c r="Q8" i="61"/>
  <c r="R8" i="61"/>
  <c r="S8" i="61"/>
  <c r="T8" i="61"/>
  <c r="U8" i="61"/>
  <c r="V8" i="61"/>
  <c r="W8" i="61"/>
  <c r="X8" i="61"/>
  <c r="Y8" i="61"/>
  <c r="Z8" i="61"/>
  <c r="AA8" i="61"/>
  <c r="AB8" i="61"/>
  <c r="AC8" i="61"/>
  <c r="AD8" i="61"/>
  <c r="B8" i="61"/>
  <c r="C7" i="61"/>
  <c r="D7" i="61"/>
  <c r="E7" i="61"/>
  <c r="F7" i="61"/>
  <c r="G7" i="61"/>
  <c r="H7" i="61"/>
  <c r="I7" i="61"/>
  <c r="J7" i="61"/>
  <c r="K7" i="61"/>
  <c r="L7" i="61"/>
  <c r="M7" i="61"/>
  <c r="N7" i="61"/>
  <c r="O7" i="61"/>
  <c r="P7" i="61"/>
  <c r="Q7" i="61"/>
  <c r="R7" i="61"/>
  <c r="S7" i="61"/>
  <c r="T7" i="61"/>
  <c r="U7" i="61"/>
  <c r="V7" i="61"/>
  <c r="W7" i="61"/>
  <c r="X7" i="61"/>
  <c r="Y7" i="61"/>
  <c r="Z7" i="61"/>
  <c r="AA7" i="61"/>
  <c r="AB7" i="61"/>
  <c r="AC7" i="61"/>
  <c r="AD7" i="61"/>
  <c r="B7" i="61"/>
  <c r="C6" i="61"/>
  <c r="D6" i="61"/>
  <c r="E6" i="61"/>
  <c r="F6" i="61"/>
  <c r="G6" i="61"/>
  <c r="H6" i="61"/>
  <c r="I6" i="61"/>
  <c r="J6" i="61"/>
  <c r="K6" i="61"/>
  <c r="L6" i="61"/>
  <c r="M6" i="61"/>
  <c r="N6" i="61"/>
  <c r="O6" i="61"/>
  <c r="P6" i="61"/>
  <c r="Q6" i="61"/>
  <c r="R6" i="61"/>
  <c r="S6" i="61"/>
  <c r="T6" i="61"/>
  <c r="U6" i="61"/>
  <c r="V6" i="61"/>
  <c r="W6" i="61"/>
  <c r="X6" i="61"/>
  <c r="Y6" i="61"/>
  <c r="Z6" i="61"/>
  <c r="AA6" i="61"/>
  <c r="AB6" i="61"/>
  <c r="AC6" i="61"/>
  <c r="AD6" i="61"/>
  <c r="B6" i="61"/>
  <c r="C5" i="61"/>
  <c r="D5" i="61"/>
  <c r="E5" i="61"/>
  <c r="F5" i="61"/>
  <c r="G5" i="61"/>
  <c r="H5" i="61"/>
  <c r="I5" i="61"/>
  <c r="J5" i="61"/>
  <c r="K5" i="61"/>
  <c r="L5" i="61"/>
  <c r="M5" i="61"/>
  <c r="N5" i="61"/>
  <c r="O5" i="61"/>
  <c r="P5" i="61"/>
  <c r="Q5" i="61"/>
  <c r="R5" i="61"/>
  <c r="S5" i="61"/>
  <c r="T5" i="61"/>
  <c r="U5" i="61"/>
  <c r="V5" i="61"/>
  <c r="W5" i="61"/>
  <c r="X5" i="61"/>
  <c r="Y5" i="61"/>
  <c r="Z5" i="61"/>
  <c r="AA5" i="61"/>
  <c r="AB5" i="61"/>
  <c r="AC5" i="61"/>
  <c r="AD5" i="61"/>
  <c r="B5" i="61"/>
  <c r="K37" i="71" l="1"/>
  <c r="AA37" i="71"/>
  <c r="J37" i="71"/>
  <c r="Y37" i="71"/>
  <c r="Q37" i="71"/>
  <c r="I37" i="71"/>
  <c r="R37" i="71"/>
  <c r="C37" i="71"/>
  <c r="X37" i="71"/>
  <c r="P37" i="71"/>
  <c r="H37" i="71"/>
  <c r="Z37" i="71"/>
  <c r="AE37" i="71"/>
  <c r="W37" i="71"/>
  <c r="O37" i="71"/>
  <c r="G37" i="71"/>
  <c r="AD37" i="71"/>
  <c r="V37" i="71"/>
  <c r="N37" i="71"/>
  <c r="F37" i="71"/>
  <c r="AC37" i="71"/>
  <c r="U37" i="71"/>
  <c r="M37" i="71"/>
  <c r="E37" i="71"/>
  <c r="S37" i="71"/>
  <c r="AB37" i="71"/>
  <c r="T37" i="71"/>
  <c r="L37" i="71"/>
  <c r="D37" i="71"/>
  <c r="C20" i="61"/>
  <c r="B20" i="61"/>
  <c r="AB20" i="61"/>
  <c r="X20" i="61"/>
  <c r="T20" i="61"/>
  <c r="P20" i="61"/>
  <c r="L20" i="61"/>
  <c r="H20" i="61"/>
  <c r="W20" i="61"/>
  <c r="S20" i="61"/>
  <c r="O20" i="61"/>
  <c r="G20" i="61"/>
  <c r="AA20" i="61"/>
  <c r="K20" i="61"/>
  <c r="D20" i="61"/>
  <c r="AD20" i="61"/>
  <c r="Z20" i="61"/>
  <c r="V20" i="61"/>
  <c r="R20" i="61"/>
  <c r="N20" i="61"/>
  <c r="J20" i="61"/>
  <c r="F20" i="61"/>
  <c r="AC20" i="61"/>
  <c r="Y20" i="61"/>
  <c r="U20" i="61"/>
  <c r="Q20" i="61"/>
  <c r="M20" i="61"/>
  <c r="I20" i="61"/>
  <c r="E20" i="61"/>
  <c r="N39" i="68"/>
  <c r="M16" i="68"/>
  <c r="O16" i="68"/>
  <c r="AG45" i="68"/>
  <c r="AF45" i="68"/>
  <c r="AE45" i="68"/>
  <c r="AD45" i="68"/>
  <c r="AC45" i="68"/>
  <c r="AB45" i="68"/>
  <c r="AA45" i="68"/>
  <c r="Z45" i="68"/>
  <c r="Y45" i="68"/>
  <c r="X45" i="68"/>
  <c r="W45" i="68"/>
  <c r="V45" i="68"/>
  <c r="U45" i="68"/>
  <c r="T45" i="68"/>
  <c r="S45" i="68"/>
  <c r="R45" i="68"/>
  <c r="Q45" i="68"/>
  <c r="P45" i="68"/>
  <c r="O45" i="68"/>
  <c r="N45" i="68"/>
  <c r="M45" i="68"/>
  <c r="L45" i="68"/>
  <c r="K45" i="68"/>
  <c r="J45" i="68"/>
  <c r="I45" i="68"/>
  <c r="H45" i="68"/>
  <c r="G45" i="68"/>
  <c r="F45" i="68"/>
  <c r="E45" i="68"/>
  <c r="AG39" i="68"/>
  <c r="AF39" i="68"/>
  <c r="AE39" i="68"/>
  <c r="AD39" i="68"/>
  <c r="AC39" i="68"/>
  <c r="AB39" i="68"/>
  <c r="AA39" i="68"/>
  <c r="Z39" i="68"/>
  <c r="Y39" i="68"/>
  <c r="X39" i="68"/>
  <c r="W39" i="68"/>
  <c r="V39" i="68"/>
  <c r="U39" i="68"/>
  <c r="T39" i="68"/>
  <c r="S39" i="68"/>
  <c r="R39" i="68"/>
  <c r="Q39" i="68"/>
  <c r="P39" i="68"/>
  <c r="M39" i="68"/>
  <c r="K39" i="68"/>
  <c r="J39" i="68"/>
  <c r="I39" i="68"/>
  <c r="H39" i="68"/>
  <c r="G39" i="68"/>
  <c r="F39" i="68"/>
  <c r="E39" i="68"/>
  <c r="L39" i="68"/>
  <c r="AG16" i="68"/>
  <c r="AF16" i="68"/>
  <c r="AE16" i="68"/>
  <c r="AD16" i="68"/>
  <c r="AC16" i="68"/>
  <c r="AB16" i="68"/>
  <c r="AA16" i="68"/>
  <c r="Z16" i="68"/>
  <c r="Z46" i="68" s="1"/>
  <c r="Y16" i="68"/>
  <c r="X16" i="68"/>
  <c r="W16" i="68"/>
  <c r="V16" i="68"/>
  <c r="U16" i="68"/>
  <c r="T16" i="68"/>
  <c r="S16" i="68"/>
  <c r="R16" i="68"/>
  <c r="R46" i="68" s="1"/>
  <c r="Q16" i="68"/>
  <c r="P16" i="68"/>
  <c r="N16" i="68"/>
  <c r="L16" i="68"/>
  <c r="K16" i="68"/>
  <c r="J16" i="68"/>
  <c r="I16" i="68"/>
  <c r="H16" i="68"/>
  <c r="G16" i="68"/>
  <c r="F16" i="68"/>
  <c r="F46" i="68" s="1"/>
  <c r="E16" i="68"/>
  <c r="K38" i="67"/>
  <c r="L37" i="67"/>
  <c r="AF45" i="67"/>
  <c r="AE45" i="67"/>
  <c r="AD45" i="67"/>
  <c r="AC45" i="67"/>
  <c r="AB45" i="67"/>
  <c r="AA45" i="67"/>
  <c r="Z45" i="67"/>
  <c r="Y45" i="67"/>
  <c r="X45" i="67"/>
  <c r="W45" i="67"/>
  <c r="V45" i="67"/>
  <c r="U45" i="67"/>
  <c r="T45" i="67"/>
  <c r="S45" i="67"/>
  <c r="R45" i="67"/>
  <c r="Q45" i="67"/>
  <c r="P45" i="67"/>
  <c r="O45" i="67"/>
  <c r="N45" i="67"/>
  <c r="M45" i="67"/>
  <c r="L45" i="67"/>
  <c r="K45" i="67"/>
  <c r="J45" i="67"/>
  <c r="I45" i="67"/>
  <c r="H45" i="67"/>
  <c r="G45" i="67"/>
  <c r="F45" i="67"/>
  <c r="E45" i="67"/>
  <c r="D45"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AF16" i="67"/>
  <c r="AE16" i="67"/>
  <c r="AD16" i="67"/>
  <c r="AD46" i="67" s="1"/>
  <c r="AC16" i="67"/>
  <c r="AB16" i="67"/>
  <c r="AA16" i="67"/>
  <c r="Z16" i="67"/>
  <c r="Y16" i="67"/>
  <c r="X16" i="67"/>
  <c r="W16" i="67"/>
  <c r="V16" i="67"/>
  <c r="V46" i="67" s="1"/>
  <c r="U16" i="67"/>
  <c r="T16" i="67"/>
  <c r="S16" i="67"/>
  <c r="R16" i="67"/>
  <c r="Q16" i="67"/>
  <c r="P16" i="67"/>
  <c r="O16" i="67"/>
  <c r="N16" i="67"/>
  <c r="N46" i="67" s="1"/>
  <c r="M16" i="67"/>
  <c r="L16" i="67"/>
  <c r="K16" i="67"/>
  <c r="J16" i="67"/>
  <c r="I16" i="67"/>
  <c r="H16" i="67"/>
  <c r="G16" i="67"/>
  <c r="F16" i="67"/>
  <c r="F46" i="67" s="1"/>
  <c r="E16" i="67"/>
  <c r="D16" i="67"/>
  <c r="D46" i="67" s="1"/>
  <c r="AF46" i="66"/>
  <c r="AE46" i="66"/>
  <c r="AD46" i="66"/>
  <c r="AC46" i="66"/>
  <c r="AB46" i="66"/>
  <c r="AA46" i="66"/>
  <c r="Z46" i="66"/>
  <c r="Y46" i="66"/>
  <c r="X46" i="66"/>
  <c r="W46" i="66"/>
  <c r="V46" i="66"/>
  <c r="U46" i="66"/>
  <c r="T46" i="66"/>
  <c r="S46" i="66"/>
  <c r="R46" i="66"/>
  <c r="Q46" i="66"/>
  <c r="P46" i="66"/>
  <c r="O46" i="66"/>
  <c r="N46" i="66"/>
  <c r="M46" i="66"/>
  <c r="L46" i="66"/>
  <c r="K46" i="66"/>
  <c r="J46" i="66"/>
  <c r="I46" i="66"/>
  <c r="H46" i="66"/>
  <c r="G46" i="66"/>
  <c r="F46" i="66"/>
  <c r="E46" i="66"/>
  <c r="D46"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AF17" i="66"/>
  <c r="AE17" i="66"/>
  <c r="AD17" i="66"/>
  <c r="AC17" i="66"/>
  <c r="AB17" i="66"/>
  <c r="AA17" i="66"/>
  <c r="Z17" i="66"/>
  <c r="Y17" i="66"/>
  <c r="X17" i="66"/>
  <c r="W17" i="66"/>
  <c r="V17" i="66"/>
  <c r="U17" i="66"/>
  <c r="T17" i="66"/>
  <c r="S17" i="66"/>
  <c r="R17" i="66"/>
  <c r="Q17" i="66"/>
  <c r="P17" i="66"/>
  <c r="O17" i="66"/>
  <c r="N17" i="66"/>
  <c r="M17" i="66"/>
  <c r="L17" i="66"/>
  <c r="K17" i="66"/>
  <c r="J17" i="66"/>
  <c r="I17" i="66"/>
  <c r="H17" i="66"/>
  <c r="G17" i="66"/>
  <c r="F17" i="66"/>
  <c r="E17" i="66"/>
  <c r="D17" i="66"/>
  <c r="AC17" i="65"/>
  <c r="Y17" i="65"/>
  <c r="X17" i="65"/>
  <c r="U17" i="65"/>
  <c r="T17" i="65"/>
  <c r="Q17" i="65"/>
  <c r="P17" i="65"/>
  <c r="M17" i="65"/>
  <c r="L17" i="65"/>
  <c r="I17" i="65"/>
  <c r="H17" i="65"/>
  <c r="E17" i="65"/>
  <c r="D17" i="65"/>
  <c r="C17" i="65"/>
  <c r="AC16" i="65"/>
  <c r="Y16" i="65"/>
  <c r="U16" i="65"/>
  <c r="Q16" i="65"/>
  <c r="M16" i="65"/>
  <c r="I16" i="65"/>
  <c r="E16" i="65"/>
  <c r="Q28" i="64"/>
  <c r="C29" i="64"/>
  <c r="C28" i="64"/>
  <c r="AE29" i="64"/>
  <c r="AD29" i="64"/>
  <c r="AC29" i="64"/>
  <c r="AB29" i="64"/>
  <c r="AA29" i="64"/>
  <c r="Z29" i="64"/>
  <c r="Y29" i="64"/>
  <c r="X29" i="64"/>
  <c r="W29" i="64"/>
  <c r="V29" i="64"/>
  <c r="U29" i="64"/>
  <c r="T29" i="64"/>
  <c r="S29" i="64"/>
  <c r="R29" i="64"/>
  <c r="Q29" i="64"/>
  <c r="P29" i="64"/>
  <c r="O29" i="64"/>
  <c r="N29" i="64"/>
  <c r="M29" i="64"/>
  <c r="L29" i="64"/>
  <c r="K29" i="64"/>
  <c r="J29" i="64"/>
  <c r="I29" i="64"/>
  <c r="H29" i="64"/>
  <c r="G29" i="64"/>
  <c r="F29" i="64"/>
  <c r="E29" i="64"/>
  <c r="D29" i="64"/>
  <c r="AE28" i="64"/>
  <c r="AD28" i="64"/>
  <c r="AC28" i="64"/>
  <c r="AB28" i="64"/>
  <c r="AA28" i="64"/>
  <c r="Z28" i="64"/>
  <c r="Y28" i="64"/>
  <c r="X28" i="64"/>
  <c r="W28" i="64"/>
  <c r="P28" i="64"/>
  <c r="O28" i="64"/>
  <c r="N28" i="64"/>
  <c r="M28" i="64"/>
  <c r="L28" i="64"/>
  <c r="K28" i="64"/>
  <c r="J28" i="64"/>
  <c r="I28" i="64"/>
  <c r="H28" i="64"/>
  <c r="G28" i="64"/>
  <c r="F28" i="64"/>
  <c r="E28" i="64"/>
  <c r="D28" i="64"/>
  <c r="V28" i="64"/>
  <c r="U28" i="64"/>
  <c r="T28" i="64"/>
  <c r="S28" i="64"/>
  <c r="R28" i="64"/>
  <c r="J46" i="67" l="1"/>
  <c r="R46" i="67"/>
  <c r="Z46" i="67"/>
  <c r="J46" i="68"/>
  <c r="V46" i="68"/>
  <c r="AD46" i="68"/>
  <c r="Q46" i="68"/>
  <c r="U46" i="68"/>
  <c r="Y46" i="68"/>
  <c r="AC46" i="68"/>
  <c r="AG46" i="68"/>
  <c r="M46" i="68"/>
  <c r="O39" i="68"/>
  <c r="O46" i="68" s="1"/>
  <c r="AA46" i="68"/>
  <c r="S46" i="68"/>
  <c r="W46" i="68"/>
  <c r="AE46" i="68"/>
  <c r="N46" i="68"/>
  <c r="G46" i="68"/>
  <c r="K46" i="68"/>
  <c r="H46" i="68"/>
  <c r="L46" i="68"/>
  <c r="P46" i="68"/>
  <c r="T46" i="68"/>
  <c r="X46" i="68"/>
  <c r="AB46" i="68"/>
  <c r="AF46" i="68"/>
  <c r="E46" i="68"/>
  <c r="I46" i="68"/>
  <c r="G46" i="67"/>
  <c r="K46" i="67"/>
  <c r="O46" i="67"/>
  <c r="S46" i="67"/>
  <c r="W46" i="67"/>
  <c r="AA46" i="67"/>
  <c r="AE46" i="67"/>
  <c r="H46" i="67"/>
  <c r="L46" i="67"/>
  <c r="P46" i="67"/>
  <c r="T46" i="67"/>
  <c r="X46" i="67"/>
  <c r="AB46" i="67"/>
  <c r="AF46" i="67"/>
  <c r="E46" i="67"/>
  <c r="I46" i="67"/>
  <c r="M46" i="67"/>
  <c r="Q46" i="67"/>
  <c r="U46" i="67"/>
  <c r="Y46" i="67"/>
  <c r="AC46" i="67"/>
  <c r="E47" i="66"/>
  <c r="I47" i="66"/>
  <c r="M47" i="66"/>
  <c r="Q47" i="66"/>
  <c r="U47" i="66"/>
  <c r="Y47" i="66"/>
  <c r="AC47" i="66"/>
  <c r="G47" i="66"/>
  <c r="K47" i="66"/>
  <c r="O47" i="66"/>
  <c r="S47" i="66"/>
  <c r="W47" i="66"/>
  <c r="AA47" i="66"/>
  <c r="AE47" i="66"/>
  <c r="D47" i="66"/>
  <c r="H47" i="66"/>
  <c r="L47" i="66"/>
  <c r="P47" i="66"/>
  <c r="T47" i="66"/>
  <c r="X47" i="66"/>
  <c r="AB47" i="66"/>
  <c r="AF47" i="66"/>
  <c r="F47" i="66"/>
  <c r="J47" i="66"/>
  <c r="N47" i="66"/>
  <c r="R47" i="66"/>
  <c r="V47" i="66"/>
  <c r="Z47" i="66"/>
  <c r="AD47" i="66"/>
  <c r="AB17" i="65"/>
  <c r="C16" i="65"/>
  <c r="G16" i="65"/>
  <c r="AD17" i="65"/>
  <c r="D16" i="65"/>
  <c r="H16" i="65"/>
  <c r="L16" i="65"/>
  <c r="P16" i="65"/>
  <c r="T16" i="65"/>
  <c r="X16" i="65"/>
  <c r="AB16" i="65"/>
  <c r="G17" i="65"/>
  <c r="K17" i="65"/>
  <c r="O17" i="65"/>
  <c r="S17" i="65"/>
  <c r="W17" i="65"/>
  <c r="AA17" i="65"/>
  <c r="AE17" i="65"/>
  <c r="F16" i="65"/>
  <c r="J16" i="65"/>
  <c r="K16" i="65"/>
  <c r="O16" i="65"/>
  <c r="S16" i="65"/>
  <c r="W16" i="65"/>
  <c r="AA16" i="65"/>
  <c r="AE16" i="65"/>
  <c r="F17" i="65"/>
  <c r="J17" i="65"/>
  <c r="N17" i="65"/>
  <c r="R17" i="65"/>
  <c r="V17" i="65"/>
  <c r="Z17" i="65"/>
  <c r="N16" i="65"/>
  <c r="R16" i="65"/>
  <c r="V16" i="65"/>
  <c r="Z16" i="65"/>
  <c r="AD16" i="65"/>
  <c r="AE20" i="63" l="1"/>
  <c r="AD21" i="61" s="1"/>
  <c r="AD23" i="61" s="1"/>
  <c r="AD20" i="63"/>
  <c r="AC21" i="61" s="1"/>
  <c r="AC23" i="61" s="1"/>
  <c r="AC20" i="63"/>
  <c r="AB21" i="61" s="1"/>
  <c r="AB23" i="61" s="1"/>
  <c r="AB20" i="63"/>
  <c r="AA21" i="61" s="1"/>
  <c r="AA23" i="61" s="1"/>
  <c r="AA20" i="63"/>
  <c r="Z21" i="61" s="1"/>
  <c r="Z23" i="61" s="1"/>
  <c r="Z20" i="63"/>
  <c r="Y21" i="61" s="1"/>
  <c r="Y23" i="61" s="1"/>
  <c r="Y20" i="63"/>
  <c r="X21" i="61" s="1"/>
  <c r="X23" i="61" s="1"/>
  <c r="X20" i="63"/>
  <c r="W21" i="61" s="1"/>
  <c r="W23" i="61" s="1"/>
  <c r="W20" i="63"/>
  <c r="V21" i="61" s="1"/>
  <c r="V23" i="61" s="1"/>
  <c r="V20" i="63"/>
  <c r="U21" i="61" s="1"/>
  <c r="U23" i="61" s="1"/>
  <c r="U20" i="63"/>
  <c r="T21" i="61" s="1"/>
  <c r="T23" i="61" s="1"/>
  <c r="T20" i="63"/>
  <c r="S21" i="61" s="1"/>
  <c r="S23" i="61" s="1"/>
  <c r="S20" i="63"/>
  <c r="R21" i="61" s="1"/>
  <c r="R23" i="61" s="1"/>
  <c r="R20" i="63"/>
  <c r="Q21" i="61" s="1"/>
  <c r="Q23" i="61" s="1"/>
  <c r="Q20" i="63"/>
  <c r="P21" i="61" s="1"/>
  <c r="P23" i="61" s="1"/>
  <c r="P20" i="63"/>
  <c r="O21" i="61" s="1"/>
  <c r="O23" i="61" s="1"/>
  <c r="O20" i="63"/>
  <c r="N21" i="61" s="1"/>
  <c r="N23" i="61" s="1"/>
  <c r="N20" i="63"/>
  <c r="M21" i="61" s="1"/>
  <c r="M23" i="61" s="1"/>
  <c r="M20" i="63"/>
  <c r="L21" i="61" s="1"/>
  <c r="L23" i="61" s="1"/>
  <c r="L20" i="63"/>
  <c r="K21" i="61" s="1"/>
  <c r="K23" i="61" s="1"/>
  <c r="K20" i="63"/>
  <c r="J21" i="61" s="1"/>
  <c r="J23" i="61" s="1"/>
  <c r="J20" i="63"/>
  <c r="I21" i="61" s="1"/>
  <c r="I23" i="61" s="1"/>
  <c r="I20" i="63"/>
  <c r="H21" i="61" s="1"/>
  <c r="H23" i="61" s="1"/>
  <c r="H20" i="63"/>
  <c r="G21" i="61" s="1"/>
  <c r="G23" i="61" s="1"/>
  <c r="G20" i="63"/>
  <c r="F21" i="61" s="1"/>
  <c r="F23" i="61" s="1"/>
  <c r="F20" i="63"/>
  <c r="E21" i="61" s="1"/>
  <c r="E23" i="61" s="1"/>
  <c r="E20" i="63"/>
  <c r="D21" i="61" s="1"/>
  <c r="D23" i="61" s="1"/>
  <c r="D20" i="63"/>
  <c r="C21" i="61" s="1"/>
  <c r="C23" i="61" s="1"/>
  <c r="C20" i="63"/>
  <c r="B21" i="61" s="1"/>
  <c r="B23" i="61" s="1"/>
  <c r="B20" i="63"/>
  <c r="AE19" i="63"/>
  <c r="AD17" i="62" s="1"/>
  <c r="AD19" i="62" s="1"/>
  <c r="AD19" i="63"/>
  <c r="AC17" i="62" s="1"/>
  <c r="AC19" i="62" s="1"/>
  <c r="AC19" i="63"/>
  <c r="AB17" i="62" s="1"/>
  <c r="AB19" i="62" s="1"/>
  <c r="AB19" i="63"/>
  <c r="AA17" i="62" s="1"/>
  <c r="AA19" i="62" s="1"/>
  <c r="AA19" i="63"/>
  <c r="Z17" i="62" s="1"/>
  <c r="Z19" i="62" s="1"/>
  <c r="Z19" i="63"/>
  <c r="Y17" i="62" s="1"/>
  <c r="Y19" i="62" s="1"/>
  <c r="Y19" i="63"/>
  <c r="X17" i="62" s="1"/>
  <c r="X19" i="62" s="1"/>
  <c r="X19" i="63"/>
  <c r="W17" i="62" s="1"/>
  <c r="W19" i="62" s="1"/>
  <c r="W19" i="63"/>
  <c r="V17" i="62" s="1"/>
  <c r="V19" i="62" s="1"/>
  <c r="V19" i="63"/>
  <c r="U17" i="62" s="1"/>
  <c r="U19" i="62" s="1"/>
  <c r="U19" i="63"/>
  <c r="T17" i="62" s="1"/>
  <c r="T19" i="62" s="1"/>
  <c r="T19" i="63"/>
  <c r="S17" i="62" s="1"/>
  <c r="S19" i="62" s="1"/>
  <c r="S19" i="63"/>
  <c r="R17" i="62" s="1"/>
  <c r="R19" i="62" s="1"/>
  <c r="R19" i="63"/>
  <c r="Q17" i="62" s="1"/>
  <c r="Q19" i="62" s="1"/>
  <c r="Q19" i="63"/>
  <c r="P17" i="62" s="1"/>
  <c r="P19" i="62" s="1"/>
  <c r="P19" i="63"/>
  <c r="O17" i="62" s="1"/>
  <c r="O19" i="62" s="1"/>
  <c r="O19" i="63"/>
  <c r="N17" i="62" s="1"/>
  <c r="N19" i="62" s="1"/>
  <c r="N19" i="63"/>
  <c r="M17" i="62" s="1"/>
  <c r="M19" i="62" s="1"/>
  <c r="M19" i="63"/>
  <c r="L17" i="62" s="1"/>
  <c r="L19" i="62" s="1"/>
  <c r="L19" i="63"/>
  <c r="K17" i="62" s="1"/>
  <c r="K19" i="62" s="1"/>
  <c r="K19" i="63"/>
  <c r="J17" i="62" s="1"/>
  <c r="J19" i="62" s="1"/>
  <c r="J19" i="63"/>
  <c r="I17" i="62" s="1"/>
  <c r="I19" i="62" s="1"/>
  <c r="I19" i="63"/>
  <c r="H17" i="62" s="1"/>
  <c r="H19" i="62" s="1"/>
  <c r="H19" i="63"/>
  <c r="G17" i="62" s="1"/>
  <c r="G19" i="62" s="1"/>
  <c r="G19" i="63"/>
  <c r="F17" i="62" s="1"/>
  <c r="F19" i="62" s="1"/>
  <c r="F19" i="63"/>
  <c r="E17" i="62" s="1"/>
  <c r="E19" i="62" s="1"/>
  <c r="E19" i="63"/>
  <c r="D17" i="62" s="1"/>
  <c r="D19" i="62" s="1"/>
  <c r="D19" i="63"/>
  <c r="C17" i="62" s="1"/>
  <c r="C19" i="62" s="1"/>
  <c r="C19" i="63"/>
  <c r="B17" i="62" s="1"/>
  <c r="B19" i="62" s="1"/>
  <c r="B19" i="63"/>
  <c r="V6" i="60"/>
  <c r="V5" i="60"/>
  <c r="AE10" i="59"/>
  <c r="AD10" i="59"/>
  <c r="AC10" i="59"/>
  <c r="AB10" i="59"/>
  <c r="AA10" i="59"/>
  <c r="Z10" i="59"/>
  <c r="AE7" i="59"/>
  <c r="AD7" i="59"/>
  <c r="AC7" i="59"/>
  <c r="AB7" i="59"/>
  <c r="AA7" i="59"/>
  <c r="Z7" i="59"/>
  <c r="O73" i="57" l="1"/>
  <c r="P73" i="57"/>
  <c r="N73" i="57"/>
  <c r="M73" i="57"/>
  <c r="L73" i="57"/>
  <c r="K73" i="57"/>
  <c r="J73" i="57"/>
  <c r="I73" i="57"/>
  <c r="H73" i="57"/>
  <c r="G73" i="57"/>
  <c r="F73" i="57"/>
  <c r="E73" i="57"/>
  <c r="C73" i="57"/>
  <c r="B73" i="57"/>
  <c r="R10" i="57"/>
  <c r="R11" i="57"/>
  <c r="R12" i="57"/>
  <c r="R13" i="57"/>
  <c r="R14" i="57"/>
  <c r="R15" i="57"/>
  <c r="R16" i="57"/>
  <c r="R17" i="57"/>
  <c r="R19" i="57"/>
  <c r="R20" i="57"/>
  <c r="R21" i="57"/>
  <c r="R22" i="57"/>
  <c r="R23" i="57"/>
  <c r="R24" i="57"/>
  <c r="R27" i="57"/>
  <c r="R28" i="57"/>
  <c r="R29" i="57"/>
  <c r="R30" i="57"/>
  <c r="R31" i="57"/>
  <c r="R32" i="57"/>
  <c r="R33" i="57"/>
  <c r="R34" i="57"/>
  <c r="R35" i="57"/>
  <c r="R36" i="57"/>
  <c r="R38" i="57"/>
  <c r="R40" i="57"/>
  <c r="R41" i="57"/>
  <c r="R43" i="57"/>
  <c r="R45" i="57"/>
  <c r="R46" i="57"/>
  <c r="R47" i="57"/>
  <c r="R49" i="57"/>
  <c r="R50" i="57"/>
  <c r="R51" i="57"/>
  <c r="R54" i="57"/>
  <c r="R55" i="57"/>
  <c r="R56" i="57"/>
  <c r="R57" i="57"/>
  <c r="R58" i="57"/>
  <c r="R59" i="57"/>
  <c r="R61" i="57"/>
  <c r="R62" i="57"/>
  <c r="R64" i="57"/>
  <c r="R65" i="57"/>
  <c r="R66" i="57"/>
  <c r="R67" i="57"/>
  <c r="R68" i="57"/>
  <c r="R69" i="57"/>
  <c r="R71" i="57"/>
  <c r="R8" i="57"/>
  <c r="R9" i="57"/>
  <c r="R6" i="57"/>
  <c r="R7" i="57"/>
  <c r="R5" i="57"/>
  <c r="Q6" i="57"/>
  <c r="Q7" i="57"/>
  <c r="Q8" i="57"/>
  <c r="Q9" i="57"/>
  <c r="Q10" i="57"/>
  <c r="Q11" i="57"/>
  <c r="Q12" i="57"/>
  <c r="Q13" i="57"/>
  <c r="Q14" i="57"/>
  <c r="Q15" i="57"/>
  <c r="Q16" i="57"/>
  <c r="Q17" i="57"/>
  <c r="Q19" i="57"/>
  <c r="Q20" i="57"/>
  <c r="Q21" i="57"/>
  <c r="Q22" i="57"/>
  <c r="Q23" i="57"/>
  <c r="Q24" i="57"/>
  <c r="Q27" i="57"/>
  <c r="Q28" i="57"/>
  <c r="Q29" i="57"/>
  <c r="Q30" i="57"/>
  <c r="Q31" i="57"/>
  <c r="Q32" i="57"/>
  <c r="Q33" i="57"/>
  <c r="Q34" i="57"/>
  <c r="Q35" i="57"/>
  <c r="Q36" i="57"/>
  <c r="Q38" i="57"/>
  <c r="Q40" i="57"/>
  <c r="Q41" i="57"/>
  <c r="Q43" i="57"/>
  <c r="Q45" i="57"/>
  <c r="Q46" i="57"/>
  <c r="Q47" i="57"/>
  <c r="Q49" i="57"/>
  <c r="Q50" i="57"/>
  <c r="Q51" i="57"/>
  <c r="Q54" i="57"/>
  <c r="Q55" i="57"/>
  <c r="Q56" i="57"/>
  <c r="Q57" i="57"/>
  <c r="Q58" i="57"/>
  <c r="Q59" i="57"/>
  <c r="Q61" i="57"/>
  <c r="Q62" i="57"/>
  <c r="Q64" i="57"/>
  <c r="Q65" i="57"/>
  <c r="Q66" i="57"/>
  <c r="Q67" i="57"/>
  <c r="Q68" i="57"/>
  <c r="Q69" i="57"/>
  <c r="Q71" i="57"/>
  <c r="Q5" i="57"/>
  <c r="P70" i="57"/>
  <c r="O70" i="57"/>
  <c r="N70" i="57"/>
  <c r="M70" i="57"/>
  <c r="L70" i="57"/>
  <c r="K70" i="57"/>
  <c r="J70" i="57"/>
  <c r="I70" i="57"/>
  <c r="H70" i="57"/>
  <c r="G70" i="57"/>
  <c r="F70" i="57"/>
  <c r="E70" i="57"/>
  <c r="D70" i="57"/>
  <c r="C70" i="57"/>
  <c r="B70" i="57"/>
  <c r="Q53" i="57" l="1"/>
  <c r="R53" i="57"/>
  <c r="R73" i="57"/>
  <c r="B72" i="57"/>
  <c r="B74" i="57" s="1"/>
  <c r="F72" i="57"/>
  <c r="F74" i="57" s="1"/>
  <c r="D72" i="57"/>
  <c r="N72" i="57"/>
  <c r="N74" i="57" s="1"/>
  <c r="K72" i="57"/>
  <c r="K74" i="57" s="1"/>
  <c r="Q70" i="57"/>
  <c r="S11" i="57"/>
  <c r="S19" i="57"/>
  <c r="O72" i="57"/>
  <c r="O74" i="57" s="1"/>
  <c r="J72" i="57"/>
  <c r="J74" i="57" s="1"/>
  <c r="Q37" i="57"/>
  <c r="R25" i="57"/>
  <c r="R44" i="57"/>
  <c r="R70" i="57"/>
  <c r="L72" i="57"/>
  <c r="L74" i="57" s="1"/>
  <c r="P72" i="57"/>
  <c r="P74" i="57" s="1"/>
  <c r="S68" i="57"/>
  <c r="S65" i="57"/>
  <c r="S43" i="57"/>
  <c r="S41" i="57"/>
  <c r="S71" i="57"/>
  <c r="S55" i="57"/>
  <c r="E72" i="57"/>
  <c r="E74" i="57" s="1"/>
  <c r="R37" i="57"/>
  <c r="G72" i="57"/>
  <c r="G74" i="57" s="1"/>
  <c r="Q44" i="57"/>
  <c r="I72" i="57"/>
  <c r="I74" i="57" s="1"/>
  <c r="M72" i="57"/>
  <c r="M74" i="57" s="1"/>
  <c r="S51" i="57"/>
  <c r="H72" i="57"/>
  <c r="H74" i="57" s="1"/>
  <c r="C72" i="57"/>
  <c r="C74" i="57" s="1"/>
  <c r="Q25" i="57"/>
  <c r="S7" i="57"/>
  <c r="S40" i="57"/>
  <c r="Q73" i="57"/>
  <c r="D73" i="57"/>
  <c r="S69" i="57"/>
  <c r="S56" i="57"/>
  <c r="S64" i="57"/>
  <c r="S12" i="57"/>
  <c r="S14" i="57"/>
  <c r="S16" i="57"/>
  <c r="S22" i="57"/>
  <c r="S30" i="57"/>
  <c r="S32" i="57"/>
  <c r="S34" i="57"/>
  <c r="S36" i="57"/>
  <c r="S45" i="57"/>
  <c r="S46" i="57"/>
  <c r="S49" i="57"/>
  <c r="S58" i="57"/>
  <c r="S57" i="57"/>
  <c r="S59" i="57"/>
  <c r="S62" i="57"/>
  <c r="S13" i="57"/>
  <c r="S47" i="57"/>
  <c r="S67" i="57"/>
  <c r="S54" i="57"/>
  <c r="S61" i="57"/>
  <c r="S66" i="57"/>
  <c r="S6" i="57"/>
  <c r="S50" i="57"/>
  <c r="S29" i="57"/>
  <c r="S33" i="57"/>
  <c r="S38" i="57"/>
  <c r="S27" i="57"/>
  <c r="S10" i="57"/>
  <c r="S17" i="57"/>
  <c r="S23" i="57"/>
  <c r="S28" i="57"/>
  <c r="S35" i="57"/>
  <c r="S9" i="57"/>
  <c r="S20" i="57"/>
  <c r="S21" i="57"/>
  <c r="S8" i="57"/>
  <c r="S15" i="57"/>
  <c r="S24" i="57"/>
  <c r="S31" i="57"/>
  <c r="S5" i="57"/>
  <c r="S53" i="57" l="1"/>
  <c r="S44" i="57"/>
  <c r="S73" i="57"/>
  <c r="S37" i="57"/>
  <c r="D74" i="57"/>
  <c r="R72" i="57"/>
  <c r="Q72" i="57"/>
  <c r="R74" i="57"/>
  <c r="Q74" i="57"/>
  <c r="S70" i="57"/>
  <c r="S25" i="57"/>
  <c r="S72" i="57" l="1"/>
  <c r="S74" i="57" s="1"/>
  <c r="G31" i="56"/>
  <c r="F31" i="56"/>
  <c r="E31" i="56"/>
  <c r="D31" i="56"/>
  <c r="C31" i="56"/>
  <c r="B31" i="56"/>
  <c r="H30" i="56"/>
  <c r="H29" i="56"/>
  <c r="H28" i="56"/>
  <c r="H27" i="56"/>
  <c r="H26" i="56"/>
  <c r="H25" i="56"/>
  <c r="H24" i="56"/>
  <c r="H23" i="56"/>
  <c r="H22" i="56"/>
  <c r="H21" i="56"/>
  <c r="H20" i="56"/>
  <c r="H19" i="56"/>
  <c r="H18" i="56"/>
  <c r="H17" i="56"/>
  <c r="H16" i="56"/>
  <c r="H15" i="56"/>
  <c r="H14" i="56"/>
  <c r="H13" i="56"/>
  <c r="H12" i="56"/>
  <c r="H11" i="56"/>
  <c r="H10" i="56"/>
  <c r="H9" i="56"/>
  <c r="J34" i="53"/>
  <c r="C23" i="53"/>
  <c r="H31" i="56" l="1"/>
  <c r="AB42" i="52"/>
  <c r="AC42" i="52"/>
  <c r="AD42" i="52"/>
  <c r="AE42" i="52"/>
  <c r="AA42" i="52"/>
  <c r="AB38" i="52"/>
  <c r="AC38" i="52"/>
  <c r="AD38" i="52"/>
  <c r="AA38" i="52"/>
  <c r="AB34" i="52"/>
  <c r="AC34" i="52"/>
  <c r="AD34" i="52"/>
  <c r="AA34" i="52"/>
  <c r="AB28" i="52"/>
  <c r="AC28" i="52"/>
  <c r="AD28" i="52"/>
  <c r="AA28" i="52"/>
  <c r="AB22" i="52"/>
  <c r="AC22" i="52"/>
  <c r="AD22" i="52"/>
  <c r="AE22" i="52"/>
  <c r="AA22" i="52"/>
  <c r="AB12" i="52"/>
  <c r="AC12" i="52"/>
  <c r="AD12" i="52"/>
  <c r="AE12" i="52"/>
  <c r="AA12" i="52"/>
  <c r="AB18" i="52"/>
  <c r="AC18" i="52"/>
  <c r="AD18" i="52"/>
  <c r="AA18" i="52"/>
  <c r="Z16" i="52"/>
  <c r="AA16" i="52"/>
  <c r="AB16" i="52"/>
  <c r="AC16" i="52"/>
  <c r="AD16" i="52"/>
  <c r="Y16" i="52"/>
  <c r="AE10" i="52"/>
  <c r="Z10" i="52"/>
  <c r="AA10" i="52"/>
  <c r="AB10" i="52"/>
  <c r="AC10" i="52"/>
  <c r="AD10" i="52"/>
  <c r="Y10" i="52"/>
  <c r="Z8" i="52"/>
  <c r="AA8" i="52"/>
  <c r="AB8" i="52"/>
  <c r="AC8" i="52"/>
  <c r="AD8" i="52"/>
  <c r="AE8" i="52"/>
  <c r="Y8" i="52"/>
  <c r="AE32" i="52"/>
  <c r="AE30" i="52"/>
  <c r="AE36" i="52"/>
  <c r="AE40" i="52"/>
  <c r="AA40" i="52"/>
  <c r="AB40" i="52"/>
  <c r="AC40" i="52"/>
  <c r="AD40" i="52"/>
  <c r="Z40" i="52"/>
  <c r="Y40" i="52"/>
  <c r="AA36" i="52"/>
  <c r="AB36" i="52"/>
  <c r="AC36" i="52"/>
  <c r="AD36" i="52"/>
  <c r="Z36" i="52"/>
  <c r="Y36" i="52"/>
  <c r="AA32" i="52"/>
  <c r="AB32" i="52"/>
  <c r="AC32" i="52"/>
  <c r="AD32" i="52"/>
  <c r="Z32" i="52"/>
  <c r="Y32" i="52"/>
  <c r="AA30" i="52"/>
  <c r="AB30" i="52"/>
  <c r="AC30" i="52"/>
  <c r="AD30" i="52"/>
  <c r="Z30" i="52"/>
  <c r="Y30" i="52"/>
  <c r="AA26" i="52"/>
  <c r="AB26" i="52"/>
  <c r="AC26" i="52"/>
  <c r="AD26" i="52"/>
  <c r="Z26" i="52"/>
  <c r="Y26" i="52"/>
  <c r="Z24" i="52"/>
  <c r="AA24" i="52"/>
  <c r="AB24" i="52"/>
  <c r="AC24" i="52"/>
  <c r="AD24" i="52"/>
  <c r="Y24" i="52"/>
  <c r="Z20" i="52"/>
  <c r="AA20" i="52"/>
  <c r="AB20" i="52"/>
  <c r="AC20" i="52"/>
  <c r="AD20" i="52"/>
  <c r="Y20" i="52"/>
  <c r="Z14" i="52"/>
  <c r="AA14" i="52"/>
  <c r="AB14" i="52"/>
  <c r="AC14" i="52"/>
  <c r="AD14" i="52"/>
  <c r="Y14" i="52"/>
  <c r="X46" i="52"/>
  <c r="W46" i="52"/>
  <c r="V46" i="52"/>
  <c r="U46" i="52"/>
  <c r="T46" i="52"/>
  <c r="S46" i="52"/>
  <c r="R46" i="52"/>
  <c r="Q46" i="52"/>
  <c r="P46" i="52"/>
  <c r="O46" i="52"/>
  <c r="N46" i="52"/>
  <c r="M46" i="52"/>
  <c r="L46" i="52"/>
  <c r="K46" i="52"/>
  <c r="J46" i="52"/>
  <c r="I46" i="52"/>
  <c r="H46" i="52"/>
  <c r="G46" i="52"/>
  <c r="F46" i="52"/>
  <c r="E46" i="52"/>
  <c r="D46" i="52"/>
  <c r="C46" i="52"/>
  <c r="B46" i="52"/>
  <c r="X44" i="52"/>
  <c r="W44" i="52"/>
  <c r="V44" i="52"/>
  <c r="U44" i="52"/>
  <c r="T44" i="52"/>
  <c r="S44" i="52"/>
  <c r="R44" i="52"/>
  <c r="Q44" i="52"/>
  <c r="P44" i="52"/>
  <c r="O44" i="52"/>
  <c r="N44" i="52"/>
  <c r="M44" i="52"/>
  <c r="L44" i="52"/>
  <c r="K44" i="52"/>
  <c r="J44" i="52"/>
  <c r="I44" i="52"/>
  <c r="H44" i="52"/>
  <c r="G44" i="52"/>
  <c r="F44" i="52"/>
  <c r="E44" i="52"/>
  <c r="D44" i="52"/>
  <c r="C44" i="52"/>
  <c r="B44" i="52"/>
  <c r="AE43" i="52"/>
  <c r="AD43" i="52"/>
  <c r="AC43" i="52"/>
  <c r="AB43" i="52"/>
  <c r="AA43" i="52"/>
  <c r="Z43" i="52"/>
  <c r="Y43" i="52"/>
  <c r="X43" i="52"/>
  <c r="W43" i="52"/>
  <c r="W45" i="52" s="1"/>
  <c r="V43" i="52"/>
  <c r="V45" i="52" s="1"/>
  <c r="U43" i="52"/>
  <c r="U45" i="52" s="1"/>
  <c r="T43" i="52"/>
  <c r="T45" i="52" s="1"/>
  <c r="S43" i="52"/>
  <c r="S45" i="52" s="1"/>
  <c r="R43" i="52"/>
  <c r="Q43" i="52"/>
  <c r="P43" i="52"/>
  <c r="O43" i="52"/>
  <c r="O45" i="52" s="1"/>
  <c r="N43" i="52"/>
  <c r="N45" i="52" s="1"/>
  <c r="M43" i="52"/>
  <c r="M45" i="52" s="1"/>
  <c r="L43" i="52"/>
  <c r="L45" i="52" s="1"/>
  <c r="K43" i="52"/>
  <c r="K45" i="52" s="1"/>
  <c r="J43" i="52"/>
  <c r="I43" i="52"/>
  <c r="H43" i="52"/>
  <c r="G43" i="52"/>
  <c r="G45" i="52" s="1"/>
  <c r="F43" i="52"/>
  <c r="F45" i="52" s="1"/>
  <c r="E43" i="52"/>
  <c r="E45" i="52" s="1"/>
  <c r="D43" i="52"/>
  <c r="D45" i="52" s="1"/>
  <c r="C43" i="52"/>
  <c r="C45" i="52" s="1"/>
  <c r="B43" i="52"/>
  <c r="Z46" i="52" l="1"/>
  <c r="H45" i="52"/>
  <c r="B45" i="52"/>
  <c r="J45" i="52"/>
  <c r="R45" i="52"/>
  <c r="P45" i="52"/>
  <c r="X45" i="52"/>
  <c r="I45" i="52"/>
  <c r="Q45" i="52"/>
  <c r="AA46" i="52"/>
  <c r="AE46" i="52"/>
  <c r="AC44" i="52"/>
  <c r="AC45" i="52" s="1"/>
  <c r="AD46" i="52"/>
  <c r="AB46" i="52"/>
  <c r="Y46" i="52"/>
  <c r="AC46" i="52"/>
  <c r="Z44" i="52"/>
  <c r="Z45" i="52" s="1"/>
  <c r="AD44" i="52"/>
  <c r="AD45" i="52" s="1"/>
  <c r="AB44" i="52"/>
  <c r="AB45" i="52" s="1"/>
  <c r="Y44" i="52"/>
  <c r="Y45" i="52" s="1"/>
  <c r="AA44" i="52"/>
  <c r="AA45" i="52" s="1"/>
  <c r="AE44" i="52"/>
  <c r="AE45" i="52" s="1"/>
  <c r="AE64" i="51"/>
  <c r="AD64" i="51"/>
  <c r="AC64" i="51"/>
  <c r="AB64" i="51"/>
  <c r="AA64" i="51"/>
  <c r="Z64" i="51"/>
  <c r="Y64" i="51"/>
  <c r="X64" i="51"/>
  <c r="W64" i="51"/>
  <c r="T64" i="51"/>
  <c r="AE63" i="51"/>
  <c r="AD63" i="51"/>
  <c r="AC63" i="51"/>
  <c r="AB63" i="51"/>
  <c r="AA63" i="51"/>
  <c r="Z63" i="51"/>
  <c r="Y63" i="51"/>
  <c r="X63" i="51"/>
  <c r="W63" i="51"/>
  <c r="V63" i="51"/>
  <c r="T63" i="51"/>
  <c r="AE62" i="51"/>
  <c r="AD62" i="51"/>
  <c r="AC62" i="51"/>
  <c r="AB62" i="51"/>
  <c r="AA62" i="51"/>
  <c r="Z62" i="51"/>
  <c r="Y62" i="51"/>
  <c r="X62" i="51"/>
  <c r="W62" i="51"/>
  <c r="V62" i="51"/>
  <c r="T62" i="51"/>
  <c r="U60" i="51"/>
  <c r="U59" i="51"/>
  <c r="U24" i="51"/>
  <c r="U63" i="51" s="1"/>
  <c r="U23" i="51"/>
  <c r="U25" i="51" s="1"/>
  <c r="V16" i="51"/>
  <c r="V64" i="51" s="1"/>
  <c r="U61" i="51" l="1"/>
  <c r="U64" i="51" s="1"/>
  <c r="U62" i="51"/>
  <c r="AA17" i="47" l="1"/>
  <c r="K17" i="47"/>
  <c r="J17" i="47"/>
  <c r="H17" i="47"/>
  <c r="G17" i="47"/>
  <c r="D17" i="47"/>
  <c r="C17" i="47"/>
  <c r="B17" i="47"/>
  <c r="I16" i="47"/>
  <c r="I17" i="47" s="1"/>
  <c r="F16" i="47"/>
  <c r="F17" i="47" s="1"/>
  <c r="E16" i="47"/>
  <c r="E17" i="47" s="1"/>
  <c r="X11" i="47"/>
  <c r="T11" i="47"/>
  <c r="S11" i="47"/>
  <c r="R11" i="47"/>
  <c r="Q11" i="47"/>
  <c r="P11" i="47"/>
  <c r="O11" i="47"/>
  <c r="N11" i="47"/>
  <c r="M11" i="47"/>
  <c r="M17" i="47" s="1"/>
  <c r="L11" i="47"/>
  <c r="L17" i="47" s="1"/>
  <c r="Z8" i="47"/>
  <c r="Z17" i="47" s="1"/>
  <c r="Y8" i="47"/>
  <c r="Y17" i="47" s="1"/>
  <c r="X8" i="47"/>
  <c r="W8" i="47"/>
  <c r="W17" i="47" s="1"/>
  <c r="V8" i="47"/>
  <c r="V17" i="47" s="1"/>
  <c r="T8" i="47"/>
  <c r="S8" i="47"/>
  <c r="R8" i="47"/>
  <c r="Q8" i="47"/>
  <c r="P8" i="47"/>
  <c r="P17" i="47" s="1"/>
  <c r="O8" i="47"/>
  <c r="O17" i="47" s="1"/>
  <c r="N8" i="47"/>
  <c r="N17" i="47" s="1"/>
  <c r="S17" i="47" l="1"/>
  <c r="T17" i="47"/>
  <c r="X17" i="47"/>
  <c r="R17" i="47"/>
  <c r="Q17" i="47"/>
  <c r="E17" i="23"/>
  <c r="AA19" i="23"/>
  <c r="K19" i="23"/>
  <c r="J19" i="23"/>
  <c r="I19" i="23"/>
  <c r="H19" i="23"/>
  <c r="G19" i="23"/>
  <c r="F19" i="23"/>
  <c r="E19" i="23"/>
  <c r="D19" i="23"/>
  <c r="C19" i="23"/>
  <c r="B19" i="23"/>
  <c r="AA17" i="23"/>
  <c r="K17" i="23"/>
  <c r="J17" i="23"/>
  <c r="I17" i="23"/>
  <c r="H17" i="23"/>
  <c r="G17" i="23"/>
  <c r="F17" i="23"/>
  <c r="D17" i="23"/>
  <c r="C17" i="23"/>
  <c r="B17" i="23"/>
  <c r="Z16" i="23"/>
  <c r="Y16" i="23"/>
  <c r="X16" i="23"/>
  <c r="W16" i="23"/>
  <c r="T16" i="23"/>
  <c r="S16" i="23"/>
  <c r="R16" i="23"/>
  <c r="Q16" i="23"/>
  <c r="P16" i="23"/>
  <c r="O16" i="23"/>
  <c r="N16" i="23"/>
  <c r="M16" i="23"/>
  <c r="L16" i="23"/>
  <c r="T11" i="23"/>
  <c r="S11" i="23"/>
  <c r="R11" i="23"/>
  <c r="Q11" i="23"/>
  <c r="P11" i="23"/>
  <c r="O11" i="23"/>
  <c r="O17" i="23" s="1"/>
  <c r="N11" i="23"/>
  <c r="M11" i="23"/>
  <c r="M19" i="23" s="1"/>
  <c r="L11" i="23"/>
  <c r="L17" i="23" s="1"/>
  <c r="Z8" i="23"/>
  <c r="Z19" i="23" s="1"/>
  <c r="Y8" i="23"/>
  <c r="Y19" i="23" s="1"/>
  <c r="X8" i="23"/>
  <c r="X17" i="23" s="1"/>
  <c r="W8" i="23"/>
  <c r="W19" i="23" s="1"/>
  <c r="V8" i="23"/>
  <c r="V19" i="23" s="1"/>
  <c r="U8" i="23"/>
  <c r="T8" i="23"/>
  <c r="T19" i="23" s="1"/>
  <c r="S8" i="23"/>
  <c r="S17" i="23" s="1"/>
  <c r="R8" i="23"/>
  <c r="R19" i="23" s="1"/>
  <c r="Q8" i="23"/>
  <c r="Q19" i="23" s="1"/>
  <c r="P8" i="23"/>
  <c r="P19" i="23" s="1"/>
  <c r="N8" i="23"/>
  <c r="T17" i="23" l="1"/>
  <c r="O19" i="23"/>
  <c r="N19" i="23"/>
  <c r="P17" i="23"/>
  <c r="X19" i="23"/>
  <c r="Y17" i="23"/>
  <c r="M17" i="23"/>
  <c r="Q17" i="23"/>
  <c r="V17" i="23"/>
  <c r="Z17" i="23"/>
  <c r="L19" i="23"/>
  <c r="S19" i="23"/>
  <c r="N17" i="23"/>
  <c r="R17" i="23"/>
  <c r="W17" i="23"/>
</calcChain>
</file>

<file path=xl/sharedStrings.xml><?xml version="1.0" encoding="utf-8"?>
<sst xmlns="http://schemas.openxmlformats.org/spreadsheetml/2006/main" count="4243" uniqueCount="874">
  <si>
    <t xml:space="preserve">Table of contents </t>
  </si>
  <si>
    <t>Worksheet number</t>
  </si>
  <si>
    <t>Worksheet title</t>
  </si>
  <si>
    <t xml:space="preserve">Date this data was first published </t>
  </si>
  <si>
    <t>Next publication date</t>
  </si>
  <si>
    <t xml:space="preserve">Freeze panes are active on this sheet. To turn off freeze panes select the 'View' ribbon then 'Freeze Panes' then 'Unfreeze Panes' or use [Alt W, F] </t>
  </si>
  <si>
    <t>Year</t>
  </si>
  <si>
    <t xml:space="preserve">Notes </t>
  </si>
  <si>
    <t xml:space="preserve">This worksheet contains one table. </t>
  </si>
  <si>
    <t xml:space="preserve">Note number </t>
  </si>
  <si>
    <t xml:space="preserve">Note text </t>
  </si>
  <si>
    <t>note 1</t>
  </si>
  <si>
    <t>note 2</t>
  </si>
  <si>
    <t>note 3</t>
  </si>
  <si>
    <t>note 4</t>
  </si>
  <si>
    <t>note 5</t>
  </si>
  <si>
    <t>note 8</t>
  </si>
  <si>
    <t>2000</t>
  </si>
  <si>
    <t>2001</t>
  </si>
  <si>
    <t>2003</t>
  </si>
  <si>
    <t>2004</t>
  </si>
  <si>
    <t>2005</t>
  </si>
  <si>
    <t>2006</t>
  </si>
  <si>
    <t>2007</t>
  </si>
  <si>
    <t>2008</t>
  </si>
  <si>
    <t>2009</t>
  </si>
  <si>
    <t>2010</t>
  </si>
  <si>
    <t>2011</t>
  </si>
  <si>
    <t>2012</t>
  </si>
  <si>
    <t>2013</t>
  </si>
  <si>
    <t>2014</t>
  </si>
  <si>
    <t>2015</t>
  </si>
  <si>
    <t>2016</t>
  </si>
  <si>
    <t>2017</t>
  </si>
  <si>
    <t>2018</t>
  </si>
  <si>
    <t>2019</t>
  </si>
  <si>
    <t>2020</t>
  </si>
  <si>
    <t>-</t>
  </si>
  <si>
    <t>note 6</t>
  </si>
  <si>
    <t>note 7</t>
  </si>
  <si>
    <t>1996</t>
  </si>
  <si>
    <t>1997</t>
  </si>
  <si>
    <t>1998</t>
  </si>
  <si>
    <t>1999</t>
  </si>
  <si>
    <t>2002</t>
  </si>
  <si>
    <t>note 9</t>
  </si>
  <si>
    <t>..</t>
  </si>
  <si>
    <t>note 10</t>
  </si>
  <si>
    <t>note 11</t>
  </si>
  <si>
    <t>note 12</t>
  </si>
  <si>
    <t>note 13</t>
  </si>
  <si>
    <t>note 14</t>
  </si>
  <si>
    <t>note 15</t>
  </si>
  <si>
    <t>note 16</t>
  </si>
  <si>
    <t>1993</t>
  </si>
  <si>
    <t>1994</t>
  </si>
  <si>
    <t>1995</t>
  </si>
  <si>
    <t>note 17</t>
  </si>
  <si>
    <t>note 18</t>
  </si>
  <si>
    <t>note 19</t>
  </si>
  <si>
    <t>note 20</t>
  </si>
  <si>
    <t>note 21</t>
  </si>
  <si>
    <t>1991</t>
  </si>
  <si>
    <t>1992</t>
  </si>
  <si>
    <t>note 22</t>
  </si>
  <si>
    <t>note 23</t>
  </si>
  <si>
    <t>note 24</t>
  </si>
  <si>
    <t>note 25</t>
  </si>
  <si>
    <t>1990</t>
  </si>
  <si>
    <t>Source: Department for Transport, Maritime Statistics</t>
  </si>
  <si>
    <t>Inland waterway traffic - Internal</t>
  </si>
  <si>
    <t>Inland waterway traffic - Coastwise</t>
  </si>
  <si>
    <t>Inland waterway traffic - One Port</t>
  </si>
  <si>
    <t>Inland waterway traffic - Foreign</t>
  </si>
  <si>
    <t>Inland waterway traffic - Total</t>
  </si>
  <si>
    <t>Coastwise traffic - Liquid bulks [note1]</t>
  </si>
  <si>
    <t>Coastwise traffic - Coal [note1]</t>
  </si>
  <si>
    <t>Coastwise traffic - Other [note1]</t>
  </si>
  <si>
    <t>Coastwise traffic - Total [note1]</t>
  </si>
  <si>
    <t>One Port traffic - To rigs [note2]</t>
  </si>
  <si>
    <t>One Port traffic - Sea dumped [note2]</t>
  </si>
  <si>
    <t>One Port traffic - Total [note2]</t>
  </si>
  <si>
    <t>All above traffic [note3]</t>
  </si>
  <si>
    <t>Port exports [note4]</t>
  </si>
  <si>
    <t>Covers all coastwise cargo lifted in Scotland, regardless of its destination.</t>
  </si>
  <si>
    <t>Covers cargoes lifted in Scotland for offshore installations and for dumping at sea.</t>
  </si>
  <si>
    <t>Total of Coastwise traffic, One Port traffic and the Internal and Foreign components of Inland Waterway traffic. Excludes Coastwise and One Port components of Inland Waterway traffic to avoid double counting.</t>
  </si>
  <si>
    <t>Coastwise traffic, One Port traffic, the Internal component of Inland Waterway traffic, and Port exports. Excludes Coastwise and One Port components of Inland Waterway traffic to avoid double counting.</t>
  </si>
  <si>
    <t>This is the total of Coastwise traffic, One Port traffic and Inland Waterway traffic. No double counting exists as the Coastwise component of Inland Waterway traffic relates to the distance travelled on inland waterways, and Coastwise traffic relates to the distance travelled at sea.</t>
  </si>
  <si>
    <t>Figures for tonne-kilometres are not available for exports (and, in any case, would not be relevant to Scottish transport statistics).</t>
  </si>
  <si>
    <t>All freight lifted [note5] [note6]</t>
  </si>
  <si>
    <t>All above traffic [note7]</t>
  </si>
  <si>
    <t>Port exports [note8]</t>
  </si>
  <si>
    <t>All freight lifted [note8]</t>
  </si>
  <si>
    <t>Coastwise traffic - Liquid bulks [note9]</t>
  </si>
  <si>
    <t>Coastwise traffic - Coal [note9]</t>
  </si>
  <si>
    <t>Coastwise traffic - Other [note9]</t>
  </si>
  <si>
    <t>Coastwise traffic - Total [note9]</t>
  </si>
  <si>
    <t>One Port traffic - To rigs [note10]</t>
  </si>
  <si>
    <t>One Port traffic - Sea dredged [note10]</t>
  </si>
  <si>
    <t>One Port traffic - Total [note10]</t>
  </si>
  <si>
    <t>Inland waterway traffic [note11]</t>
  </si>
  <si>
    <t>Covers all coastwise cargo discharged in Scotland, whether it was loaded in Scotland or elsewhere in the UK.</t>
  </si>
  <si>
    <t>One port traffic covers cargoes from offshore installations and sea dredged aggregates unloaded in Scotland; figures from 2012 subject to revision.</t>
  </si>
  <si>
    <t xml:space="preserve">Information about Inland Waterway traffic discharged in Scotland is not available from the statistics compiled by DfT. </t>
  </si>
  <si>
    <t>DfT have now discontinued the  publication of a number of tables in their publication. We are therefore no longer able to update most of this table.</t>
  </si>
  <si>
    <t>Port imports [note4] [note6]</t>
  </si>
  <si>
    <t>Port imports [note4] [note6] [note12]</t>
  </si>
  <si>
    <t>Major ports only. There were seven major ports in 1996; eight in 1997 and 1998; nine in 1999;and 11 from 2000 onwards.</t>
  </si>
  <si>
    <t>Figures for tonne-kilometres are not available for imports (and, in any case, would not be relevant to Scottish transport statistics).</t>
  </si>
  <si>
    <t>Total - all ports</t>
  </si>
  <si>
    <t>Total - major ports only [note4]</t>
  </si>
  <si>
    <t>Foreign - Exports</t>
  </si>
  <si>
    <t>Foreign - Total</t>
  </si>
  <si>
    <t>Domestic - Inwards</t>
  </si>
  <si>
    <t>Domestic - Outwards</t>
  </si>
  <si>
    <t>Domestic - Total</t>
  </si>
  <si>
    <t>Foreign - Imports</t>
  </si>
  <si>
    <t xml:space="preserve">Inverness - Inwards </t>
  </si>
  <si>
    <t xml:space="preserve">Inverness - Total traffic </t>
  </si>
  <si>
    <t xml:space="preserve">Inverness - Outwards </t>
  </si>
  <si>
    <t xml:space="preserve">Peterhead - Inwards </t>
  </si>
  <si>
    <t xml:space="preserve">Peterhead - Outwards </t>
  </si>
  <si>
    <t xml:space="preserve">Peterhead - Total traffic </t>
  </si>
  <si>
    <t xml:space="preserve">Aberdeen - Inwards </t>
  </si>
  <si>
    <t xml:space="preserve">Aberdeen - Outwards </t>
  </si>
  <si>
    <t xml:space="preserve">Aberdeen - Total traffic </t>
  </si>
  <si>
    <t xml:space="preserve">Montrose - Inwards </t>
  </si>
  <si>
    <t xml:space="preserve">Montrose - Outwards </t>
  </si>
  <si>
    <t xml:space="preserve">Montrose - Total traffic </t>
  </si>
  <si>
    <t xml:space="preserve">Dundee - Inwards </t>
  </si>
  <si>
    <t xml:space="preserve">Dundee - Outwards </t>
  </si>
  <si>
    <t xml:space="preserve">Dundee - Total traffic </t>
  </si>
  <si>
    <t xml:space="preserve">Perth - Inwards </t>
  </si>
  <si>
    <t xml:space="preserve">Perth - Outwards </t>
  </si>
  <si>
    <t xml:space="preserve">Perth - Total traffic </t>
  </si>
  <si>
    <t xml:space="preserve">Cairnryan - Inwards </t>
  </si>
  <si>
    <t xml:space="preserve">Cairnryan - Outwards </t>
  </si>
  <si>
    <t xml:space="preserve">Cairnryan - Total traffic </t>
  </si>
  <si>
    <t xml:space="preserve">Ayr - Inwards </t>
  </si>
  <si>
    <t xml:space="preserve">Ayr - Outwards </t>
  </si>
  <si>
    <t xml:space="preserve">Ayr - Total traffic </t>
  </si>
  <si>
    <t xml:space="preserve">Clyde - Inwards </t>
  </si>
  <si>
    <t xml:space="preserve">Clyde - Outwards </t>
  </si>
  <si>
    <t xml:space="preserve">Clyde - Total traffic </t>
  </si>
  <si>
    <t xml:space="preserve">Glensanda - Inwards </t>
  </si>
  <si>
    <t xml:space="preserve">Glensanda - Outwards </t>
  </si>
  <si>
    <t xml:space="preserve">Glensanda - Total traffic </t>
  </si>
  <si>
    <t xml:space="preserve">Orkneys - Inwards </t>
  </si>
  <si>
    <t xml:space="preserve">Orkneys - Outwards </t>
  </si>
  <si>
    <t xml:space="preserve">Orkneys - Total traffic </t>
  </si>
  <si>
    <t xml:space="preserve">Lerwick - Inwards </t>
  </si>
  <si>
    <t xml:space="preserve">Lerwick - Outwards </t>
  </si>
  <si>
    <t xml:space="preserve">Lerwick - Total traffic </t>
  </si>
  <si>
    <t xml:space="preserve">Sullom Voe - Inwards </t>
  </si>
  <si>
    <t xml:space="preserve">Sullom Voe - Outwards </t>
  </si>
  <si>
    <t xml:space="preserve">Sullom Voe - Total traffic </t>
  </si>
  <si>
    <t xml:space="preserve">Cromarty Firth - Inwards </t>
  </si>
  <si>
    <t xml:space="preserve">Cromarty Firth - Outwards </t>
  </si>
  <si>
    <t xml:space="preserve">Cromarty Firth - Total traffic </t>
  </si>
  <si>
    <t xml:space="preserve">Scotland - Inwards </t>
  </si>
  <si>
    <t xml:space="preserve">Scotland - Outwards </t>
  </si>
  <si>
    <t xml:space="preserve">Scotland - Total traffic </t>
  </si>
  <si>
    <t>Stranraer - Inwards [note13]</t>
  </si>
  <si>
    <t>Stranraer - Outwards  [note13]</t>
  </si>
  <si>
    <t>Stranraer - Total traffic  [note13]</t>
  </si>
  <si>
    <t>Loch Ryan - Inwards [note14] [note15]</t>
  </si>
  <si>
    <t>Loch Ryan - Outwards [note14] [note15]</t>
  </si>
  <si>
    <t>Loch Ryan - Total traffic [note14] [note15]</t>
  </si>
  <si>
    <t>Other West Coast - Inwards [note16]</t>
  </si>
  <si>
    <t>Other West Coast - Outwards  [note16]</t>
  </si>
  <si>
    <t>Other West Coast - Total traffic  [note16]</t>
  </si>
  <si>
    <t>Forth - Inwards [note17]</t>
  </si>
  <si>
    <t>Forth - Outwards [note17]</t>
  </si>
  <si>
    <t>Forth - Total traffic [note17]</t>
  </si>
  <si>
    <t>Other East Coast - Inwards [note18]</t>
  </si>
  <si>
    <t>Other East Coast  - Total traffic [note18]</t>
  </si>
  <si>
    <t>Other East Coast - Outwards [note18]</t>
  </si>
  <si>
    <t>Other West Coast ports are: Troon; Ardrishaig; Corpach; Stornoway;Kyle of Lochalsh; Girvan; Kirkudbright; Port Askaig.</t>
  </si>
  <si>
    <t>Stranraer port was closed from 20 November 2011 and operations were transferred to Loch Ryan port.</t>
  </si>
  <si>
    <t>Figures for 2012 may include some traffic from 2011 due to the transfer of operations from Stranraer.</t>
  </si>
  <si>
    <t>The increase in tonnage on the new Loch Ryan route compared to Stranraer is due to larger ships being used.</t>
  </si>
  <si>
    <t>Includes Rosyth, Braefoot Bay, Burntisland, Grangemouth, Hound Point, Kirkcaldy, Leith and Methil</t>
  </si>
  <si>
    <t>Other East Coast ports are: Scrabster; Wick; Gills Bay; Buckie; Fraserburgh; Inverkeithing; Scalloway.</t>
  </si>
  <si>
    <t>From 1995 onwards, separate figures for bulk fuel and other are available for major ports only.</t>
  </si>
  <si>
    <t>Major ports - All other traffic</t>
  </si>
  <si>
    <t>All traffic - major ports only</t>
  </si>
  <si>
    <t>All traffic - all ports</t>
  </si>
  <si>
    <t>Stranraer - Bulk fuel  [note13]</t>
  </si>
  <si>
    <t>Loch Ryan - Bulk fuel [note14] [note15]</t>
  </si>
  <si>
    <t xml:space="preserve">Cairnryan - Bulk fuel </t>
  </si>
  <si>
    <t xml:space="preserve">Ayr - Bulk fuel </t>
  </si>
  <si>
    <t xml:space="preserve">Clyde - Bulk fuel </t>
  </si>
  <si>
    <t xml:space="preserve">Glensanda - Bulk fuel </t>
  </si>
  <si>
    <t>Other West Coast - Bulk fuel  [note16]</t>
  </si>
  <si>
    <t xml:space="preserve">Orkneys - Bulk fuel </t>
  </si>
  <si>
    <t xml:space="preserve">Lerwick - Bulk fuel </t>
  </si>
  <si>
    <t xml:space="preserve">Sullom Voe - Bulk fuel </t>
  </si>
  <si>
    <t xml:space="preserve">Cromarty Firth - Bulk fuel </t>
  </si>
  <si>
    <t xml:space="preserve">Inverness - Bulk fuel </t>
  </si>
  <si>
    <t xml:space="preserve">Peterhead - Bulk fuel </t>
  </si>
  <si>
    <t xml:space="preserve">Aberdeen - Bulk fuel </t>
  </si>
  <si>
    <t xml:space="preserve">Montrose - Bulk fuel </t>
  </si>
  <si>
    <t xml:space="preserve">Dundee - Bulk fuel </t>
  </si>
  <si>
    <t xml:space="preserve">Perth - Bulk fuel </t>
  </si>
  <si>
    <t>Forth - Bulk fuel [note17]</t>
  </si>
  <si>
    <t>Other East Coast - Bulk fuel [note18]</t>
  </si>
  <si>
    <t>Stranraer - All other traffic  [note13]</t>
  </si>
  <si>
    <t>Loch Ryan - All other traffic [note14] [note15]</t>
  </si>
  <si>
    <t xml:space="preserve">Cairnryan - All other traffic </t>
  </si>
  <si>
    <t xml:space="preserve">Ayr - All other traffic </t>
  </si>
  <si>
    <t xml:space="preserve">Clyde - All other traffic </t>
  </si>
  <si>
    <t xml:space="preserve">Glensanda - All other traffic </t>
  </si>
  <si>
    <t>Other West Coast - All other traffic  [note16]</t>
  </si>
  <si>
    <t xml:space="preserve">Orkneys - All other traffic </t>
  </si>
  <si>
    <t xml:space="preserve">Lerwick - All other traffic </t>
  </si>
  <si>
    <t xml:space="preserve">Sullom Voe - All other traffic </t>
  </si>
  <si>
    <t xml:space="preserve">Cromarty Firth - All other traffic </t>
  </si>
  <si>
    <t xml:space="preserve">Inverness - All other traffic </t>
  </si>
  <si>
    <t xml:space="preserve">Peterhead - All other traffic </t>
  </si>
  <si>
    <t xml:space="preserve">Aberdeen - All other traffic </t>
  </si>
  <si>
    <t xml:space="preserve">Montrose - All other traffic </t>
  </si>
  <si>
    <t xml:space="preserve">Dundee - All other traffic </t>
  </si>
  <si>
    <t xml:space="preserve">Perth - All other traffic </t>
  </si>
  <si>
    <t>Forth - All other traffic [note17]</t>
  </si>
  <si>
    <t>Other East Coast  - All other traffic [note18]</t>
  </si>
  <si>
    <t>Major ports - Bulk fuel  [note19]</t>
  </si>
  <si>
    <t>Clyde</t>
  </si>
  <si>
    <t>Glensanda</t>
  </si>
  <si>
    <t>Orkney</t>
  </si>
  <si>
    <t>Sullom Voe</t>
  </si>
  <si>
    <t>Cromarty Firth</t>
  </si>
  <si>
    <t>Aberdeen</t>
  </si>
  <si>
    <t>Clyde - Liquid bulk</t>
  </si>
  <si>
    <t>Clyde - Dry bulk</t>
  </si>
  <si>
    <t>Clyde - Other general cargo</t>
  </si>
  <si>
    <t>Clyde - All traffic</t>
  </si>
  <si>
    <t>Clyde - Container &amp; roll on traffic</t>
  </si>
  <si>
    <t>Glensanda - Liquid bulk</t>
  </si>
  <si>
    <t>Glensanda - Dry bulk</t>
  </si>
  <si>
    <t>Glensanda - Container &amp; roll on traffic</t>
  </si>
  <si>
    <t>Glensanda - Other general cargo</t>
  </si>
  <si>
    <t>Glensanda - All traffic</t>
  </si>
  <si>
    <t>Orkney - Liquid bulk</t>
  </si>
  <si>
    <t>Orkney - Dry bulk</t>
  </si>
  <si>
    <t>Orkney - Container &amp; roll on traffic</t>
  </si>
  <si>
    <t>Orkney - Other general cargo</t>
  </si>
  <si>
    <t>Orkney - All traffic</t>
  </si>
  <si>
    <t>Sullom Voe - Liquid bulk</t>
  </si>
  <si>
    <t>Sullom Voe - Dry bulk</t>
  </si>
  <si>
    <t>Sullom Voe - Container &amp; roll on traffic</t>
  </si>
  <si>
    <t>Sullom Voe - Other general cargo</t>
  </si>
  <si>
    <t>Sullom Voe - All traffic</t>
  </si>
  <si>
    <t>Aberdeen - Liquid bulk</t>
  </si>
  <si>
    <t>Aberdeen - Dry bulk</t>
  </si>
  <si>
    <t>Aberdeen - Container &amp; roll on traffic</t>
  </si>
  <si>
    <t>Aberdeen - Other general cargo</t>
  </si>
  <si>
    <t>Aberdeen - All traffic</t>
  </si>
  <si>
    <t>Loch Ryan - Liquid bulk [note14] [note15]</t>
  </si>
  <si>
    <t>Loch Ryan - Dry bulk [note14] [note15]</t>
  </si>
  <si>
    <t>Loch Ryan - Container &amp; roll on traffic [note14] [note15]</t>
  </si>
  <si>
    <t>Loch Ryan - Other general cargo [note14] [note15]</t>
  </si>
  <si>
    <t>Loch Ryan - All traffic [note14] [note15]</t>
  </si>
  <si>
    <t>Forth - Liquid bulk [note17]</t>
  </si>
  <si>
    <t>Forth - Dry bulk [note17]</t>
  </si>
  <si>
    <t>Forth - Container &amp; roll on traffic [note17]</t>
  </si>
  <si>
    <t>Forth - Other general cargo [note17]</t>
  </si>
  <si>
    <t>Forth - All traffic [note17]</t>
  </si>
  <si>
    <t>Cairnryan and Peterhead did became major ports (in terms of the statistical survey) in 1997, and 1999 respectively. Dundee and Stranraer became major ports in 2000.</t>
  </si>
  <si>
    <t>Stranraer - Liquid bulk [note13] [note20]</t>
  </si>
  <si>
    <t>Stranraer - Dry bulk [note13] [note20]</t>
  </si>
  <si>
    <t>Stranraer - Container &amp; roll on traffic [note13] [note20]</t>
  </si>
  <si>
    <t>Stranraer - Other general cargo [note13] [note20]</t>
  </si>
  <si>
    <t>Stranraer - All traffic [note13] [note20]</t>
  </si>
  <si>
    <t>Cairnryan - Liquid bulk [note20]</t>
  </si>
  <si>
    <t>Cairnryan - Dry bulk [note20]</t>
  </si>
  <si>
    <t>Cairnryan - Container &amp; roll on traffic [note20]</t>
  </si>
  <si>
    <t>Cairnryan - Other general cargo [note20]</t>
  </si>
  <si>
    <t>Cairnryan - All traffic [note20]</t>
  </si>
  <si>
    <t>Peterhead - Liquid bulk [note20]</t>
  </si>
  <si>
    <t>Peterhead -Dry bulk [note20]</t>
  </si>
  <si>
    <t>Peterhead - Container &amp; roll on traffic [note20]</t>
  </si>
  <si>
    <t>Peterhead - Other general cargo [note20]</t>
  </si>
  <si>
    <t>Peterhead - All traffic [note20]</t>
  </si>
  <si>
    <t>Dundee - Liquid bulk [note20]</t>
  </si>
  <si>
    <t>Dundee - Dry bulk [note20]</t>
  </si>
  <si>
    <t>Dundee - Container &amp; roll on traffic [note20]</t>
  </si>
  <si>
    <t>Dundee - Other general cargo [note20]</t>
  </si>
  <si>
    <t>Dundee - All traffic [note20]</t>
  </si>
  <si>
    <t>Cromarty Firth - Liquid bulk</t>
  </si>
  <si>
    <t>Cromarty Firth - Dry bulk</t>
  </si>
  <si>
    <t>Cromarty Firth - Container &amp; roll on traffic</t>
  </si>
  <si>
    <t>Cromarty Firth - Other general cargo</t>
  </si>
  <si>
    <t>Cromarty Firth - All traffic</t>
  </si>
  <si>
    <t>Loch Ryan</t>
  </si>
  <si>
    <t>Cairnryan</t>
  </si>
  <si>
    <t>Peterhead</t>
  </si>
  <si>
    <t>Dundee</t>
  </si>
  <si>
    <t>All Major Ports</t>
  </si>
  <si>
    <t>Forth [note17]</t>
  </si>
  <si>
    <t>Foreign traffic - exports</t>
  </si>
  <si>
    <t>Foreign traffic - imports</t>
  </si>
  <si>
    <t>Domestic traffic - inwards</t>
  </si>
  <si>
    <t>Domestic traffic - outwards</t>
  </si>
  <si>
    <t>Domestic traffic - total</t>
  </si>
  <si>
    <t>Foreign traffic - total</t>
  </si>
  <si>
    <t>All traffic - total</t>
  </si>
  <si>
    <t xml:space="preserve">Liquid bulk - Liquefied gas </t>
  </si>
  <si>
    <t xml:space="preserve">Liquid bulk - Crude oil </t>
  </si>
  <si>
    <t xml:space="preserve">Liquid bulk - Oil products </t>
  </si>
  <si>
    <t xml:space="preserve">Liquid bulk - Other liquid bulk products </t>
  </si>
  <si>
    <t xml:space="preserve">Dry bulk - Ores </t>
  </si>
  <si>
    <t xml:space="preserve">Dry bulk - Coal </t>
  </si>
  <si>
    <t xml:space="preserve">Dry bulk - Agricultural products (eg grain, soya, tapioca) </t>
  </si>
  <si>
    <t xml:space="preserve">Dry bulk - Other dry bulk </t>
  </si>
  <si>
    <t>Dry bulk - All traffic</t>
  </si>
  <si>
    <t>Liquid bulk - All traffic</t>
  </si>
  <si>
    <t xml:space="preserve">Containers - 20' freight units </t>
  </si>
  <si>
    <t xml:space="preserve">Containers - 40' freight units </t>
  </si>
  <si>
    <t xml:space="preserve">Containers - Freight units &gt;20' &amp; &lt;40' </t>
  </si>
  <si>
    <t xml:space="preserve">Containers - Freight units &gt;40' </t>
  </si>
  <si>
    <t>Containers - All traffic</t>
  </si>
  <si>
    <t xml:space="preserve">Roll-on/roll-off (self-propelled) - Road goods vehicles with or without  accompanying trailers </t>
  </si>
  <si>
    <t xml:space="preserve">Roll-on/roll-off (self-propelled) - Import/Export motor vehicles </t>
  </si>
  <si>
    <t>Roll-on/roll-off (self-propelled) - All traffic</t>
  </si>
  <si>
    <t xml:space="preserve">Roll-on/roll-off (non self-propelled) - Unaccompanied road goods trailers &amp; semi-trailers  </t>
  </si>
  <si>
    <t xml:space="preserve">Roll-on/roll-off (non self-propelled) - Unaccompanied caravans and other road, agricultural and industrial vehicles  </t>
  </si>
  <si>
    <t xml:space="preserve">Roll-on/roll-off (non self-propelled) - Rail wagons, shipborne port to port trailers, and shipborne barges engaged in goods transport  </t>
  </si>
  <si>
    <t>Roll-on/roll-off (non self-propelled) - All traffic</t>
  </si>
  <si>
    <t xml:space="preserve">Other general cargo - Forestry products </t>
  </si>
  <si>
    <t xml:space="preserve">Other general cargo - Iron and steel products  </t>
  </si>
  <si>
    <t xml:space="preserve">Other general cargo - Other general cargo &amp; containers &lt;20'    </t>
  </si>
  <si>
    <t>Other general cargo - All traffic</t>
  </si>
  <si>
    <t xml:space="preserve">Total traffic </t>
  </si>
  <si>
    <t>Commodity</t>
  </si>
  <si>
    <t>Port</t>
  </si>
  <si>
    <t>Country of loading or unloading</t>
  </si>
  <si>
    <t>Liquid bulks - Inwards to UK</t>
  </si>
  <si>
    <t>Liquid bulks - outwards from UK</t>
  </si>
  <si>
    <t>Liquid bulks - total</t>
  </si>
  <si>
    <t>Dry bulks - Inwards to UK</t>
  </si>
  <si>
    <t>Dry bulks - outwards from UK</t>
  </si>
  <si>
    <t>Dry bulks - total</t>
  </si>
  <si>
    <t>Other general cargo - Inwards to UK</t>
  </si>
  <si>
    <t>Other general cargo - outwards from UK</t>
  </si>
  <si>
    <t>Other general cargo - total</t>
  </si>
  <si>
    <t>Belgium</t>
  </si>
  <si>
    <t>Bulgaria</t>
  </si>
  <si>
    <t>Cyprus</t>
  </si>
  <si>
    <t>Denmark</t>
  </si>
  <si>
    <t>Estonia</t>
  </si>
  <si>
    <t>Finland</t>
  </si>
  <si>
    <t>France</t>
  </si>
  <si>
    <t>Germany</t>
  </si>
  <si>
    <t>Greece</t>
  </si>
  <si>
    <t>Irish Republic</t>
  </si>
  <si>
    <t>Italy</t>
  </si>
  <si>
    <t>Latvia</t>
  </si>
  <si>
    <t>Lithuania</t>
  </si>
  <si>
    <t>Netherlands</t>
  </si>
  <si>
    <t>Poland</t>
  </si>
  <si>
    <t>Portugal</t>
  </si>
  <si>
    <t>Romania</t>
  </si>
  <si>
    <t>Spain</t>
  </si>
  <si>
    <t>Sweden</t>
  </si>
  <si>
    <t>All other Europe &amp; Mediterranean</t>
  </si>
  <si>
    <t>Egypt</t>
  </si>
  <si>
    <t>Georgia</t>
  </si>
  <si>
    <t>Iceland</t>
  </si>
  <si>
    <t>Israel</t>
  </si>
  <si>
    <t>Morocco</t>
  </si>
  <si>
    <t>Norway</t>
  </si>
  <si>
    <t>Russia</t>
  </si>
  <si>
    <t>Tunisia</t>
  </si>
  <si>
    <t>Turkey</t>
  </si>
  <si>
    <t>Ukraine</t>
  </si>
  <si>
    <t>Angola</t>
  </si>
  <si>
    <t>Gabon</t>
  </si>
  <si>
    <t>Kenya</t>
  </si>
  <si>
    <t>Nigeria</t>
  </si>
  <si>
    <t>South Africa</t>
  </si>
  <si>
    <t xml:space="preserve">Africa (excluding Mediterranean) </t>
  </si>
  <si>
    <t>Argentina</t>
  </si>
  <si>
    <t>Brazil</t>
  </si>
  <si>
    <t>Canada</t>
  </si>
  <si>
    <t>Mexico</t>
  </si>
  <si>
    <t>Trinidad &amp; Tobago</t>
  </si>
  <si>
    <t>USA</t>
  </si>
  <si>
    <t>All America</t>
  </si>
  <si>
    <t>Australia</t>
  </si>
  <si>
    <t>Bangladesh</t>
  </si>
  <si>
    <t>China</t>
  </si>
  <si>
    <t>India</t>
  </si>
  <si>
    <t>Indonesia</t>
  </si>
  <si>
    <t>Japan</t>
  </si>
  <si>
    <t>Malaysia</t>
  </si>
  <si>
    <t>Pakistan</t>
  </si>
  <si>
    <t>Singapore</t>
  </si>
  <si>
    <t>South Korea</t>
  </si>
  <si>
    <t>Sri Lanka</t>
  </si>
  <si>
    <t>Taiwan</t>
  </si>
  <si>
    <t>United Arab Emirates</t>
  </si>
  <si>
    <t>Vietnam</t>
  </si>
  <si>
    <t>All Asia and Australasia</t>
  </si>
  <si>
    <t>Unspecified countries</t>
  </si>
  <si>
    <t>All foreign countries</t>
  </si>
  <si>
    <t>All domestic traffic</t>
  </si>
  <si>
    <t>All foreign and domestic traffic</t>
  </si>
  <si>
    <t xml:space="preserve">All European Union countries (as at 1 July 2013)  </t>
  </si>
  <si>
    <t>Container traffic - Inwards to UK</t>
  </si>
  <si>
    <t>Container traffic - outwards from UK</t>
  </si>
  <si>
    <t>Container traffic - total</t>
  </si>
  <si>
    <t>Ro-Ro traffic - Inwards to UK</t>
  </si>
  <si>
    <t>Ro-Ro traffic - total</t>
  </si>
  <si>
    <t>Ro-Ro traffic - outwards from UK</t>
  </si>
  <si>
    <t>All traffic - Inwards to UK</t>
  </si>
  <si>
    <t>All traffic - outwards from UK</t>
  </si>
  <si>
    <t>Total freight units (thousands)</t>
  </si>
  <si>
    <t>Number of containers (thousands)</t>
  </si>
  <si>
    <t>Total traffic weight (thousand tonnes)</t>
  </si>
  <si>
    <t>Container traffic weight (thousand tonnes)</t>
  </si>
  <si>
    <t>With effect from 1995, traffic at smaller ports is estimated.</t>
  </si>
  <si>
    <t>1995 [note21]</t>
  </si>
  <si>
    <t>Number of wheeled vehicles (thousands) [note22]</t>
  </si>
  <si>
    <t>Wheeled vehicle traffic weight (thousand tonnes) [note22]</t>
  </si>
  <si>
    <t>Includes road goods vehicles, unaccompanied trailers, and shipborne port to port trailers.</t>
  </si>
  <si>
    <t>2015 [note6]</t>
  </si>
  <si>
    <t>[not available]</t>
  </si>
  <si>
    <t>Freight lifted, River Clyde (million tonnes)</t>
  </si>
  <si>
    <t>Freight lifted, River Forth (million tonnes)</t>
  </si>
  <si>
    <t>Freight moved, River Forth (million tonne-kilometres)</t>
  </si>
  <si>
    <t>Freight moved, River Clyde (million tonne-kilometres)</t>
  </si>
  <si>
    <t>Includes also Caledonian Canal, lochs Fyne, Leven and Linnhe, Moray Firth, River Tay. From 2015 the totals do not include other waterways.</t>
  </si>
  <si>
    <t>Freight moved, all waterways (million tonne-kilometres) [note23]</t>
  </si>
  <si>
    <t>Freight lifted, all waterways (million tonnes) [note23]</t>
  </si>
  <si>
    <t>Freight</t>
  </si>
  <si>
    <t>Freight lifted - Bulk-liquid (million tonnes)</t>
  </si>
  <si>
    <t>Freight lifted - Bulk-dry (million tonnes)</t>
  </si>
  <si>
    <t>Freight lifted - Unitised forest products (million tonnes)</t>
  </si>
  <si>
    <t>Freight lifted - Other semi-bulk (million tonnes)</t>
  </si>
  <si>
    <t>Freight lifted - Break bulk (million tonnes)</t>
  </si>
  <si>
    <t>Freight lifted - Other general cargo (million tonnes)</t>
  </si>
  <si>
    <t>Freight lifted - Unit loads (million tonnes)</t>
  </si>
  <si>
    <t>Freight lifted - Total (million tonnes)</t>
  </si>
  <si>
    <t>Freight moved - Bulk-liquid (million tonne-kilometres)</t>
  </si>
  <si>
    <t>Freight moved - Bulk-dry (million tonne-kilometres)</t>
  </si>
  <si>
    <t>Freight moved - Unitised forest products (million tonne-kilometres)</t>
  </si>
  <si>
    <t>Freight moved - Other semi-bulk (million tonne-kilometres)</t>
  </si>
  <si>
    <t>Freight moved - Break bulk (million tonne-kilometres)</t>
  </si>
  <si>
    <t>Freight moved - Other general cargo (million tonne-kilometres)</t>
  </si>
  <si>
    <t>Freight moved - Unit loads (million tonne-kilometres)</t>
  </si>
  <si>
    <t>Freight moved - Total (million tonne-kilometres)</t>
  </si>
  <si>
    <t>Source: Ferry operators - Not National Statistics</t>
  </si>
  <si>
    <t>Operator</t>
  </si>
  <si>
    <t>Caledonian MacBrayne</t>
  </si>
  <si>
    <t>P&amp;O Scottish Ferries</t>
  </si>
  <si>
    <t>Orkney Ferries</t>
  </si>
  <si>
    <t>Argyll &amp; Bute Council</t>
  </si>
  <si>
    <t>Strathclyde Partnership for Transport</t>
  </si>
  <si>
    <t>Western Ferries</t>
  </si>
  <si>
    <t>Cromarty Ferry Company</t>
  </si>
  <si>
    <t>West Highland Seaways</t>
  </si>
  <si>
    <t>Total within Scotland</t>
  </si>
  <si>
    <t>Scotland and Northern Ireland</t>
  </si>
  <si>
    <t>Scotland and Europe</t>
  </si>
  <si>
    <t>Total</t>
  </si>
  <si>
    <t>Cowal Ferries [note24]</t>
  </si>
  <si>
    <t>Argyll Ferries Ltd [note24]</t>
  </si>
  <si>
    <t xml:space="preserve">Serco Northlink [note25] </t>
  </si>
  <si>
    <t>Shetland Islands Council [note26]</t>
  </si>
  <si>
    <t>Highland Council [note27]</t>
  </si>
  <si>
    <t>Bruce Watt Cruises [note28]</t>
  </si>
  <si>
    <t>Orkney Line (Previously Orcargo) [note29]</t>
  </si>
  <si>
    <t>note 26</t>
  </si>
  <si>
    <t>note 27</t>
  </si>
  <si>
    <t>note 28</t>
  </si>
  <si>
    <t>note 29</t>
  </si>
  <si>
    <t>note 30</t>
  </si>
  <si>
    <t>note 31</t>
  </si>
  <si>
    <t>Cowal Ferries operated the Gourock-Dunoon route from October 2006 until June 2011 when Argyll Ferries took over operation and carry passengers only.  It is not possible to split passenger figures for 2011 between the two operators.</t>
  </si>
  <si>
    <t>P&amp;O Scottish Ferries stopped operating these services on 30 September 2002. NorthLink Orkney &amp; Shetland Ferries Ltd operated from 1 October 2002 until 6 July 2006; NorthLink Ferries Ltd operated from 6 July 2006 until 5 July 2012; Serco NorthLink Ferries operated from 5 July 2012 to date.</t>
  </si>
  <si>
    <t>Only includes main routes listed in Table 9.16.</t>
  </si>
  <si>
    <t>Bruce Watt Cruises no longer operates due to retirement.</t>
  </si>
  <si>
    <t>This service ceased to operate from May 2001.</t>
  </si>
  <si>
    <t>2020 [note30]</t>
  </si>
  <si>
    <t>Total [note29]</t>
  </si>
  <si>
    <t>No data is available for Pentland ferries.</t>
  </si>
  <si>
    <t>Route</t>
  </si>
  <si>
    <t>Cairnryan - Larne - Numbers of vehicles</t>
  </si>
  <si>
    <t>Cairnryan - Larne - Numbers of passengers</t>
  </si>
  <si>
    <t>Stranraer - Larne - Numbers of passengers</t>
  </si>
  <si>
    <t>Stranraer - Larne - Numbers of vehicles</t>
  </si>
  <si>
    <t>Total - Numbers of vehicles</t>
  </si>
  <si>
    <t>Total - Numbers of passengers</t>
  </si>
  <si>
    <t>Total for these Shipping Services</t>
  </si>
  <si>
    <t>Unit</t>
  </si>
  <si>
    <t>Cars carried (thousands)</t>
  </si>
  <si>
    <t>Vehicles (Cowal ferries) (thousands)</t>
  </si>
  <si>
    <t>Vehicles (Argyll ferries) (thousands)</t>
  </si>
  <si>
    <t>Passengers (thousands)</t>
  </si>
  <si>
    <t>Passengers (Cowal ferries) (thousands)</t>
  </si>
  <si>
    <t>Commercial vehicles (thousands)</t>
  </si>
  <si>
    <t>Vehicles carried (thousands)</t>
  </si>
  <si>
    <t>Revenue from users (thousand pounds)</t>
  </si>
  <si>
    <t>Subsidy (thousand pounds)</t>
  </si>
  <si>
    <t>Passengers (Argyll ferries) (thousands)</t>
  </si>
  <si>
    <t>Source: Ferry companies - Not National Statistics</t>
  </si>
  <si>
    <t>Highland Council</t>
  </si>
  <si>
    <t>Argyll and Bute Council</t>
  </si>
  <si>
    <t>Total for Local Authority operators</t>
  </si>
  <si>
    <t>Loose freight (thousand tonnes)</t>
  </si>
  <si>
    <t>Region</t>
  </si>
  <si>
    <t>CalMac</t>
  </si>
  <si>
    <t>Rathlin Ferries</t>
  </si>
  <si>
    <t>Cowal Ferries</t>
  </si>
  <si>
    <t>Argyll Ferries</t>
  </si>
  <si>
    <t>Total Clyde</t>
  </si>
  <si>
    <t>Gallanach - Kerrera</t>
  </si>
  <si>
    <t>Total West Coast</t>
  </si>
  <si>
    <t>West Coast</t>
  </si>
  <si>
    <t>Serco Northlink</t>
  </si>
  <si>
    <t>Total North</t>
  </si>
  <si>
    <t>North</t>
  </si>
  <si>
    <t>All</t>
  </si>
  <si>
    <t>[not applicable]</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</si>
  <si>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</si>
  <si>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</si>
  <si>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</si>
  <si>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</si>
  <si>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</si>
  <si>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</si>
  <si>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</si>
  <si>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</si>
  <si>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</si>
  <si>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</si>
  <si>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</si>
  <si>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</si>
  <si>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</si>
  <si>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</si>
  <si>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</si>
  <si>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</si>
  <si>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</si>
  <si>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</si>
  <si>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</si>
  <si>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</si>
  <si>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</si>
  <si>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</si>
  <si>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Punctuality (percentage)</t>
  </si>
  <si>
    <t>Reliability (percentage)</t>
  </si>
  <si>
    <t>Measure</t>
  </si>
  <si>
    <t>NorthLink</t>
  </si>
  <si>
    <t>Punctuality - Aberdeen routes (percentage)</t>
  </si>
  <si>
    <t>Punctuality - Pentland Firth (percentage)</t>
  </si>
  <si>
    <t>Scheduled sailings (numbers)</t>
  </si>
  <si>
    <t>Assistance rendered</t>
  </si>
  <si>
    <t>Assistance not rendered</t>
  </si>
  <si>
    <t>Hoax</t>
  </si>
  <si>
    <t>Total incidents</t>
  </si>
  <si>
    <t xml:space="preserve">   3,827 </t>
  </si>
  <si>
    <t xml:space="preserve">   4,071 </t>
  </si>
  <si>
    <t xml:space="preserve">   4,304 </t>
  </si>
  <si>
    <t>Coastguard rescue team callouts</t>
  </si>
  <si>
    <t>Number of persons assisted</t>
  </si>
  <si>
    <t>Number of persons rescued</t>
  </si>
  <si>
    <t>Lives lost</t>
  </si>
  <si>
    <t>Source: Maritime and Coastguard Agency - Not National Statistics</t>
  </si>
  <si>
    <t>Source: Scottish Government - Not National Statistics</t>
  </si>
  <si>
    <t>Gourock-Dunoon</t>
  </si>
  <si>
    <t>Islay - Jura</t>
  </si>
  <si>
    <t>Ardgour-Nether Lochaber</t>
  </si>
  <si>
    <t>Gairloch (Wester Ross) - Portree (Skye)</t>
  </si>
  <si>
    <t>Mallaig-Loch Nevis</t>
  </si>
  <si>
    <t>Houton - Lyness/Flotta</t>
  </si>
  <si>
    <t>Tingwall - Rousay/Egilsay/Wyre</t>
  </si>
  <si>
    <t>Kirkwall - Shapinsay</t>
  </si>
  <si>
    <t>Kirkwall - Westray/Stronsay</t>
  </si>
  <si>
    <t>Stromness-Hoy/Graemsay</t>
  </si>
  <si>
    <t>Laxo or Vidlin - Symbister</t>
  </si>
  <si>
    <t>Toft - Ulsta</t>
  </si>
  <si>
    <t>Vidlin/Lerwick - Skerries</t>
  </si>
  <si>
    <t>West Burrafirth - Papa Stour</t>
  </si>
  <si>
    <t>Fair Isle - Grutness/Lerwick</t>
  </si>
  <si>
    <t>Cromarty-Nigg</t>
  </si>
  <si>
    <t>Total all routes</t>
  </si>
  <si>
    <t>All operators</t>
  </si>
  <si>
    <t>Orkney Line (previously Orcargo)</t>
  </si>
  <si>
    <t>Invergordon - Orkney 17</t>
  </si>
  <si>
    <t>Total vehicles</t>
  </si>
  <si>
    <t>Total passengers - Numbers of passengers</t>
  </si>
  <si>
    <t>Cairnryan - Belfast - Numbers of vehicles [note31]</t>
  </si>
  <si>
    <t>Cairnryan - Belfast - Numbers of passengers [note31]</t>
  </si>
  <si>
    <t>Campbeltown -  Ballycastle - Numbers of vehicles [note32]</t>
  </si>
  <si>
    <t>Campbeltown - Ballycastle - Numbers of passengers [note32]</t>
  </si>
  <si>
    <t>Stranraer - Belfast - Numbers of vehicles [note31]</t>
  </si>
  <si>
    <t>Stranraer - Belfast - Numbers of passengers [note31]</t>
  </si>
  <si>
    <t>Troon - Belfast - Numbers of vehicles [note33]</t>
  </si>
  <si>
    <t>Troon - Belfast - Numbers of passengers [note33]</t>
  </si>
  <si>
    <t>Troon - Larne - Numbers of vehicles  [note32]</t>
  </si>
  <si>
    <t>Troon - Larne - Numbers of passengers [note32]</t>
  </si>
  <si>
    <t>note 32</t>
  </si>
  <si>
    <t>note 33</t>
  </si>
  <si>
    <t>note 34</t>
  </si>
  <si>
    <t>note 35</t>
  </si>
  <si>
    <t>The Stranraer - Belfast ferry service was replaced by the Cairnryan-Belfast route in November 2011.</t>
  </si>
  <si>
    <t>The Troon - Larne ferry service was withdrawn in September 2015.</t>
  </si>
  <si>
    <t>The Troon - Belfast ferry service was withdrawn in December 2004.</t>
  </si>
  <si>
    <t>Rosyth - Zeebrugge - Numbers of passengers [note34]</t>
  </si>
  <si>
    <t>Rosyth - Zeebrugge - Numbers of cars [note34]</t>
  </si>
  <si>
    <t>Rosyth - Zeebrugge - Roads goods vehicles [note34]</t>
  </si>
  <si>
    <t>Rosyth - Zeebrugge - Unaccompanied trailers [note34]</t>
  </si>
  <si>
    <t>Rosyth - Zeebrugge - Import/export vehicles [note34]</t>
  </si>
  <si>
    <t>Rosyth - Zeebrugge - Unaccompanied caravans, other road, agricultural and industrial vehicles [note34]</t>
  </si>
  <si>
    <t>Rosyth - Zeebrugge - Rail wagons, shipborne port to port trailers and shipborne barges engaged in goods transport [note34]</t>
  </si>
  <si>
    <t>Lerwick - Bergen - Numbers of passengers [note35]</t>
  </si>
  <si>
    <t>Lerwick - Hanstholm - Numbers of passengers [note35]</t>
  </si>
  <si>
    <t>Lerwick - Torshaven - Numbers of passengers [note35]</t>
  </si>
  <si>
    <t>note 36</t>
  </si>
  <si>
    <t>note 37</t>
  </si>
  <si>
    <t>note 38</t>
  </si>
  <si>
    <t>note 39</t>
  </si>
  <si>
    <t>note 40</t>
  </si>
  <si>
    <t>note 41</t>
  </si>
  <si>
    <t>Does not include containers caried on shipborne port to port trailers. There was no service in the fourth quarter of 2008. This service closed in April 2018. The service started in May 2002. The drop in passenger numbers in 2006 follows a reduction in the frequency of the service with effect from November 2005.</t>
  </si>
  <si>
    <t>These are passenger numbers only as car and commercial vehicles are not recorded.</t>
  </si>
  <si>
    <t>Records for Rosyth-Zeebrugge indicate a nil return for 2004. However, there are some 4,230 units attributed to an unknown port of load/unload. We believe some element of this value includes import/export vehicles for R-Z, although we are unable to estimate what proportion.</t>
  </si>
  <si>
    <t>[note36]</t>
  </si>
  <si>
    <t>Revenue from users (thousands pounds) [note37]</t>
  </si>
  <si>
    <t>Figures include charter and contract carryings (see table 15).</t>
  </si>
  <si>
    <t>This figure only covers the routes of  Mallaig to the smaller isles since the freight is lifted by crane onto the vessels rather than transported by lorry onto the ferry.</t>
  </si>
  <si>
    <t>Subsidy (thousand pounds) [note39]</t>
  </si>
  <si>
    <t>Cowal ferries (subsidy) (thousands pounds) [note39]</t>
  </si>
  <si>
    <t>Financial year beginning 1 April of year.</t>
  </si>
  <si>
    <t>Gourock-Dunoon service transferred to CalMac Ferries in January 2019.</t>
  </si>
  <si>
    <t>Argyll Ferries (subsidy) (thousand pounds) [note39] [note40]</t>
  </si>
  <si>
    <t>P&amp;O Scottish Ferries [note41]</t>
  </si>
  <si>
    <t>P&amp;O Scottish Ferries stopped operating its services on 30 September 2002.</t>
  </si>
  <si>
    <t>note 42</t>
  </si>
  <si>
    <t>note 43</t>
  </si>
  <si>
    <t>note 44</t>
  </si>
  <si>
    <t>note 45</t>
  </si>
  <si>
    <t>note 46</t>
  </si>
  <si>
    <t>note 47</t>
  </si>
  <si>
    <t>Revenue from users (thousand pounds) [note39]</t>
  </si>
  <si>
    <t>NorthLink Orkney &amp; Shetland Ferries Ltd operated from 1 October 2002 until 6 July 2006; NorthLink Ferries Ltd operated from 6 July 2006 until 5 July 2012; Serco NorthLink Ferries operated from 5 July 2012 to date.</t>
  </si>
  <si>
    <t>Northlink Orkney &amp; Shetland Ferries / Northlink Ferries Ltd / Serco Northlink Ferries [note42]</t>
  </si>
  <si>
    <t>Only coaches and mini-buses are included under this heading. The number of vehicles are no longer available due to a change in the method of collecting the data.</t>
  </si>
  <si>
    <t>Commercial Vehicles (thousands) [note43]</t>
  </si>
  <si>
    <t>Years prior to 2006 covered the period 1 October to 30 September. Figures for 2006 relate to a financial year beginning 1 April. Figures for 2007 onwards relate to an operating year from July to June. The subsidy in 2018 has increased due to the change in Freight vessel charter arrangements.</t>
  </si>
  <si>
    <t>Subsidy (thousand pounds) [note44]</t>
  </si>
  <si>
    <t>The figures published previously for 2003 to 2005 were wrong. Corrected figures for 2003 and 2004 are not readily available.</t>
  </si>
  <si>
    <t>Revenue from users (thousand pounds) [note44] [note45]</t>
  </si>
  <si>
    <t>Loose freight (thousand tonnes) [note46]</t>
  </si>
  <si>
    <t xml:space="preserve">In 2001 P&amp;O's loose freight operations were taken over by a separate company called, Northwards, which did not provide the relevant information.  </t>
  </si>
  <si>
    <t>Figures include main routes only; there are smaller routes which are not included. Since 2008, no fares have been charged on two routes, the previous figures are therefore not comparable.  Data for routes included in Table 16 .</t>
  </si>
  <si>
    <r>
      <t>Shetland Islands Council [note47]</t>
    </r>
    <r>
      <rPr>
        <sz val="11"/>
        <color theme="1"/>
        <rFont val="Arial"/>
        <family val="2"/>
        <scheme val="minor"/>
      </rPr>
      <t/>
    </r>
  </si>
  <si>
    <t>Passengers (thousands) [note48]</t>
  </si>
  <si>
    <t>note 48</t>
  </si>
  <si>
    <t>Passenger figures for the Corran Ferry are first included in 2013.</t>
  </si>
  <si>
    <t>note 49</t>
  </si>
  <si>
    <t>note 50</t>
  </si>
  <si>
    <t>note 51</t>
  </si>
  <si>
    <t>note 52</t>
  </si>
  <si>
    <t>note 53</t>
  </si>
  <si>
    <t>note 54</t>
  </si>
  <si>
    <t>note 55</t>
  </si>
  <si>
    <t>Seasonal carryings.</t>
  </si>
  <si>
    <t>These figures are an aggregate of the Uig-Tarbert-Lochmaddy, Uig-Lochmaddy, Uig-Tarbert &amp; Tarbert-Lochmaddy routes.</t>
  </si>
  <si>
    <t>Berneray-Leverburgh replaced the Otternish-Leverburgh service and started in 2002.</t>
  </si>
  <si>
    <t>Ballycastle-Rathlin was operated by CalMac prior to April 2007</t>
  </si>
  <si>
    <t>This route was out of service between March 2003 and June 2003.</t>
  </si>
  <si>
    <t>Gourock-Dunoon [note24]</t>
  </si>
  <si>
    <t>Ballycastle-Rathlin [note52]</t>
  </si>
  <si>
    <t>Gourock-Dunoon [note24] [note53]</t>
  </si>
  <si>
    <t>Otternish-Leverburgh [note51]</t>
  </si>
  <si>
    <t>The Aberdeen to Stromness route changed to Aberdeen to Kirkwall in October 2002 but the figures provided by the company for 2002 did not distinguish between the two.</t>
  </si>
  <si>
    <t>note 56</t>
  </si>
  <si>
    <t>note 57</t>
  </si>
  <si>
    <t>note 58</t>
  </si>
  <si>
    <t>note 59</t>
  </si>
  <si>
    <t>note 60</t>
  </si>
  <si>
    <t>note 61</t>
  </si>
  <si>
    <t>note 62</t>
  </si>
  <si>
    <t>note 63</t>
  </si>
  <si>
    <t>note 64</t>
  </si>
  <si>
    <t>Years prior to 2006 covered the period 1 October to 30 September.  Figures for 2006 relate to a financial year beginning 1 April. Figures for 2007 onwards relate to an operating year from July to June. Day charters and livestock specials are included in the figures for some routes.</t>
  </si>
  <si>
    <t>Aberdeen - Stomness [note42] [note55] [note56]</t>
  </si>
  <si>
    <t>Aberdeen - Lerwick[note42] [note56]</t>
  </si>
  <si>
    <t>Scrabster - Stromness [note42] [note56]</t>
  </si>
  <si>
    <t>Lerwick - Kirkwall [note42] [note56]</t>
  </si>
  <si>
    <t>Aberdeen - Kirkwall [note42] [note55] [note56]</t>
  </si>
  <si>
    <t>Route commenced May 2013.</t>
  </si>
  <si>
    <t>Between 2013 and 2015 route oprated as pilot scheme on Tuesday and Saturday during winter timetable. Full service started Summer 2016.</t>
  </si>
  <si>
    <t xml:space="preserve">Calmac took over the operation of this route from Strathclyde Partnership for Transport in 2020. The figures for 2020 cover the period from 1 June 2020 to 31 December 2020. </t>
  </si>
  <si>
    <t>Gourock - Kilcreggan [note59]</t>
  </si>
  <si>
    <t>Road Equivalent Tariff (RET) was introduced on these routes in October 2008</t>
  </si>
  <si>
    <t>Road Equivalent Tariff (RET) was introduced on these routes in October 2012</t>
  </si>
  <si>
    <t>Road Equivalent Tariff (RET) was introduced on these routes in October 2015</t>
  </si>
  <si>
    <t>Oban-Coll/Tiree/Castlebay [note60]</t>
  </si>
  <si>
    <t>Oban-Castlebay- Lochboisdale [note60]</t>
  </si>
  <si>
    <t>Oban-Coll/Tiree [note60]</t>
  </si>
  <si>
    <t>Ullapool-Stornoway [note60]</t>
  </si>
  <si>
    <t>Kennacraig-Islay/C'say/Oban [note61]</t>
  </si>
  <si>
    <t>Kennacraig-Islay [note61]</t>
  </si>
  <si>
    <t>Oban-Colonsay [note61]</t>
  </si>
  <si>
    <t>Tayinloan-Gigha [note61]</t>
  </si>
  <si>
    <t>Uig-Tarbert-Lochmaddy [note50] [note60]</t>
  </si>
  <si>
    <t>Ardrossan-Brodick [note62]</t>
  </si>
  <si>
    <r>
      <t>Ardrossan-Campbeltown [note57] [note62]</t>
    </r>
    <r>
      <rPr>
        <vertAlign val="superscript"/>
        <sz val="12"/>
        <rFont val="Arial"/>
        <family val="2"/>
      </rPr>
      <t xml:space="preserve"> </t>
    </r>
  </si>
  <si>
    <t>Colintraive-Rhubodach [note62]</t>
  </si>
  <si>
    <t>Largs-Cumbrae [note62]</t>
  </si>
  <si>
    <t>Lochranza-Tarbet/Claonaig [note49] [note62]</t>
  </si>
  <si>
    <t>Tarbert-Portavadie [note62]</t>
  </si>
  <si>
    <t>Wemyss Bay-Rothesay [note62]</t>
  </si>
  <si>
    <t>Ardmhor (Barra)-Eriskay [note62]</t>
  </si>
  <si>
    <t>Berneray-Leverburgh [note51] [note62]</t>
  </si>
  <si>
    <t>Fionnphort-Iona [note62]</t>
  </si>
  <si>
    <t>Fishnish-Lochaline [note62]</t>
  </si>
  <si>
    <t>Mallaig-Eigg/Muck/Rum/Canna [note62]</t>
  </si>
  <si>
    <t>Mallaig-Armadale [note62]</t>
  </si>
  <si>
    <t>Mallaig-Lochboisdale [note59] [note62]</t>
  </si>
  <si>
    <t>Oban-Lismore [note62]</t>
  </si>
  <si>
    <t>Oban-Craignure [note62]</t>
  </si>
  <si>
    <t>Raasay-Sconser [note62]</t>
  </si>
  <si>
    <t>Tobermory-Kilchoan [note62]</t>
  </si>
  <si>
    <t>Invergordon - Orkney [note27]</t>
  </si>
  <si>
    <t xml:space="preserve">Bruce Watt Cruises [note27] </t>
  </si>
  <si>
    <t>In addition to the routes shown in this table, there are some other routes, which have less traffic, for which the number of passengers and  vehicles are included in the totals for the operator which appear in table 14. The figures for cars also include commercial vehicles which are also counted separately.</t>
  </si>
  <si>
    <t xml:space="preserve">Shetland Islands Council [note63] </t>
  </si>
  <si>
    <t xml:space="preserve">Orkney Ferries [note63] </t>
  </si>
  <si>
    <t>Passenger numbers prior to 1999 are based on paying passengers, but from 1999 numbers are based on a head count. There were 793,600 paying passengers in 1999.</t>
  </si>
  <si>
    <t>Western Ferries [note64]</t>
  </si>
  <si>
    <t>note 65</t>
  </si>
  <si>
    <t>note 66</t>
  </si>
  <si>
    <t>note 67</t>
  </si>
  <si>
    <t>note 68</t>
  </si>
  <si>
    <t>note 69</t>
  </si>
  <si>
    <t>note 70</t>
  </si>
  <si>
    <t>note 71</t>
  </si>
  <si>
    <t>note 72</t>
  </si>
  <si>
    <t>Figures for 2000 and 2001 are estimates.</t>
  </si>
  <si>
    <t xml:space="preserve">As foot passengers carried on the Corran Ferry travel for free, exact numbers are not recorded. However, an estimate of the number is included in the table. </t>
  </si>
  <si>
    <t>(Corran Ferry) [note66]</t>
  </si>
  <si>
    <t>Until 25 October 1999 this service carried pupils going to Lochaber High School. A bus service now operates to carry school pupils, which mainly accounts for the drop in passenger numbers from 1999 to 2000. Since 2006 this has carried pupils from Fort William who attend Ardnamurchan High School.</t>
  </si>
  <si>
    <t>Camusnagaul - Fort William [note67]</t>
  </si>
  <si>
    <t>Passenger numbers in 1999 are high because of special events such as the Tall ships race.</t>
  </si>
  <si>
    <t>Lerwick - Bressay [note68]</t>
  </si>
  <si>
    <t>Figures relate to financial years which start in the specified calendar year (e.g. the 1998 figure is for 1998-99). Comparable figures prior  to 1998-99 are not available, because before then the numbers of passengers were counted exclusive of ZoneCard ticket holders (and therefore passengers who had a ZoneCard were not counted). SPT no longer operates the Renfrew-Yoker ferry (Clydelink have run this service commercially since April 2010).</t>
  </si>
  <si>
    <t>Renfrew - Yoker [note69]</t>
  </si>
  <si>
    <t xml:space="preserve">Since 2001 the Gourock-Kilcreggan route has been tendered by Strathclyde Passenger Transport (SPT), and operated under contract by Clyde Marine and more recently by Clydelink.  The SPT changed it's name to Strathclyde Partnership for Transport in April 2006. Figures relate to financial years which start in the specified calendar year (e.g. the "1998" figure is for 1998-99). It was a Caledonian MacBrayne route in previous years, so figures for 2000 and earlier years appear in table 9.14. Clydelink operated this service until 12/05/2018. Clyde Marine Services Ltd have continued to operate this service from 14/05/2018 to 30/05/2020. Calmac ferries Ltd took over the operation of the route from 1/06/20. </t>
  </si>
  <si>
    <t>Gourock - Kilcreggan [note70]</t>
  </si>
  <si>
    <t>2004 is the first full calender year of the electronic ticketing sytem and the statistics quoted for the Cuan, Easdale and Appin Services reflect the more accurate counting method.</t>
  </si>
  <si>
    <t>Appin-Lismore [note71]</t>
  </si>
  <si>
    <t>Cuan-Luing [note65] [note71]</t>
  </si>
  <si>
    <t>Seil-Easdale [note71]</t>
  </si>
  <si>
    <t>Since 2008,there have been no fares charged on this route.  This route is now Gutcher Hamarsness.</t>
  </si>
  <si>
    <t>Gutcher - Oddsta [note72]</t>
  </si>
  <si>
    <t>From 2008 to 2011 there were no fares charged on this route. They were reintroduced in 2012.  Figures for Gutcher/Belmont to Hamarsness are included in these figures</t>
  </si>
  <si>
    <t>note 73</t>
  </si>
  <si>
    <t>Bluemull [note73]</t>
  </si>
  <si>
    <t>The Gairloch to Portree service operated by West Highland Seaways was withdrawn from 22 August 2004.</t>
  </si>
  <si>
    <t>note 74</t>
  </si>
  <si>
    <t>West Highland Seaways [note74]</t>
  </si>
  <si>
    <t>Separate figures for cars/buses and commercial vehicles are only available for some Orkney Ferries services for recent years.  Prior to that, only the total number of vehicles carried is available.</t>
  </si>
  <si>
    <t>note 75</t>
  </si>
  <si>
    <t>note 76</t>
  </si>
  <si>
    <t>note 77</t>
  </si>
  <si>
    <t>The operator indicated that the figure provided for buses and commercial vehicles in 2002 may not be directly comparable with previous years.  Figures for 2003 onwards are not comparable with earlier years.</t>
  </si>
  <si>
    <t>Data for Pentland Ferries is not available</t>
  </si>
  <si>
    <t>note 78</t>
  </si>
  <si>
    <t>Figures for passenger numbers on the Corran ferry service have not been included in the total for Highland council as the figures are new estimates and considered as data under development.</t>
  </si>
  <si>
    <t>Orkney Ferries [note63] [note75]</t>
  </si>
  <si>
    <t>Total [note78]</t>
  </si>
  <si>
    <t>Cuan-Luing [note71]</t>
  </si>
  <si>
    <t>Lerwick - Bressay</t>
  </si>
  <si>
    <t>Gutcher - Belmont [note73]</t>
  </si>
  <si>
    <t>Azerbaidjan</t>
  </si>
  <si>
    <t>Loose freight [note 46]</t>
  </si>
  <si>
    <t>[</t>
  </si>
  <si>
    <t xml:space="preserve">Waterborne freight lifted in Scotland, and moved, by type of traffic </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</si>
  <si>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</si>
  <si>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</si>
  <si>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</si>
  <si>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</si>
  <si>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</si>
  <si>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</si>
  <si>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</si>
  <si>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</si>
  <si>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</si>
  <si>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Foreign and domestic freight traffic at the major ports by type of traffic</t>
  </si>
  <si>
    <t>Table 9.7</t>
  </si>
  <si>
    <t>All traffic at the major ports by mode of appearance and commodity, 2020</t>
  </si>
  <si>
    <t>Table 9.8</t>
  </si>
  <si>
    <t>Major ports traffic by cargo category and country of loading or unloading - 2020</t>
  </si>
  <si>
    <t>Table 9.9</t>
  </si>
  <si>
    <t>Foreign and coastwise container and roll-on traffic by type</t>
  </si>
  <si>
    <t>Table 9.10</t>
  </si>
  <si>
    <t>Inland waterway freight traffic lifted and moved</t>
  </si>
  <si>
    <t>Table 9.11</t>
  </si>
  <si>
    <t>Inland waterway freight traffic lifted and moved by mode of appearance</t>
  </si>
  <si>
    <t>Total passengers and vehicles carried by operator</t>
  </si>
  <si>
    <t>Vehicle and Passenger Traffic between Scotland and Northern Ireland</t>
  </si>
  <si>
    <t>Shipping services (Operators on subsidised routes)</t>
  </si>
  <si>
    <t>Table 9.15</t>
  </si>
  <si>
    <t>Table 9.17</t>
  </si>
  <si>
    <t>Reliability and punctuality of lifeline ferry services</t>
  </si>
  <si>
    <t>Table 9.18</t>
  </si>
  <si>
    <t>HM Coastguard statistics: Search and rescue operations (Scotland)</t>
  </si>
  <si>
    <t>Figure 9.6</t>
  </si>
  <si>
    <t>Top passenger ferry routes within and to/from Scotland, 2020</t>
  </si>
  <si>
    <t>Figure 9.7</t>
  </si>
  <si>
    <t>Top car ferry routes within and to/from Scotland, 2020</t>
  </si>
  <si>
    <t>Table 9.1a &amp; 9.1b</t>
  </si>
  <si>
    <t>Table 9.1c &amp; 9.1d</t>
  </si>
  <si>
    <t>Table 9.12a &amp; 12b</t>
  </si>
  <si>
    <t>Table 9.6a &amp; 9.6b</t>
  </si>
  <si>
    <t>Table 9.13a</t>
  </si>
  <si>
    <t>Table 9.13b</t>
  </si>
  <si>
    <t>Vehicle and Passenger Traffic between Scotland and other EU Countries</t>
  </si>
  <si>
    <t>Table 9.14a</t>
  </si>
  <si>
    <t>Shipping services, local authority operators</t>
  </si>
  <si>
    <t>Table 9.14b</t>
  </si>
  <si>
    <t>Car traffic on subsidised ferry services.</t>
  </si>
  <si>
    <t>Passengers and Commercial Vehicles on Subsidised ferry services</t>
  </si>
  <si>
    <t xml:space="preserve">Passenger Traffic on other major ferry routes    </t>
  </si>
  <si>
    <t>Table 9.16a</t>
  </si>
  <si>
    <t>Table 9.16b</t>
  </si>
  <si>
    <t xml:space="preserve">Car Traffic on other major ferry routes    </t>
  </si>
  <si>
    <t>Commercial Vehicle and Bus Traffic on other major ferry routes</t>
  </si>
  <si>
    <t>Table 9.16c</t>
  </si>
  <si>
    <t xml:space="preserve">Table 9.17:  Reliability and punctuality of lifeline ferry services </t>
  </si>
  <si>
    <t>Table 9.16c: Commercial vehicle and bus traffic on other major ferry routes, thousands</t>
  </si>
  <si>
    <t>Table 9.16b: Car traffic on other major ferry routes, thousands</t>
  </si>
  <si>
    <t>Table 9.18: HM Coastguard search and rescue operations, Scotland</t>
  </si>
  <si>
    <t>Table 9.16a: Passenger traffic on other major ferry routes, thousands</t>
  </si>
  <si>
    <t>Table 9.15b:  Car traffic on subsidised ferry services, thousands</t>
  </si>
  <si>
    <t>Table 9.15(cont):  Commercial vehicles and buses on subsidised ferry services, thousands</t>
  </si>
  <si>
    <t>Table 9.15:  Passenger traffic on subsidised ferry services, thousands</t>
  </si>
  <si>
    <t>Table 9.14b: Shipping services, local authority operators</t>
  </si>
  <si>
    <t>Table 9.14a: Shipping services, operators on subsidised routes</t>
  </si>
  <si>
    <t>Table 9.13b: Vehicle and Passenger Traffic between Scotland and other EU countries, thousands</t>
  </si>
  <si>
    <t>Table 9.13a: Vehicle and passenger traffic between Scotland and Northern Ireland, thousands</t>
  </si>
  <si>
    <t>Table 9.12b: Total vehicles carried by operator, thousands</t>
  </si>
  <si>
    <t>Table 9.12a: Total passengers carried by operator, thousands</t>
  </si>
  <si>
    <t>Table 9.11:  Inland waterway freight traffic lifted and moved in Scotland, by mode of appearance</t>
  </si>
  <si>
    <t>Table 9.10: Inland waterway freight traffic lifted and moved.</t>
  </si>
  <si>
    <t>Table 9.9: Foreign and coastwise container and roll-on traffic by type</t>
  </si>
  <si>
    <t>Table 9.5:  Foreign and domestic freight traffic by port and mode of appearance (major ports only), thousand tonnes</t>
  </si>
  <si>
    <t>Table 9.4: Foreign and domestic freight traffic by port: bulk fuel and all other traffic, thousand tonnes</t>
  </si>
  <si>
    <t>Table 9.3: Foreign and domestic traffic by port: inwards and outwards, thousand tonnes</t>
  </si>
  <si>
    <t>Table 9.2: Foreign and domestic freight traffic at (major) Scottish ports, thousand tonnes</t>
  </si>
  <si>
    <t>Table 9.1d: Waterborne freight moved in Scotland, by type of traffic, million tonne-kilometres</t>
  </si>
  <si>
    <t xml:space="preserve">Table 9.1c: Waterborne freight discharged in Scotland, by type of traffic, million tonnes </t>
  </si>
  <si>
    <t>Table 9.1b: Waterborne freight moved in Scotland, by type of traffic, million tonne-kilometres</t>
  </si>
  <si>
    <t>Table 9.1a: Waterborne freight lifted in Scotland, by type of traffic, million tonnes</t>
  </si>
  <si>
    <t>2021 [note30]</t>
  </si>
  <si>
    <t>Figures for 2020 and 2021 were affected by restrictions due to the COVID 19 pandemic.</t>
  </si>
  <si>
    <t>2021-22</t>
  </si>
  <si>
    <t>2021</t>
  </si>
  <si>
    <t>Table 9.6a: Foreign and domestic freight traffic at the major ports by type of traffic, thousand tonnes, 2020</t>
  </si>
  <si>
    <t>Table 9.6b: Foreign and domestic freight traffic at the major ports by type of traffic, thousand tonnes, 2021</t>
  </si>
  <si>
    <t>Table 9.7: All traffic at the major ports by mode of appearance and commodity, thousand tonnes, 2021</t>
  </si>
  <si>
    <t>(Corran Ferry)</t>
  </si>
  <si>
    <t>Malta</t>
  </si>
  <si>
    <t>Cote Divoire</t>
  </si>
  <si>
    <t>Saudi Arabia</t>
  </si>
  <si>
    <t>Colombia</t>
  </si>
  <si>
    <t>Uruguay</t>
  </si>
  <si>
    <t>Jordan</t>
  </si>
  <si>
    <t>Table 9.8:  Major ports traffic by cargo category and country of loading or unloading, thousand tonnes, 2021</t>
  </si>
  <si>
    <t>Loose freight (calendar year thousands tonnes) [note38]</t>
  </si>
  <si>
    <t xml:space="preserve">Cars carried (thousands) </t>
  </si>
  <si>
    <t>Passengers ( thousands)</t>
  </si>
  <si>
    <t>Commercial vehicles and buses (thousands)</t>
  </si>
  <si>
    <r>
      <t>Other</t>
    </r>
    <r>
      <rPr>
        <vertAlign val="superscript"/>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</si>
</sst>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 #,##0_-;\-* #,##0_-;_-* &quot;-&quot;??_-;_-@_-"/>
    <numFmt numFmtId="165" formatCode="###,###,###,"/>
    <numFmt numFmtId="166" formatCode="_-* #,##0.0_-;\-* #,##0.0_-;_-* &quot;-&quot;??_-;_-@_-"/>
    <numFmt numFmtId="167" formatCode="[=0]\-;[&lt;0.5]\-;#,##0\ "/>
    <numFmt numFmtId="168" formatCode="_-* #,##0.0_-;\-* #,##0.0_-;_-* &quot;-&quot;?_-;_-@_-"/>
    <numFmt numFmtId="169" formatCode="0.0"/>
    <numFmt numFmtId="170" formatCode="#,##0.0"/>
    <numFmt numFmtId="171" formatCode="_-* #,##0.0_-;\-* #,##0.0_-;_-* &quot;-&quot;_-;_-@_-"/>
    <numFmt numFmtId="172" formatCode="###0.0"/>
    <numFmt numFmtId="173" formatCode="_-* #,##0.00_-;\-* #,##0.00_-;_-* &quot;-&quot;_-;_-@_-"/>
    <numFmt numFmtId="174" formatCode="_-* #,##0.00_-;\-* #,##0.00_-;_-* &quot;-&quot;?_-;_-@_-"/>
    <numFmt numFmtId="175" formatCode="#,##0.0_ ;\-#,##0.0\ "/>
    <numFmt numFmtId="176" formatCode="#,##0.000"/>
    <numFmt numFmtId="177" formatCode="#,##0.000_ ;\-#,##0.000\ "/>
    <numFmt numFmtId="178" formatCode="0.000"/>
  </numFmts>
  <fonts count="17" x14ac:knownFonts="1">
    <font>
      <sz val="12"/>
      <color theme="1"/>
      <name val="Arial"/>
      <family val="2"/>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sz val="10"/>
      <name val="Arial"/>
      <family val="2"/>
    </font>
    <font>
      <b/>
      <sz val="12"/>
      <name val="Arial"/>
      <family val="2"/>
      <scheme val="minor"/>
    </font>
    <font>
      <sz val="12"/>
      <name val="Arial"/>
      <family val="2"/>
    </font>
    <font>
      <b/>
      <sz val="12"/>
      <name val="Arial"/>
      <family val="2"/>
    </font>
    <font>
      <sz val="10"/>
      <color indexed="8"/>
      <name val="MS Sans Serif"/>
      <family val="2"/>
    </font>
    <font>
      <vertAlign val="superscript"/>
      <sz val="12"/>
      <name val="Arial"/>
      <family val="2"/>
    </font>
    <font>
      <sz val="8"/>
      <name val="Arial"/>
      <family val="2"/>
    </font>
    <font>
      <b/>
      <sz val="15"/>
      <name val="Arial"/>
      <family val="2"/>
    </font>
  </fonts>
  <fills count="7">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theme="0"/>
        <bgColor indexed="64"/>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7">
    <xf numFmtId="0" fontId="0" fillId="0" borderId="0"/>
    <xf numFmtId="0" fontId="8" fillId="0" borderId="0" applyNumberFormat="0" applyFill="0" applyBorder="0" applyAlignment="0" applyProtection="0"/>
    <xf numFmtId="0" fontId="4" fillId="0" borderId="1" applyNumberFormat="0" applyFill="0" applyAlignment="0" applyProtection="0"/>
    <xf numFmtId="0" fontId="7" fillId="0" borderId="2" applyNumberFormat="0" applyFill="0" applyAlignment="0" applyProtection="0"/>
    <xf numFmtId="0" fontId="6" fillId="0" borderId="3" applyNumberFormat="0" applyFill="0" applyAlignment="0" applyProtection="0"/>
    <xf numFmtId="0" fontId="5" fillId="0" borderId="0" applyNumberFormat="0" applyFill="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43" fontId="2"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13" fillId="0" borderId="0"/>
    <xf numFmtId="0" fontId="13" fillId="0" borderId="0"/>
    <xf numFmtId="0" fontId="9" fillId="0" borderId="0"/>
  </cellStyleXfs>
  <cellXfs count="308">
    <xf numFmtId="0" fontId="0" fillId="0" borderId="0" xfId="0"/>
    <xf numFmtId="0" fontId="10" fillId="0" borderId="0" xfId="2" applyFont="1" applyBorder="1"/>
    <xf numFmtId="0" fontId="11" fillId="0" borderId="0" xfId="11" applyFont="1" applyBorder="1"/>
    <xf numFmtId="0" fontId="11" fillId="0" borderId="0" xfId="11" applyFont="1" applyBorder="1" applyAlignment="1">
      <alignment horizontal="right"/>
    </xf>
    <xf numFmtId="0" fontId="12" fillId="0" borderId="0" xfId="11" applyFont="1" applyBorder="1" applyAlignment="1">
      <alignment horizontal="right" readingOrder="1"/>
    </xf>
    <xf numFmtId="0" fontId="11" fillId="0" borderId="0" xfId="11" applyFont="1"/>
    <xf numFmtId="0" fontId="11" fillId="0" borderId="0" xfId="0" applyFont="1"/>
    <xf numFmtId="0" fontId="11" fillId="0" borderId="0" xfId="0" applyFont="1" applyAlignment="1">
      <alignment horizontal="left"/>
    </xf>
    <xf numFmtId="164" fontId="11" fillId="0" borderId="0" xfId="12" applyNumberFormat="1" applyFont="1" applyFill="1" applyAlignment="1">
      <alignment horizontal="right"/>
    </xf>
    <xf numFmtId="2" fontId="11" fillId="0" borderId="0" xfId="13" applyNumberFormat="1" applyFont="1" applyFill="1" applyBorder="1" applyProtection="1">
      <protection locked="0"/>
    </xf>
    <xf numFmtId="0" fontId="11" fillId="0" borderId="0" xfId="13" applyFont="1" applyProtection="1">
      <protection locked="0"/>
    </xf>
    <xf numFmtId="4" fontId="11" fillId="0" borderId="0" xfId="13" applyNumberFormat="1" applyFont="1" applyFill="1" applyBorder="1" applyProtection="1"/>
    <xf numFmtId="0" fontId="11" fillId="0" borderId="0" xfId="13" applyFont="1" applyBorder="1" applyProtection="1">
      <protection locked="0"/>
    </xf>
    <xf numFmtId="0" fontId="11" fillId="0" borderId="0" xfId="13" applyFont="1" applyFill="1" applyBorder="1" applyAlignment="1" applyProtection="1">
      <alignment horizontal="right"/>
      <protection locked="0"/>
    </xf>
    <xf numFmtId="2" fontId="11" fillId="0" borderId="0" xfId="13" applyNumberFormat="1" applyFont="1" applyFill="1" applyBorder="1" applyAlignment="1" applyProtection="1">
      <alignment horizontal="right"/>
      <protection locked="0"/>
    </xf>
    <xf numFmtId="2" fontId="11" fillId="0" borderId="0" xfId="13" applyNumberFormat="1" applyFont="1" applyBorder="1" applyProtection="1">
      <protection locked="0"/>
    </xf>
    <xf numFmtId="4" fontId="11" fillId="0" borderId="0" xfId="13" applyNumberFormat="1" applyFont="1" applyFill="1" applyBorder="1" applyProtection="1">
      <protection locked="0"/>
    </xf>
    <xf numFmtId="4" fontId="11" fillId="0" borderId="0" xfId="12" applyNumberFormat="1" applyFont="1" applyBorder="1" applyProtection="1">
      <protection locked="0"/>
    </xf>
    <xf numFmtId="4" fontId="11" fillId="0" borderId="0" xfId="13" applyNumberFormat="1" applyFont="1" applyBorder="1" applyProtection="1">
      <protection locked="0"/>
    </xf>
    <xf numFmtId="0" fontId="11" fillId="0" borderId="0" xfId="13" applyFont="1" applyFill="1" applyBorder="1" applyProtection="1">
      <protection locked="0"/>
    </xf>
    <xf numFmtId="41" fontId="11" fillId="0" borderId="0" xfId="12" applyNumberFormat="1" applyFont="1" applyFill="1" applyBorder="1" applyAlignment="1" applyProtection="1">
      <alignment horizontal="right"/>
      <protection locked="0"/>
    </xf>
    <xf numFmtId="41" fontId="11" fillId="0" borderId="0" xfId="12" quotePrefix="1" applyNumberFormat="1" applyFont="1" applyBorder="1" applyAlignment="1" applyProtection="1">
      <alignment horizontal="right"/>
      <protection locked="0"/>
    </xf>
    <xf numFmtId="41" fontId="11" fillId="0" borderId="0" xfId="12" applyNumberFormat="1" applyFont="1" applyFill="1" applyBorder="1" applyAlignment="1" applyProtection="1">
      <protection locked="0"/>
    </xf>
    <xf numFmtId="0" fontId="11" fillId="0" borderId="0" xfId="12" applyNumberFormat="1" applyFont="1" applyFill="1" applyBorder="1" applyAlignment="1" applyProtection="1">
      <alignment horizontal="right"/>
      <protection locked="0"/>
    </xf>
    <xf numFmtId="4" fontId="11" fillId="0" borderId="0" xfId="12" applyNumberFormat="1" applyFont="1" applyFill="1" applyBorder="1" applyProtection="1">
      <protection locked="0"/>
    </xf>
    <xf numFmtId="3" fontId="11" fillId="0" borderId="0" xfId="13" applyNumberFormat="1" applyFont="1" applyFill="1" applyProtection="1">
      <protection locked="0"/>
    </xf>
    <xf numFmtId="164" fontId="11" fillId="0" borderId="0" xfId="12" applyNumberFormat="1" applyFont="1" applyFill="1" applyBorder="1" applyProtection="1">
      <protection locked="0"/>
    </xf>
    <xf numFmtId="3" fontId="11" fillId="0" borderId="0" xfId="13" applyNumberFormat="1" applyFont="1" applyProtection="1">
      <protection locked="0"/>
    </xf>
    <xf numFmtId="3" fontId="11" fillId="0" borderId="0" xfId="12" applyNumberFormat="1" applyFont="1" applyFill="1" applyBorder="1" applyProtection="1">
      <protection locked="0"/>
    </xf>
    <xf numFmtId="3" fontId="11" fillId="0" borderId="0" xfId="12" applyNumberFormat="1" applyFont="1" applyBorder="1" applyProtection="1">
      <protection locked="0"/>
    </xf>
    <xf numFmtId="164" fontId="11" fillId="0" borderId="0" xfId="12" applyNumberFormat="1" applyFont="1" applyBorder="1" applyProtection="1">
      <protection locked="0"/>
    </xf>
    <xf numFmtId="3" fontId="11" fillId="0" borderId="0" xfId="13" applyNumberFormat="1" applyFont="1" applyBorder="1" applyAlignment="1" applyProtection="1">
      <alignment horizontal="right"/>
      <protection locked="0"/>
    </xf>
    <xf numFmtId="3" fontId="11" fillId="0" borderId="0" xfId="12" applyNumberFormat="1" applyFont="1" applyBorder="1" applyAlignment="1" applyProtection="1">
      <alignment horizontal="right"/>
      <protection locked="0"/>
    </xf>
    <xf numFmtId="3" fontId="11" fillId="0" borderId="0" xfId="13" applyNumberFormat="1" applyFont="1" applyFill="1" applyBorder="1" applyProtection="1">
      <protection locked="0"/>
    </xf>
    <xf numFmtId="3" fontId="11" fillId="0" borderId="0" xfId="13" applyNumberFormat="1" applyFont="1" applyBorder="1" applyProtection="1">
      <protection locked="0"/>
    </xf>
    <xf numFmtId="3" fontId="11" fillId="0" borderId="0" xfId="13" applyNumberFormat="1" applyFont="1" applyFill="1" applyBorder="1" applyAlignment="1" applyProtection="1">
      <alignment horizontal="right"/>
      <protection locked="0"/>
    </xf>
    <xf numFmtId="1" fontId="11" fillId="0" borderId="0" xfId="13" applyNumberFormat="1" applyFont="1" applyFill="1" applyBorder="1" applyAlignment="1" applyProtection="1">
      <alignment horizontal="right"/>
      <protection locked="0"/>
    </xf>
    <xf numFmtId="164" fontId="11" fillId="0" borderId="0" xfId="12" applyNumberFormat="1" applyFont="1" applyFill="1" applyBorder="1" applyAlignment="1" applyProtection="1">
      <alignment horizontal="right"/>
      <protection locked="0"/>
    </xf>
    <xf numFmtId="3" fontId="11" fillId="0" borderId="0" xfId="13" quotePrefix="1" applyNumberFormat="1" applyFont="1" applyFill="1" applyBorder="1" applyAlignment="1" applyProtection="1">
      <alignment horizontal="right"/>
      <protection locked="0"/>
    </xf>
    <xf numFmtId="1" fontId="11" fillId="0" borderId="0" xfId="13" applyNumberFormat="1" applyFont="1" applyBorder="1" applyProtection="1">
      <protection locked="0"/>
    </xf>
    <xf numFmtId="3" fontId="11" fillId="0" borderId="0" xfId="12" applyNumberFormat="1" applyFont="1" applyFill="1" applyBorder="1" applyProtection="1"/>
    <xf numFmtId="41" fontId="11" fillId="0" borderId="0" xfId="13" applyNumberFormat="1" applyFont="1" applyFill="1" applyBorder="1" applyAlignment="1" applyProtection="1">
      <alignment horizontal="right"/>
      <protection locked="0"/>
    </xf>
    <xf numFmtId="1" fontId="11" fillId="0" borderId="0" xfId="13" applyNumberFormat="1" applyFont="1" applyFill="1" applyBorder="1" applyProtection="1">
      <protection locked="0"/>
    </xf>
    <xf numFmtId="3" fontId="11" fillId="0" borderId="0" xfId="12" applyNumberFormat="1" applyFont="1" applyFill="1" applyBorder="1" applyAlignment="1" applyProtection="1">
      <alignment horizontal="right"/>
      <protection locked="0"/>
    </xf>
    <xf numFmtId="3" fontId="11" fillId="0" borderId="4" xfId="13" applyNumberFormat="1" applyFont="1" applyFill="1" applyBorder="1" applyProtection="1">
      <protection locked="0"/>
    </xf>
    <xf numFmtId="0" fontId="11" fillId="0" borderId="4" xfId="13" applyFont="1" applyBorder="1" applyProtection="1">
      <protection locked="0"/>
    </xf>
    <xf numFmtId="165" fontId="11" fillId="0" borderId="0" xfId="13" applyNumberFormat="1" applyFont="1"/>
    <xf numFmtId="3" fontId="11" fillId="0" borderId="0" xfId="13" applyNumberFormat="1" applyFont="1"/>
    <xf numFmtId="41" fontId="11" fillId="0" borderId="0" xfId="13" applyNumberFormat="1" applyFont="1" applyFill="1" applyProtection="1">
      <protection locked="0"/>
    </xf>
    <xf numFmtId="41" fontId="11" fillId="0" borderId="0" xfId="13" applyNumberFormat="1" applyFont="1" applyProtection="1">
      <protection locked="0"/>
    </xf>
    <xf numFmtId="3" fontId="11" fillId="0" borderId="5" xfId="13" applyNumberFormat="1" applyFont="1" applyFill="1" applyBorder="1" applyProtection="1">
      <protection locked="0"/>
    </xf>
    <xf numFmtId="164" fontId="11" fillId="0" borderId="0" xfId="12" applyNumberFormat="1" applyFont="1" applyProtection="1">
      <protection locked="0"/>
    </xf>
    <xf numFmtId="164" fontId="11" fillId="0" borderId="0" xfId="13" applyNumberFormat="1" applyFont="1" applyProtection="1">
      <protection locked="0"/>
    </xf>
    <xf numFmtId="165" fontId="11" fillId="0" borderId="0" xfId="13" applyNumberFormat="1" applyFont="1" applyAlignment="1">
      <alignment horizontal="right"/>
    </xf>
    <xf numFmtId="43" fontId="11" fillId="0" borderId="0" xfId="13" applyNumberFormat="1" applyFont="1" applyAlignment="1">
      <alignment horizontal="right"/>
    </xf>
    <xf numFmtId="43" fontId="11" fillId="0" borderId="0" xfId="13" applyNumberFormat="1" applyFont="1" applyFill="1" applyAlignment="1">
      <alignment horizontal="right"/>
    </xf>
    <xf numFmtId="3" fontId="11" fillId="0" borderId="0" xfId="13" applyNumberFormat="1" applyFont="1" applyFill="1" applyAlignment="1" applyProtection="1">
      <alignment horizontal="right"/>
      <protection locked="0"/>
    </xf>
    <xf numFmtId="3" fontId="11" fillId="0" borderId="0" xfId="13" quotePrefix="1" applyNumberFormat="1" applyFont="1" applyFill="1" applyAlignment="1" applyProtection="1">
      <alignment horizontal="right"/>
      <protection locked="0"/>
    </xf>
    <xf numFmtId="41" fontId="11" fillId="0" borderId="0" xfId="13" applyNumberFormat="1" applyFont="1" applyFill="1" applyAlignment="1" applyProtection="1">
      <alignment horizontal="right"/>
      <protection locked="0"/>
    </xf>
    <xf numFmtId="3" fontId="11" fillId="0" borderId="0" xfId="13" applyNumberFormat="1" applyFont="1" applyFill="1"/>
    <xf numFmtId="3" fontId="11" fillId="0" borderId="5" xfId="13" applyNumberFormat="1" applyFont="1" applyFill="1" applyBorder="1"/>
    <xf numFmtId="164" fontId="11" fillId="0" borderId="0" xfId="12" applyNumberFormat="1" applyFont="1" applyFill="1" applyAlignment="1" applyProtection="1">
      <alignment horizontal="right"/>
      <protection locked="0"/>
    </xf>
    <xf numFmtId="164" fontId="11" fillId="0" borderId="0" xfId="12" applyNumberFormat="1" applyFont="1"/>
    <xf numFmtId="0" fontId="11" fillId="0" borderId="0" xfId="13" applyFont="1"/>
    <xf numFmtId="164" fontId="11" fillId="0" borderId="0" xfId="12" applyNumberFormat="1" applyFont="1" applyBorder="1"/>
    <xf numFmtId="0" fontId="11" fillId="0" borderId="0" xfId="13" applyFont="1" applyFill="1"/>
    <xf numFmtId="164" fontId="11" fillId="0" borderId="0" xfId="12" quotePrefix="1" applyNumberFormat="1" applyFont="1" applyFill="1" applyAlignment="1" applyProtection="1">
      <alignment horizontal="right"/>
      <protection locked="0"/>
    </xf>
    <xf numFmtId="0" fontId="11" fillId="0" borderId="0" xfId="13" applyFont="1" applyBorder="1"/>
    <xf numFmtId="0" fontId="11" fillId="0" borderId="0" xfId="13" applyFont="1" applyAlignment="1">
      <alignment horizontal="left"/>
    </xf>
    <xf numFmtId="3" fontId="11" fillId="0" borderId="0" xfId="13" applyNumberFormat="1" applyFont="1" applyBorder="1" applyAlignment="1">
      <alignment horizontal="right"/>
    </xf>
    <xf numFmtId="3" fontId="11" fillId="0" borderId="0" xfId="13" applyNumberFormat="1" applyFont="1" applyFill="1" applyBorder="1" applyAlignment="1">
      <alignment horizontal="right"/>
    </xf>
    <xf numFmtId="3" fontId="11" fillId="0" borderId="0" xfId="13" applyNumberFormat="1" applyFont="1" applyFill="1" applyBorder="1"/>
    <xf numFmtId="0" fontId="11" fillId="0" borderId="4" xfId="13" applyFont="1" applyBorder="1"/>
    <xf numFmtId="3" fontId="11" fillId="0" borderId="0" xfId="13" applyNumberFormat="1" applyFont="1" applyBorder="1"/>
    <xf numFmtId="0" fontId="11" fillId="0" borderId="0" xfId="13" applyFont="1" applyFill="1" applyBorder="1"/>
    <xf numFmtId="3" fontId="11" fillId="0" borderId="0" xfId="13" quotePrefix="1" applyNumberFormat="1" applyFont="1" applyBorder="1" applyAlignment="1">
      <alignment horizontal="right"/>
    </xf>
    <xf numFmtId="166" fontId="11" fillId="0" borderId="0" xfId="12" applyNumberFormat="1" applyFont="1" applyFill="1" applyBorder="1" applyAlignment="1" applyProtection="1">
      <alignment horizontal="right"/>
      <protection locked="0"/>
    </xf>
    <xf numFmtId="1" fontId="11" fillId="0" borderId="0" xfId="13" applyNumberFormat="1" applyFont="1" applyBorder="1"/>
    <xf numFmtId="1" fontId="11" fillId="0" borderId="0" xfId="13" applyNumberFormat="1" applyFont="1" applyFill="1" applyBorder="1"/>
    <xf numFmtId="1" fontId="11" fillId="0" borderId="0" xfId="12" applyNumberFormat="1" applyFont="1" applyFill="1" applyBorder="1" applyAlignment="1" applyProtection="1">
      <alignment horizontal="right"/>
      <protection locked="0"/>
    </xf>
    <xf numFmtId="0" fontId="11" fillId="0" borderId="0" xfId="13" applyFont="1" applyBorder="1" applyAlignment="1">
      <alignment horizontal="right"/>
    </xf>
    <xf numFmtId="0" fontId="11" fillId="0" borderId="0" xfId="13" applyFont="1" applyFill="1" applyBorder="1" applyAlignment="1">
      <alignment horizontal="right"/>
    </xf>
    <xf numFmtId="1" fontId="11" fillId="0" borderId="0" xfId="13" applyNumberFormat="1" applyFont="1" applyFill="1" applyBorder="1" applyAlignment="1">
      <alignment horizontal="right"/>
    </xf>
    <xf numFmtId="164" fontId="11" fillId="0" borderId="0" xfId="12" applyNumberFormat="1" applyFont="1" applyFill="1" applyBorder="1" applyAlignment="1" applyProtection="1">
      <alignment horizontal="right"/>
    </xf>
    <xf numFmtId="0" fontId="11" fillId="0" borderId="0" xfId="15" applyFont="1" applyFill="1" applyBorder="1" applyAlignment="1">
      <alignment horizontal="left"/>
    </xf>
    <xf numFmtId="0" fontId="11" fillId="0" borderId="0" xfId="11" applyFont="1" applyFill="1" applyBorder="1"/>
    <xf numFmtId="0" fontId="11" fillId="0" borderId="4" xfId="11" applyFont="1" applyBorder="1"/>
    <xf numFmtId="0" fontId="11" fillId="0" borderId="0" xfId="13" applyFont="1" applyFill="1" applyProtection="1">
      <protection locked="0"/>
    </xf>
    <xf numFmtId="1" fontId="11" fillId="0" borderId="0" xfId="13" applyNumberFormat="1" applyFont="1" applyFill="1" applyProtection="1">
      <protection locked="0"/>
    </xf>
    <xf numFmtId="0" fontId="11" fillId="0" borderId="0" xfId="13" applyFont="1" applyFill="1" applyAlignment="1" applyProtection="1">
      <alignment horizontal="right"/>
      <protection locked="0"/>
    </xf>
    <xf numFmtId="3" fontId="11" fillId="0" borderId="0" xfId="12" applyNumberFormat="1" applyFont="1" applyFill="1" applyProtection="1">
      <protection locked="0"/>
    </xf>
    <xf numFmtId="0" fontId="11" fillId="0" borderId="4" xfId="13" applyFont="1" applyFill="1" applyBorder="1" applyAlignment="1" applyProtection="1">
      <alignment horizontal="right"/>
      <protection locked="0"/>
    </xf>
    <xf numFmtId="2" fontId="11" fillId="0" borderId="0" xfId="13" applyNumberFormat="1" applyFont="1" applyProtection="1">
      <protection locked="0"/>
    </xf>
    <xf numFmtId="2" fontId="11" fillId="0" borderId="0" xfId="13" applyNumberFormat="1" applyFont="1" applyFill="1" applyProtection="1">
      <protection locked="0"/>
    </xf>
    <xf numFmtId="2" fontId="11" fillId="0" borderId="0" xfId="13" applyNumberFormat="1" applyFont="1" applyFill="1" applyAlignment="1" applyProtection="1">
      <alignment horizontal="right"/>
      <protection locked="0"/>
    </xf>
    <xf numFmtId="0" fontId="11" fillId="0" borderId="4" xfId="13" applyFont="1" applyFill="1" applyBorder="1" applyProtection="1">
      <protection locked="0"/>
    </xf>
    <xf numFmtId="1" fontId="11" fillId="0" borderId="4" xfId="13" applyNumberFormat="1" applyFont="1" applyFill="1" applyBorder="1" applyProtection="1">
      <protection locked="0"/>
    </xf>
    <xf numFmtId="0" fontId="11" fillId="0" borderId="0" xfId="13" applyNumberFormat="1" applyFont="1" applyFill="1" applyProtection="1">
      <protection locked="0"/>
    </xf>
    <xf numFmtId="2" fontId="11" fillId="0" borderId="0" xfId="13" applyNumberFormat="1" applyFont="1" applyAlignment="1" applyProtection="1">
      <alignment horizontal="right"/>
      <protection locked="0"/>
    </xf>
    <xf numFmtId="0" fontId="11" fillId="0" borderId="0" xfId="13" applyFont="1" applyAlignment="1" applyProtection="1">
      <alignment horizontal="right"/>
      <protection locked="0"/>
    </xf>
    <xf numFmtId="1" fontId="11" fillId="0" borderId="0" xfId="13" quotePrefix="1" applyNumberFormat="1" applyFont="1" applyFill="1" applyAlignment="1" applyProtection="1">
      <alignment horizontal="right"/>
      <protection locked="0"/>
    </xf>
    <xf numFmtId="1" fontId="11" fillId="0" borderId="0" xfId="13" applyNumberFormat="1" applyFont="1" applyFill="1" applyAlignment="1" applyProtection="1">
      <alignment horizontal="right"/>
      <protection locked="0"/>
    </xf>
    <xf numFmtId="166" fontId="11" fillId="0" borderId="0" xfId="12" quotePrefix="1" applyNumberFormat="1" applyFont="1" applyAlignment="1" applyProtection="1">
      <alignment horizontal="right"/>
      <protection locked="0"/>
    </xf>
    <xf numFmtId="0" fontId="11" fillId="0" borderId="0" xfId="13" quotePrefix="1" applyFont="1" applyFill="1" applyAlignment="1" applyProtection="1">
      <alignment horizontal="right"/>
      <protection locked="0"/>
    </xf>
    <xf numFmtId="1" fontId="11" fillId="0" borderId="0" xfId="13" applyNumberFormat="1" applyFont="1" applyAlignment="1" applyProtection="1">
      <alignment horizontal="right"/>
      <protection locked="0"/>
    </xf>
    <xf numFmtId="0" fontId="11" fillId="0" borderId="7" xfId="13" applyFont="1" applyFill="1" applyBorder="1" applyProtection="1">
      <protection locked="0"/>
    </xf>
    <xf numFmtId="0" fontId="11" fillId="0" borderId="0" xfId="11" applyFont="1" applyBorder="1" applyProtection="1">
      <protection locked="0"/>
    </xf>
    <xf numFmtId="0" fontId="11" fillId="0" borderId="0" xfId="11" applyFont="1" applyFill="1" applyBorder="1" applyProtection="1">
      <protection locked="0"/>
    </xf>
    <xf numFmtId="0" fontId="11" fillId="0" borderId="0" xfId="11" applyFont="1" applyFill="1" applyProtection="1">
      <protection locked="0"/>
    </xf>
    <xf numFmtId="3" fontId="11" fillId="0" borderId="0" xfId="11" applyNumberFormat="1" applyFont="1" applyFill="1" applyBorder="1" applyProtection="1">
      <protection locked="0"/>
    </xf>
    <xf numFmtId="3" fontId="11" fillId="0" borderId="0" xfId="11" applyNumberFormat="1" applyFont="1" applyFill="1" applyBorder="1" applyAlignment="1" applyProtection="1">
      <alignment horizontal="right"/>
      <protection locked="0"/>
    </xf>
    <xf numFmtId="1" fontId="11" fillId="0" borderId="0" xfId="11" applyNumberFormat="1" applyFont="1" applyFill="1" applyProtection="1">
      <protection locked="0"/>
    </xf>
    <xf numFmtId="3" fontId="11" fillId="0" borderId="0" xfId="11" applyNumberFormat="1" applyFont="1" applyFill="1" applyProtection="1">
      <protection locked="0"/>
    </xf>
    <xf numFmtId="41" fontId="11" fillId="0" borderId="0" xfId="11" applyNumberFormat="1" applyFont="1" applyFill="1" applyBorder="1" applyAlignment="1" applyProtection="1">
      <alignment horizontal="right"/>
      <protection locked="0"/>
    </xf>
    <xf numFmtId="1" fontId="11" fillId="0" borderId="0" xfId="11" applyNumberFormat="1" applyFont="1" applyFill="1" applyAlignment="1" applyProtection="1">
      <alignment horizontal="right"/>
      <protection locked="0"/>
    </xf>
    <xf numFmtId="3" fontId="11" fillId="0" borderId="0" xfId="11" applyNumberFormat="1" applyFont="1"/>
    <xf numFmtId="3" fontId="11" fillId="0" borderId="0" xfId="11" applyNumberFormat="1" applyFont="1" applyFill="1"/>
    <xf numFmtId="0" fontId="11" fillId="0" borderId="0" xfId="11" applyFont="1" applyFill="1"/>
    <xf numFmtId="169" fontId="11" fillId="0" borderId="0" xfId="11" applyNumberFormat="1" applyFont="1" applyFill="1"/>
    <xf numFmtId="169" fontId="11" fillId="0" borderId="0" xfId="11" applyNumberFormat="1" applyFont="1"/>
    <xf numFmtId="41" fontId="11" fillId="0" borderId="0" xfId="11" applyNumberFormat="1" applyFont="1" applyFill="1" applyAlignment="1">
      <alignment horizontal="right"/>
    </xf>
    <xf numFmtId="169" fontId="11" fillId="0" borderId="0" xfId="11" applyNumberFormat="1" applyFont="1" applyBorder="1"/>
    <xf numFmtId="169" fontId="11" fillId="0" borderId="0" xfId="11" applyNumberFormat="1" applyFont="1" applyFill="1" applyBorder="1" applyAlignment="1">
      <alignment horizontal="right"/>
    </xf>
    <xf numFmtId="3" fontId="11" fillId="0" borderId="0" xfId="11" applyNumberFormat="1" applyFont="1" applyBorder="1"/>
    <xf numFmtId="3" fontId="11" fillId="0" borderId="0" xfId="11" applyNumberFormat="1" applyFont="1" applyFill="1" applyBorder="1" applyAlignment="1">
      <alignment horizontal="right"/>
    </xf>
    <xf numFmtId="3" fontId="11" fillId="0" borderId="0" xfId="11" applyNumberFormat="1" applyFont="1" applyFill="1" applyAlignment="1">
      <alignment horizontal="right"/>
    </xf>
    <xf numFmtId="0" fontId="11" fillId="0" borderId="0" xfId="11" applyFont="1" applyFill="1" applyAlignment="1">
      <alignment horizontal="right"/>
    </xf>
    <xf numFmtId="3" fontId="11" fillId="0" borderId="0" xfId="11" applyNumberFormat="1" applyFont="1" applyBorder="1" applyAlignment="1">
      <alignment horizontal="right"/>
    </xf>
    <xf numFmtId="170" fontId="11" fillId="0" borderId="0" xfId="11" applyNumberFormat="1" applyFont="1" applyFill="1" applyBorder="1"/>
    <xf numFmtId="170" fontId="11" fillId="0" borderId="0" xfId="11" applyNumberFormat="1" applyFont="1" applyFill="1" applyBorder="1" applyAlignment="1">
      <alignment horizontal="right"/>
    </xf>
    <xf numFmtId="170" fontId="11" fillId="0" borderId="0" xfId="11" applyNumberFormat="1" applyFont="1" applyFill="1" applyAlignment="1">
      <alignment horizontal="right"/>
    </xf>
    <xf numFmtId="164" fontId="11" fillId="0" borderId="0" xfId="12" applyNumberFormat="1" applyFont="1" applyAlignment="1">
      <alignment horizontal="right"/>
    </xf>
    <xf numFmtId="3" fontId="11" fillId="0" borderId="0" xfId="11" applyNumberFormat="1" applyFont="1" applyAlignment="1">
      <alignment horizontal="right"/>
    </xf>
    <xf numFmtId="1" fontId="11" fillId="0" borderId="0" xfId="11" applyNumberFormat="1" applyFont="1" applyFill="1"/>
    <xf numFmtId="1" fontId="11" fillId="0" borderId="0" xfId="11" applyNumberFormat="1" applyFont="1" applyFill="1" applyBorder="1"/>
    <xf numFmtId="1" fontId="11" fillId="0" borderId="0" xfId="11" applyNumberFormat="1" applyFont="1" applyBorder="1"/>
    <xf numFmtId="1" fontId="11" fillId="0" borderId="0" xfId="11" applyNumberFormat="1" applyFont="1"/>
    <xf numFmtId="1" fontId="11" fillId="0" borderId="0" xfId="11" applyNumberFormat="1" applyFont="1" applyFill="1" applyAlignment="1">
      <alignment horizontal="right"/>
    </xf>
    <xf numFmtId="1" fontId="11" fillId="0" borderId="0" xfId="11" applyNumberFormat="1" applyFont="1" applyFill="1" applyBorder="1" applyAlignment="1">
      <alignment horizontal="right"/>
    </xf>
    <xf numFmtId="3" fontId="11" fillId="6" borderId="0" xfId="11" applyNumberFormat="1" applyFont="1" applyFill="1"/>
    <xf numFmtId="0" fontId="11" fillId="0" borderId="0" xfId="11" applyFont="1" applyAlignment="1">
      <alignment horizontal="right"/>
    </xf>
    <xf numFmtId="170" fontId="11" fillId="0" borderId="0" xfId="11" applyNumberFormat="1" applyFont="1" applyFill="1"/>
    <xf numFmtId="0" fontId="11" fillId="0" borderId="0" xfId="11" applyFont="1" applyFill="1" applyBorder="1" applyAlignment="1">
      <alignment horizontal="right"/>
    </xf>
    <xf numFmtId="3" fontId="11" fillId="0" borderId="0" xfId="11" applyNumberFormat="1" applyFont="1" applyFill="1" applyBorder="1"/>
    <xf numFmtId="169" fontId="11" fillId="0" borderId="0" xfId="11" applyNumberFormat="1" applyFont="1" applyFill="1" applyAlignment="1">
      <alignment horizontal="right"/>
    </xf>
    <xf numFmtId="0" fontId="11" fillId="0" borderId="0" xfId="11" applyFont="1" applyBorder="1" applyAlignment="1">
      <alignment horizontal="left"/>
    </xf>
    <xf numFmtId="170" fontId="11" fillId="0" borderId="0" xfId="11" applyNumberFormat="1" applyFont="1" applyBorder="1" applyAlignment="1">
      <alignment horizontal="right"/>
    </xf>
    <xf numFmtId="169" fontId="11" fillId="0" borderId="0" xfId="11" applyNumberFormat="1" applyFont="1" applyAlignment="1">
      <alignment horizontal="right"/>
    </xf>
    <xf numFmtId="170" fontId="11" fillId="0" borderId="0" xfId="11" applyNumberFormat="1" applyFont="1" applyAlignment="1">
      <alignment horizontal="right"/>
    </xf>
    <xf numFmtId="169" fontId="11" fillId="0" borderId="0" xfId="11" applyNumberFormat="1" applyFont="1" applyBorder="1" applyAlignment="1">
      <alignment horizontal="right"/>
    </xf>
    <xf numFmtId="170" fontId="11" fillId="0" borderId="6" xfId="11" applyNumberFormat="1" applyFont="1" applyBorder="1" applyAlignment="1">
      <alignment horizontal="right"/>
    </xf>
    <xf numFmtId="0" fontId="11" fillId="0" borderId="0" xfId="11" applyFont="1" applyBorder="1" applyAlignment="1"/>
    <xf numFmtId="170" fontId="11" fillId="0" borderId="0" xfId="11" quotePrefix="1" applyNumberFormat="1" applyFont="1" applyBorder="1" applyAlignment="1">
      <alignment horizontal="right"/>
    </xf>
    <xf numFmtId="168" fontId="11" fillId="0" borderId="0" xfId="11" quotePrefix="1" applyNumberFormat="1" applyFont="1" applyBorder="1" applyAlignment="1">
      <alignment horizontal="right"/>
    </xf>
    <xf numFmtId="168" fontId="11" fillId="0" borderId="0" xfId="11" quotePrefix="1" applyNumberFormat="1" applyFont="1" applyFill="1" applyBorder="1" applyAlignment="1">
      <alignment horizontal="right"/>
    </xf>
    <xf numFmtId="41" fontId="11" fillId="0" borderId="0" xfId="11" applyNumberFormat="1" applyFont="1" applyAlignment="1">
      <alignment horizontal="right"/>
    </xf>
    <xf numFmtId="171" fontId="11" fillId="0" borderId="0" xfId="11" applyNumberFormat="1" applyFont="1" applyAlignment="1">
      <alignment horizontal="right"/>
    </xf>
    <xf numFmtId="169" fontId="11" fillId="0" borderId="5" xfId="11" applyNumberFormat="1" applyFont="1" applyBorder="1"/>
    <xf numFmtId="169" fontId="11" fillId="0" borderId="0" xfId="11" quotePrefix="1" applyNumberFormat="1" applyFont="1" applyFill="1" applyBorder="1" applyAlignment="1">
      <alignment horizontal="right"/>
    </xf>
    <xf numFmtId="172" fontId="11" fillId="0" borderId="0" xfId="11" applyNumberFormat="1" applyFont="1" applyAlignment="1">
      <alignment horizontal="right"/>
    </xf>
    <xf numFmtId="172" fontId="11" fillId="0" borderId="0" xfId="11" applyNumberFormat="1" applyFont="1" applyFill="1" applyAlignment="1">
      <alignment horizontal="right"/>
    </xf>
    <xf numFmtId="0" fontId="11" fillId="0" borderId="0" xfId="11" applyFont="1" applyFill="1" applyAlignment="1" applyProtection="1">
      <alignment horizontal="left"/>
      <protection locked="0"/>
    </xf>
    <xf numFmtId="0" fontId="11" fillId="0" borderId="0" xfId="11" applyFont="1" applyAlignment="1"/>
    <xf numFmtId="0" fontId="11" fillId="0" borderId="0" xfId="11" applyFont="1" applyFill="1" applyBorder="1" applyAlignment="1"/>
    <xf numFmtId="168" fontId="11" fillId="0" borderId="0" xfId="11" applyNumberFormat="1" applyFont="1" applyFill="1" applyAlignment="1">
      <alignment horizontal="right"/>
    </xf>
    <xf numFmtId="168" fontId="11" fillId="0" borderId="0" xfId="11" applyNumberFormat="1" applyFont="1" applyAlignment="1">
      <alignment horizontal="right"/>
    </xf>
    <xf numFmtId="170" fontId="11" fillId="0" borderId="0" xfId="11" quotePrefix="1" applyNumberFormat="1" applyFont="1" applyFill="1" applyBorder="1" applyAlignment="1">
      <alignment horizontal="right"/>
    </xf>
    <xf numFmtId="168" fontId="11" fillId="0" borderId="0" xfId="11" applyNumberFormat="1" applyFont="1" applyBorder="1" applyAlignment="1">
      <alignment horizontal="right"/>
    </xf>
    <xf numFmtId="173" fontId="11" fillId="0" borderId="0" xfId="11" applyNumberFormat="1" applyFont="1" applyFill="1"/>
    <xf numFmtId="174" fontId="11" fillId="0" borderId="0" xfId="11" applyNumberFormat="1" applyFont="1" applyFill="1" applyAlignment="1">
      <alignment horizontal="right"/>
    </xf>
    <xf numFmtId="169" fontId="11" fillId="0" borderId="6" xfId="11" applyNumberFormat="1" applyFont="1" applyFill="1" applyBorder="1" applyAlignment="1">
      <alignment horizontal="right"/>
    </xf>
    <xf numFmtId="0" fontId="11" fillId="0" borderId="6" xfId="11" applyFont="1" applyFill="1" applyBorder="1" applyAlignment="1">
      <alignment horizontal="right"/>
    </xf>
    <xf numFmtId="3" fontId="11" fillId="0" borderId="0" xfId="16" applyNumberFormat="1" applyFont="1" applyFill="1"/>
    <xf numFmtId="170" fontId="11" fillId="0" borderId="0" xfId="13" applyNumberFormat="1" applyFont="1" applyBorder="1"/>
    <xf numFmtId="169" fontId="11" fillId="0" borderId="0" xfId="13" applyNumberFormat="1" applyFont="1" applyFill="1"/>
    <xf numFmtId="0" fontId="11" fillId="0" borderId="0" xfId="16" applyFont="1" applyFill="1"/>
    <xf numFmtId="170" fontId="11" fillId="0" borderId="0" xfId="13" applyNumberFormat="1" applyFont="1" applyFill="1" applyBorder="1"/>
    <xf numFmtId="169" fontId="11" fillId="0" borderId="0" xfId="13" applyNumberFormat="1" applyFont="1"/>
    <xf numFmtId="1" fontId="11" fillId="0" borderId="0" xfId="13" applyNumberFormat="1" applyFont="1" applyFill="1"/>
    <xf numFmtId="164" fontId="11" fillId="0" borderId="0" xfId="12" applyNumberFormat="1" applyFont="1" applyBorder="1" applyAlignment="1">
      <alignment horizontal="right" wrapText="1"/>
    </xf>
    <xf numFmtId="164" fontId="11" fillId="0" borderId="0" xfId="12" applyNumberFormat="1" applyFont="1" applyFill="1" applyBorder="1" applyAlignment="1">
      <alignment horizontal="right" wrapText="1"/>
    </xf>
    <xf numFmtId="170" fontId="11" fillId="0" borderId="0" xfId="11" applyNumberFormat="1" applyFont="1" applyBorder="1"/>
    <xf numFmtId="170" fontId="11" fillId="0" borderId="0" xfId="11" applyNumberFormat="1" applyFont="1"/>
    <xf numFmtId="170" fontId="11" fillId="0" borderId="0" xfId="11" applyNumberFormat="1" applyFont="1" applyBorder="1" applyAlignment="1">
      <alignment wrapText="1"/>
    </xf>
    <xf numFmtId="170" fontId="11" fillId="0" borderId="0" xfId="11" applyNumberFormat="1" applyFont="1" applyFill="1" applyBorder="1" applyAlignment="1">
      <alignment wrapText="1"/>
    </xf>
    <xf numFmtId="175" fontId="11" fillId="0" borderId="0" xfId="12" applyNumberFormat="1" applyFont="1" applyFill="1" applyBorder="1" applyAlignment="1">
      <alignment wrapText="1"/>
    </xf>
    <xf numFmtId="166" fontId="11" fillId="0" borderId="0" xfId="12" applyNumberFormat="1" applyFont="1" applyFill="1" applyBorder="1" applyAlignment="1">
      <alignment wrapText="1"/>
    </xf>
    <xf numFmtId="0" fontId="11" fillId="0" borderId="0" xfId="11" applyFont="1" applyBorder="1" applyAlignment="1">
      <alignment wrapText="1"/>
    </xf>
    <xf numFmtId="168" fontId="11" fillId="0" borderId="0" xfId="11" applyNumberFormat="1" applyFont="1" applyFill="1" applyBorder="1" applyAlignment="1">
      <alignment horizontal="right" wrapText="1"/>
    </xf>
    <xf numFmtId="170" fontId="11" fillId="0" borderId="0" xfId="11" applyNumberFormat="1" applyFont="1" applyBorder="1" applyAlignment="1">
      <alignment horizontal="right" wrapText="1"/>
    </xf>
    <xf numFmtId="169" fontId="11" fillId="0" borderId="0" xfId="11" applyNumberFormat="1" applyFont="1" applyBorder="1" applyAlignment="1">
      <alignment wrapText="1"/>
    </xf>
    <xf numFmtId="169" fontId="11" fillId="0" borderId="0" xfId="11" applyNumberFormat="1" applyFont="1" applyFill="1" applyBorder="1" applyAlignment="1">
      <alignment wrapText="1"/>
    </xf>
    <xf numFmtId="41" fontId="11" fillId="0" borderId="0" xfId="11" applyNumberFormat="1" applyFont="1" applyBorder="1" applyAlignment="1">
      <alignment horizontal="right" wrapText="1"/>
    </xf>
    <xf numFmtId="0" fontId="11" fillId="0" borderId="0" xfId="11" applyFont="1" applyFill="1" applyBorder="1" applyAlignment="1">
      <alignment wrapText="1"/>
    </xf>
    <xf numFmtId="171" fontId="11" fillId="0" borderId="0" xfId="11" applyNumberFormat="1" applyFont="1" applyBorder="1" applyAlignment="1">
      <alignment horizontal="right" wrapText="1"/>
    </xf>
    <xf numFmtId="170" fontId="11" fillId="0" borderId="0" xfId="11" applyNumberFormat="1" applyFont="1" applyFill="1" applyBorder="1" applyAlignment="1">
      <alignment horizontal="right" wrapText="1"/>
    </xf>
    <xf numFmtId="0" fontId="9" fillId="0" borderId="0" xfId="11" applyFont="1" applyBorder="1" applyAlignment="1">
      <alignment wrapText="1"/>
    </xf>
    <xf numFmtId="41" fontId="11" fillId="0" borderId="0" xfId="11" applyNumberFormat="1" applyFont="1" applyBorder="1" applyAlignment="1">
      <alignment wrapText="1"/>
    </xf>
    <xf numFmtId="0" fontId="11" fillId="0" borderId="0" xfId="11" applyFont="1" applyFill="1" applyBorder="1" applyAlignment="1" applyProtection="1">
      <alignment wrapText="1"/>
      <protection locked="0"/>
    </xf>
    <xf numFmtId="0" fontId="11" fillId="0" borderId="0" xfId="11" applyFont="1" applyFill="1" applyBorder="1" applyAlignment="1">
      <alignment horizontal="right" wrapText="1"/>
    </xf>
    <xf numFmtId="169" fontId="11" fillId="0" borderId="0" xfId="11" applyNumberFormat="1" applyFont="1" applyFill="1" applyBorder="1" applyAlignment="1">
      <alignment horizontal="right" wrapText="1"/>
    </xf>
    <xf numFmtId="0" fontId="11" fillId="0" borderId="0" xfId="11" applyFont="1" applyFill="1" applyAlignment="1">
      <alignment wrapText="1"/>
    </xf>
    <xf numFmtId="0" fontId="11" fillId="0" borderId="0" xfId="11" applyFont="1" applyAlignment="1">
      <alignment wrapText="1"/>
    </xf>
    <xf numFmtId="169" fontId="11" fillId="0" borderId="0" xfId="11" applyNumberFormat="1" applyFont="1" applyFill="1" applyAlignment="1">
      <alignment wrapText="1"/>
    </xf>
    <xf numFmtId="169" fontId="11" fillId="0" borderId="0" xfId="11" applyNumberFormat="1" applyFont="1" applyAlignment="1">
      <alignment wrapText="1"/>
    </xf>
    <xf numFmtId="168" fontId="11" fillId="0" borderId="0" xfId="11" applyNumberFormat="1" applyFont="1" applyFill="1" applyAlignment="1">
      <alignment horizontal="right" wrapText="1"/>
    </xf>
    <xf numFmtId="169" fontId="11" fillId="0" borderId="0" xfId="11" applyNumberFormat="1" applyFont="1" applyFill="1" applyAlignment="1">
      <alignment horizontal="right" wrapText="1"/>
    </xf>
    <xf numFmtId="41" fontId="11" fillId="0" borderId="0" xfId="11" applyNumberFormat="1" applyFont="1" applyAlignment="1">
      <alignment horizontal="right" wrapText="1"/>
    </xf>
    <xf numFmtId="170" fontId="11" fillId="0" borderId="0" xfId="11" applyNumberFormat="1" applyFont="1" applyAlignment="1">
      <alignment wrapText="1"/>
    </xf>
    <xf numFmtId="170" fontId="11" fillId="0" borderId="0" xfId="11" applyNumberFormat="1" applyFont="1" applyFill="1" applyAlignment="1">
      <alignment wrapText="1"/>
    </xf>
    <xf numFmtId="170" fontId="11" fillId="0" borderId="0" xfId="11" quotePrefix="1" applyNumberFormat="1" applyFont="1" applyBorder="1" applyAlignment="1">
      <alignment horizontal="right" wrapText="1"/>
    </xf>
    <xf numFmtId="41" fontId="11" fillId="0" borderId="0" xfId="11" applyNumberFormat="1" applyFont="1" applyAlignment="1">
      <alignment wrapText="1"/>
    </xf>
    <xf numFmtId="0" fontId="11" fillId="0" borderId="0" xfId="11" applyFont="1" applyFill="1" applyAlignment="1" applyProtection="1">
      <alignment horizontal="left" wrapText="1"/>
      <protection locked="0"/>
    </xf>
    <xf numFmtId="0" fontId="11" fillId="0" borderId="6" xfId="11" applyFont="1" applyBorder="1"/>
    <xf numFmtId="0" fontId="11" fillId="0" borderId="6" xfId="11" applyNumberFormat="1" applyFont="1" applyFill="1" applyBorder="1" applyAlignment="1" applyProtection="1">
      <alignment horizontal="right"/>
      <protection locked="0"/>
    </xf>
    <xf numFmtId="169" fontId="11" fillId="0" borderId="0" xfId="11" applyNumberFormat="1" applyFont="1" applyFill="1" applyAlignment="1" applyProtection="1">
      <alignment horizontal="right"/>
      <protection locked="0"/>
    </xf>
    <xf numFmtId="1" fontId="11" fillId="0" borderId="0" xfId="11" applyNumberFormat="1" applyFont="1" applyBorder="1" applyAlignment="1" applyProtection="1">
      <alignment horizontal="right"/>
      <protection locked="0"/>
    </xf>
    <xf numFmtId="0" fontId="11" fillId="0" borderId="0" xfId="11" applyFont="1" applyBorder="1" applyAlignment="1" applyProtection="1">
      <alignment vertical="center" wrapText="1"/>
      <protection locked="0"/>
    </xf>
    <xf numFmtId="0" fontId="11" fillId="0" borderId="0" xfId="11" applyFont="1" applyBorder="1" applyAlignment="1" applyProtection="1">
      <alignment wrapText="1"/>
      <protection locked="0"/>
    </xf>
    <xf numFmtId="0" fontId="11" fillId="0" borderId="0" xfId="11" quotePrefix="1" applyFont="1" applyBorder="1" applyAlignment="1" applyProtection="1">
      <alignment horizontal="right"/>
      <protection locked="0"/>
    </xf>
    <xf numFmtId="0" fontId="11" fillId="0" borderId="0" xfId="11" applyFont="1" applyFill="1" applyBorder="1" applyAlignment="1" applyProtection="1">
      <alignment horizontal="right"/>
      <protection locked="0"/>
    </xf>
    <xf numFmtId="4" fontId="11" fillId="0" borderId="0" xfId="11" applyNumberFormat="1" applyFont="1" applyFill="1" applyBorder="1" applyAlignment="1">
      <alignment horizontal="right"/>
    </xf>
    <xf numFmtId="176" fontId="11" fillId="0" borderId="0" xfId="11" applyNumberFormat="1" applyFont="1" applyFill="1" applyBorder="1" applyAlignment="1">
      <alignment horizontal="right"/>
    </xf>
    <xf numFmtId="0" fontId="11" fillId="0" borderId="0" xfId="11" applyFont="1" applyBorder="1" applyAlignment="1" applyProtection="1">
      <alignment horizontal="right"/>
      <protection locked="0"/>
    </xf>
    <xf numFmtId="177" fontId="11" fillId="0" borderId="0" xfId="11" applyNumberFormat="1" applyFont="1" applyFill="1" applyBorder="1" applyAlignment="1" applyProtection="1">
      <alignment horizontal="right"/>
      <protection locked="0"/>
    </xf>
    <xf numFmtId="1" fontId="11" fillId="0" borderId="0" xfId="11" applyNumberFormat="1" applyFont="1" applyFill="1" applyBorder="1" applyAlignment="1" applyProtection="1">
      <alignment horizontal="right"/>
      <protection locked="0"/>
    </xf>
    <xf numFmtId="1" fontId="11" fillId="0" borderId="0" xfId="12" quotePrefix="1" applyNumberFormat="1" applyFont="1" applyBorder="1" applyAlignment="1" applyProtection="1">
      <alignment horizontal="right"/>
      <protection locked="0"/>
    </xf>
    <xf numFmtId="1" fontId="11" fillId="0" borderId="0" xfId="12" applyNumberFormat="1" applyFont="1" applyBorder="1" applyAlignment="1" applyProtection="1">
      <alignment horizontal="right"/>
      <protection locked="0"/>
    </xf>
    <xf numFmtId="2" fontId="11" fillId="0" borderId="0" xfId="11" applyNumberFormat="1" applyFont="1" applyFill="1" applyBorder="1"/>
    <xf numFmtId="1" fontId="11" fillId="0" borderId="0" xfId="11" applyNumberFormat="1" applyFont="1" applyFill="1" applyBorder="1" applyProtection="1">
      <protection locked="0"/>
    </xf>
    <xf numFmtId="3" fontId="11" fillId="0" borderId="0" xfId="11" applyNumberFormat="1" applyFont="1" applyBorder="1" applyProtection="1">
      <protection locked="0"/>
    </xf>
    <xf numFmtId="41" fontId="11" fillId="0" borderId="0" xfId="11" applyNumberFormat="1" applyFont="1" applyBorder="1" applyProtection="1">
      <protection locked="0"/>
    </xf>
    <xf numFmtId="164" fontId="11" fillId="0" borderId="0" xfId="10" applyNumberFormat="1" applyFont="1" applyBorder="1" applyAlignment="1" applyProtection="1">
      <alignment wrapText="1"/>
      <protection locked="0"/>
    </xf>
    <xf numFmtId="164" fontId="11" fillId="0" borderId="0" xfId="10" applyNumberFormat="1" applyFont="1" applyFill="1" applyBorder="1" applyAlignment="1" applyProtection="1">
      <alignment wrapText="1"/>
      <protection locked="0"/>
    </xf>
    <xf numFmtId="164" fontId="11" fillId="0" borderId="0" xfId="10" applyNumberFormat="1" applyFont="1" applyAlignment="1">
      <alignment wrapText="1"/>
    </xf>
    <xf numFmtId="1" fontId="11" fillId="0" borderId="0" xfId="11" applyNumberFormat="1" applyFont="1" applyBorder="1" applyProtection="1">
      <protection locked="0"/>
    </xf>
    <xf numFmtId="0" fontId="11" fillId="0" borderId="0" xfId="11" applyNumberFormat="1" applyFont="1" applyBorder="1" applyAlignment="1"/>
    <xf numFmtId="41" fontId="11" fillId="0" borderId="0" xfId="12" applyNumberFormat="1" applyFont="1" applyFill="1" applyBorder="1" applyAlignment="1" applyProtection="1">
      <alignment horizontal="right"/>
    </xf>
    <xf numFmtId="41" fontId="11" fillId="0" borderId="0" xfId="13" applyNumberFormat="1" applyFont="1" applyFill="1" applyBorder="1"/>
    <xf numFmtId="41" fontId="11" fillId="0" borderId="0" xfId="12" applyNumberFormat="1" applyFont="1" applyFill="1" applyBorder="1" applyAlignment="1">
      <alignment horizontal="right"/>
    </xf>
    <xf numFmtId="41" fontId="11" fillId="0" borderId="0" xfId="13" quotePrefix="1" applyNumberFormat="1" applyFont="1" applyFill="1" applyBorder="1" applyAlignment="1" applyProtection="1">
      <alignment horizontal="right"/>
      <protection locked="0"/>
    </xf>
    <xf numFmtId="167" fontId="11" fillId="0" borderId="0" xfId="12" applyNumberFormat="1" applyFont="1" applyFill="1"/>
    <xf numFmtId="167" fontId="11" fillId="0" borderId="0" xfId="12" applyNumberFormat="1" applyFont="1" applyFill="1" applyBorder="1" applyAlignment="1">
      <alignment horizontal="right"/>
    </xf>
    <xf numFmtId="167" fontId="11" fillId="0" borderId="0" xfId="12" applyNumberFormat="1" applyFont="1" applyFill="1" applyBorder="1" applyAlignment="1"/>
    <xf numFmtId="3" fontId="11" fillId="0" borderId="0" xfId="11" applyNumberFormat="1" applyFont="1" applyFill="1" applyAlignment="1" applyProtection="1">
      <alignment horizontal="right"/>
      <protection locked="0"/>
    </xf>
    <xf numFmtId="0" fontId="12" fillId="0" borderId="0" xfId="0" applyFont="1" applyAlignment="1">
      <alignment horizontal="right" wrapText="1"/>
    </xf>
    <xf numFmtId="3" fontId="11" fillId="0" borderId="0" xfId="11" applyNumberFormat="1" applyFont="1" applyFill="1" applyAlignment="1" applyProtection="1">
      <alignment horizontal="right" wrapText="1"/>
      <protection locked="0"/>
    </xf>
    <xf numFmtId="178" fontId="11" fillId="0" borderId="0" xfId="11" applyNumberFormat="1" applyFont="1" applyFill="1"/>
    <xf numFmtId="171" fontId="11" fillId="0" borderId="0" xfId="11" applyNumberFormat="1" applyFont="1"/>
    <xf numFmtId="171" fontId="11" fillId="0" borderId="0" xfId="11" applyNumberFormat="1" applyFont="1" applyFill="1" applyAlignment="1" applyProtection="1">
      <alignment horizontal="right" wrapText="1"/>
      <protection locked="0"/>
    </xf>
    <xf numFmtId="170" fontId="11" fillId="0" borderId="0" xfId="11" applyNumberFormat="1" applyFont="1" applyFill="1" applyAlignment="1" applyProtection="1">
      <alignment horizontal="right"/>
      <protection locked="0"/>
    </xf>
    <xf numFmtId="170" fontId="11" fillId="0" borderId="0" xfId="11" applyNumberFormat="1" applyFont="1" applyFill="1" applyAlignment="1" applyProtection="1">
      <alignment horizontal="right" wrapText="1"/>
      <protection locked="0"/>
    </xf>
    <xf numFmtId="175" fontId="11" fillId="0" borderId="0" xfId="12" applyNumberFormat="1" applyFont="1" applyFill="1" applyAlignment="1" applyProtection="1">
      <protection locked="0"/>
    </xf>
    <xf numFmtId="0" fontId="16" fillId="0" borderId="0" xfId="2" applyFont="1" applyBorder="1"/>
    <xf numFmtId="0" fontId="11" fillId="0" borderId="0" xfId="0" applyFont="1" applyAlignment="1">
      <alignment wrapText="1"/>
    </xf>
    <xf numFmtId="0" fontId="12" fillId="0" borderId="0" xfId="0" applyFont="1" applyFill="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right"/>
    </xf>
    <xf numFmtId="0" fontId="11" fillId="0" borderId="0" xfId="0" applyFont="1" applyAlignment="1"/>
    <xf numFmtId="0" fontId="12" fillId="0" borderId="0" xfId="0" applyFont="1" applyAlignment="1">
      <alignment horizontal="left" wrapText="1"/>
    </xf>
    <xf numFmtId="0" fontId="11" fillId="0" borderId="0" xfId="0" applyFont="1" applyAlignment="1">
      <alignment horizontal="right" wrapText="1"/>
    </xf>
    <xf numFmtId="0" fontId="11" fillId="0" borderId="0" xfId="11" applyFont="1" applyFill="1" applyAlignment="1"/>
    <xf numFmtId="0" fontId="11" fillId="0" borderId="0" xfId="11" applyFont="1" applyBorder="1" applyAlignment="1">
      <alignment horizontal="left" wrapText="1"/>
    </xf>
    <xf numFmtId="0" fontId="11" fillId="0" borderId="0" xfId="11" applyFont="1" applyAlignment="1">
      <alignment horizontal="left" wrapText="1"/>
    </xf>
    <xf numFmtId="0" fontId="11" fillId="0" borderId="0" xfId="11" applyFont="1" applyFill="1" applyAlignment="1">
      <alignment horizontal="left" wrapText="1"/>
    </xf>
    <xf numFmtId="170" fontId="11" fillId="0" borderId="0" xfId="11" applyNumberFormat="1" applyFont="1" applyAlignment="1">
      <alignment vertical="center"/>
    </xf>
    <xf numFmtId="170" fontId="11" fillId="0" borderId="0" xfId="11" applyNumberFormat="1" applyFont="1" applyFill="1" applyAlignment="1">
      <alignment horizontal="right" vertical="center"/>
    </xf>
    <xf numFmtId="169" fontId="11" fillId="0" borderId="0" xfId="11" applyNumberFormat="1" applyFont="1" applyFill="1" applyAlignment="1">
      <alignment horizontal="right" vertical="center"/>
    </xf>
    <xf numFmtId="0" fontId="11" fillId="0" borderId="4" xfId="11" applyFont="1" applyFill="1" applyBorder="1" applyAlignment="1">
      <alignment wrapText="1"/>
    </xf>
    <xf numFmtId="170" fontId="11" fillId="0" borderId="0" xfId="11" applyNumberFormat="1" applyFont="1" applyBorder="1" applyAlignment="1">
      <alignment vertical="center" wrapText="1"/>
    </xf>
    <xf numFmtId="170" fontId="11" fillId="0" borderId="0" xfId="11" applyNumberFormat="1" applyFont="1" applyFill="1" applyBorder="1" applyAlignment="1">
      <alignment vertical="center" wrapText="1"/>
    </xf>
    <xf numFmtId="170" fontId="11" fillId="0" borderId="0" xfId="12" applyNumberFormat="1" applyFont="1" applyFill="1" applyAlignment="1">
      <alignment horizontal="right"/>
    </xf>
    <xf numFmtId="170" fontId="11" fillId="0" borderId="0" xfId="0" applyNumberFormat="1" applyFont="1"/>
    <xf numFmtId="166" fontId="11" fillId="0" borderId="4" xfId="11" applyNumberFormat="1" applyFont="1" applyFill="1" applyBorder="1" applyAlignment="1">
      <alignment horizontal="right"/>
    </xf>
    <xf numFmtId="170" fontId="11" fillId="0" borderId="0" xfId="12" applyNumberFormat="1" applyFont="1" applyFill="1" applyBorder="1" applyAlignment="1">
      <alignment horizontal="right"/>
    </xf>
    <xf numFmtId="176" fontId="11" fillId="0" borderId="0" xfId="11" applyNumberFormat="1" applyFont="1" applyFill="1" applyAlignment="1" applyProtection="1">
      <alignment horizontal="right"/>
      <protection locked="0"/>
    </xf>
    <xf numFmtId="4" fontId="11" fillId="0" borderId="0" xfId="11" applyNumberFormat="1" applyFont="1" applyBorder="1" applyAlignment="1">
      <alignment horizontal="right"/>
    </xf>
    <xf numFmtId="176" fontId="11" fillId="0" borderId="0" xfId="11" applyNumberFormat="1" applyFont="1" applyBorder="1" applyAlignment="1">
      <alignment horizontal="right"/>
    </xf>
    <xf numFmtId="2" fontId="11" fillId="0" borderId="0" xfId="0" applyNumberFormat="1" applyFont="1"/>
    <xf numFmtId="169" fontId="11" fillId="0" borderId="0" xfId="0" applyNumberFormat="1" applyFont="1"/>
    <xf numFmtId="43" fontId="11" fillId="0" borderId="0" xfId="0" applyNumberFormat="1" applyFont="1"/>
    <xf numFmtId="0" fontId="12" fillId="0" borderId="0" xfId="11" applyFont="1" applyFill="1" applyBorder="1"/>
    <xf numFmtId="0" fontId="9" fillId="0" borderId="0" xfId="11" applyFont="1" applyFill="1"/>
    <xf numFmtId="178" fontId="11" fillId="0" borderId="0" xfId="11" applyNumberFormat="1" applyFont="1" applyFill="1" applyAlignment="1" applyProtection="1">
      <alignment horizontal="right"/>
      <protection locked="0"/>
    </xf>
    <xf numFmtId="3" fontId="11" fillId="0" borderId="4" xfId="11" applyNumberFormat="1" applyFont="1" applyFill="1" applyBorder="1"/>
    <xf numFmtId="164" fontId="11" fillId="0" borderId="0" xfId="10" applyNumberFormat="1" applyFont="1" applyFill="1" applyBorder="1" applyAlignment="1" applyProtection="1">
      <alignment horizontal="left"/>
      <protection locked="0"/>
    </xf>
    <xf numFmtId="164" fontId="11" fillId="0" borderId="0" xfId="10" applyNumberFormat="1" applyFont="1" applyBorder="1" applyProtection="1">
      <protection locked="0"/>
    </xf>
    <xf numFmtId="164" fontId="11" fillId="0" borderId="0" xfId="10" applyNumberFormat="1" applyFont="1" applyBorder="1" applyAlignment="1" applyProtection="1">
      <alignment horizontal="right"/>
      <protection locked="0"/>
    </xf>
    <xf numFmtId="164" fontId="11" fillId="0" borderId="0" xfId="10" quotePrefix="1" applyNumberFormat="1" applyFont="1" applyBorder="1" applyAlignment="1" applyProtection="1">
      <alignment horizontal="right"/>
      <protection locked="0"/>
    </xf>
    <xf numFmtId="0" fontId="11" fillId="0" borderId="7" xfId="13" applyFont="1" applyBorder="1" applyProtection="1">
      <protection locked="0"/>
    </xf>
    <xf numFmtId="4" fontId="11" fillId="0" borderId="0" xfId="13" applyNumberFormat="1" applyFont="1" applyFill="1" applyAlignment="1" applyProtection="1">
      <alignment horizontal="right"/>
      <protection locked="0"/>
    </xf>
    <xf numFmtId="1" fontId="11" fillId="0" borderId="0" xfId="0" applyNumberFormat="1" applyFont="1"/>
    <xf numFmtId="0" fontId="12" fillId="0" borderId="0" xfId="0" applyFont="1" applyBorder="1" applyAlignment="1">
      <alignment horizontal="right" wrapText="1"/>
    </xf>
    <xf numFmtId="167" fontId="11" fillId="0" borderId="0" xfId="11" applyNumberFormat="1" applyFont="1" applyFill="1" applyBorder="1" applyAlignment="1">
      <alignment horizontal="right"/>
    </xf>
    <xf numFmtId="167" fontId="11" fillId="0" borderId="0" xfId="0" applyNumberFormat="1" applyFont="1"/>
    <xf numFmtId="0" fontId="11" fillId="0" borderId="0" xfId="0" applyFont="1" applyBorder="1" applyAlignment="1">
      <alignment horizontal="right" wrapText="1"/>
    </xf>
    <xf numFmtId="0" fontId="11" fillId="0" borderId="0" xfId="14" applyFont="1" applyFill="1" applyBorder="1" applyAlignment="1">
      <alignment horizontal="left" wrapText="1"/>
    </xf>
    <xf numFmtId="3" fontId="11" fillId="0" borderId="0" xfId="12" applyNumberFormat="1" applyFont="1" applyBorder="1" applyAlignment="1" applyProtection="1">
      <alignment horizontal="right"/>
    </xf>
    <xf numFmtId="41" fontId="11" fillId="0" borderId="0" xfId="13" applyNumberFormat="1" applyFont="1" applyBorder="1"/>
    <xf numFmtId="164" fontId="11" fillId="0" borderId="0" xfId="12" applyNumberFormat="1" applyFont="1" applyBorder="1" applyAlignment="1" applyProtection="1">
      <alignment horizontal="right"/>
    </xf>
    <xf numFmtId="164" fontId="11" fillId="0" borderId="0" xfId="0" applyNumberFormat="1" applyFont="1"/>
    <xf numFmtId="3" fontId="11" fillId="0" borderId="0" xfId="12" applyNumberFormat="1" applyFont="1" applyBorder="1" applyProtection="1"/>
    <xf numFmtId="3" fontId="11" fillId="0" borderId="0" xfId="12" applyNumberFormat="1" applyFont="1" applyFill="1" applyBorder="1" applyAlignment="1" applyProtection="1">
      <alignment horizontal="right"/>
    </xf>
    <xf numFmtId="4" fontId="11" fillId="0" borderId="0" xfId="13" applyNumberFormat="1" applyFont="1" applyBorder="1" applyProtection="1"/>
    <xf numFmtId="4" fontId="11" fillId="0" borderId="0" xfId="13" applyNumberFormat="1" applyFont="1" applyFill="1" applyBorder="1" applyAlignment="1" applyProtection="1">
      <alignment horizontal="right"/>
    </xf>
    <xf numFmtId="0" fontId="11" fillId="0" borderId="0" xfId="0" applyFont="1" applyAlignment="1">
      <alignment horizontal="left" vertical="top"/>
    </xf>
    <xf numFmtId="0" fontId="12" fillId="0" borderId="0" xfId="0" applyFont="1"/>
    <xf numFmtId="0" fontId="12" fillId="0" borderId="0" xfId="0" applyFont="1" applyAlignment="1">
      <alignment horizontal="left" vertical="top"/>
    </xf>
  </cellXfs>
  <cellStyles count="17">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2" xr:uid="{00000000-0005-0000-0000-000005000000}"/>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2" xfId="11" xr:uid="{00000000-0005-0000-0000-00000B000000}"/>
    <cellStyle name="Normal 3" xfId="13" xr:uid="{00000000-0005-0000-0000-00000C000000}"/>
    <cellStyle name="Normal 3 2" xfId="16" xr:uid="{00000000-0005-0000-0000-00000D000000}"/>
    <cellStyle name="Normal_England" xfId="14" xr:uid="{00000000-0005-0000-0000-00000E000000}"/>
    <cellStyle name="Normal_z" xfId="15" xr:uid="{00000000-0005-0000-0000-00000F000000}"/>
    <cellStyle name="Title" xfId="1" builtinId="15" customBuiltin="1"/>
  </cellStyles>
  <dxfs count="879">
    <dxf>
      <font>
        <strike val="0"/>
        <outline val="0"/>
        <shadow val="0"/>
        <u val="none"/>
        <color auto="1"/>
        <name val="Arial"/>
        <family val="2"/>
      </font>
    </dxf>
    <dxf>
      <font>
        <strike val="0"/>
        <outline val="0"/>
        <shadow val="0"/>
        <u val="none"/>
        <color auto="1"/>
        <name val="Arial"/>
        <family val="2"/>
      </font>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strike val="0"/>
        <outline val="0"/>
        <shadow val="0"/>
        <u val="none"/>
        <color auto="1"/>
        <name val="Arial"/>
        <family val="2"/>
      </font>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strike val="0"/>
        <outline val="0"/>
        <shadow val="0"/>
        <u val="none"/>
        <color auto="1"/>
        <name val="Arial"/>
        <family val="2"/>
      </font>
      <alignment vertical="bottom" textRotation="0" wrapText="0" indent="0" justifyLastLine="0" shrinkToFit="0" readingOrder="0"/>
    </dxf>
    <dxf>
      <font>
        <strike val="0"/>
        <outline val="0"/>
        <shadow val="0"/>
        <u val="none"/>
        <color auto="1"/>
        <name val="Arial"/>
        <family val="2"/>
      </font>
      <alignment vertical="bottom" textRotation="0" wrapText="0" indent="0" justifyLastLine="0" shrinkToFit="0" readingOrder="0"/>
    </dxf>
    <dxf>
      <font>
        <strike val="0"/>
        <outline val="0"/>
        <shadow val="0"/>
        <u val="none"/>
        <color auto="1"/>
        <name val="Arial"/>
        <family val="2"/>
      </font>
      <alignment horizontal="general" vertical="bottom" textRotation="0" wrapText="1" indent="0" justifyLastLine="0" shrinkToFit="0" readingOrder="0"/>
    </dxf>
    <dxf>
      <font>
        <strike val="0"/>
        <outline val="0"/>
        <shadow val="0"/>
        <u val="none"/>
        <color auto="1"/>
        <name val="Arial"/>
        <family val="2"/>
      </font>
      <alignment horizontal="right" vertical="bottom" textRotation="0" wrapText="0" indent="0" justifyLastLine="0" shrinkToFit="0" readingOrder="0"/>
    </dxf>
  </dxfs>
  <tableStyles count="0" defaultTableStyle="TableStyleMedium2" defaultPivotStyle="PivotStyleLight16"/>
  <colors>
    <mruColors>
      <color rgb="FF0000FF"/>
      <color rgb="FFA7D5C0"/>
      <color rgb="FFC0FAF3"/>
      <color rgb="FF81F7D8"/>
      <color rgb="FF45E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8" displayName="Table18" ref="A2:D31" totalsRowShown="0" headerRowDxfId="874" dataDxfId="873">
  <autoFilter ref="A2:D31" xr:uid="{00000000-0009-0000-0100-000011000000}">
    <filterColumn colId="0" hiddenButton="1"/>
    <filterColumn colId="1" hiddenButton="1"/>
    <filterColumn colId="2" hiddenButton="1"/>
    <filterColumn colId="3" hiddenButton="1"/>
  </autoFilter>
  <tableColumns count="4">
    <tableColumn id="1" xr3:uid="{00000000-0010-0000-0000-000001000000}" name="Worksheet number" dataDxfId="878"/>
    <tableColumn id="2" xr3:uid="{00000000-0010-0000-0000-000002000000}" name="Worksheet title" dataDxfId="877"/>
    <tableColumn id="3" xr3:uid="{00000000-0010-0000-0000-000003000000}" name="Date this data was first published " dataDxfId="876"/>
    <tableColumn id="4" xr3:uid="{00000000-0010-0000-0000-000004000000}" name="Next publication date" dataDxfId="875"/>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41321223234" displayName="Table141321223234" ref="A4:AA64" totalsRowShown="0" headerRowDxfId="238" dataDxfId="237" dataCellStyle="Comma 2">
  <autoFilter ref="A4:AA6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900-000001000000}" name="Port" dataDxfId="265" dataCellStyle="Normal 3"/>
    <tableColumn id="12" xr3:uid="{00000000-0010-0000-0900-00000C000000}" name="1996" dataDxfId="264" dataCellStyle="Normal 3"/>
    <tableColumn id="13" xr3:uid="{00000000-0010-0000-0900-00000D000000}" name="1997" dataDxfId="263" dataCellStyle="Normal 3"/>
    <tableColumn id="14" xr3:uid="{00000000-0010-0000-0900-00000E000000}" name="1998" dataDxfId="262" dataCellStyle="Normal 3"/>
    <tableColumn id="15" xr3:uid="{00000000-0010-0000-0900-00000F000000}" name="1999" dataDxfId="261" dataCellStyle="Normal 3"/>
    <tableColumn id="2" xr3:uid="{00000000-0010-0000-0900-000002000000}" name="2000" dataDxfId="260" dataCellStyle="Normal 3"/>
    <tableColumn id="3" xr3:uid="{00000000-0010-0000-0900-000003000000}" name="2001" dataDxfId="259" dataCellStyle="Normal 3"/>
    <tableColumn id="4" xr3:uid="{00000000-0010-0000-0900-000004000000}" name="2002" dataDxfId="258" dataCellStyle="Normal 3"/>
    <tableColumn id="9" xr3:uid="{00000000-0010-0000-0900-000009000000}" name="2003" dataDxfId="257" dataCellStyle="Normal 3"/>
    <tableColumn id="8" xr3:uid="{00000000-0010-0000-0900-000008000000}" name="2004" dataDxfId="256" dataCellStyle="Normal 3"/>
    <tableColumn id="21" xr3:uid="{00000000-0010-0000-0900-000015000000}" name="2005" dataDxfId="255" dataCellStyle="Normal 3"/>
    <tableColumn id="22" xr3:uid="{00000000-0010-0000-0900-000016000000}" name="2006" dataDxfId="254" dataCellStyle="Normal 3"/>
    <tableColumn id="23" xr3:uid="{00000000-0010-0000-0900-000017000000}" name="2007" dataDxfId="253" dataCellStyle="Normal 3"/>
    <tableColumn id="24" xr3:uid="{00000000-0010-0000-0900-000018000000}" name="2008" dataDxfId="252" dataCellStyle="Normal 3"/>
    <tableColumn id="25" xr3:uid="{00000000-0010-0000-0900-000019000000}" name="2009" dataDxfId="251" dataCellStyle="Normal 3"/>
    <tableColumn id="26" xr3:uid="{00000000-0010-0000-0900-00001A000000}" name="2010" dataDxfId="250" dataCellStyle="Normal 3"/>
    <tableColumn id="27" xr3:uid="{00000000-0010-0000-0900-00001B000000}" name="2011" dataDxfId="249" dataCellStyle="Normal 3"/>
    <tableColumn id="28" xr3:uid="{00000000-0010-0000-0900-00001C000000}" name="2012" dataDxfId="248" dataCellStyle="Normal 3"/>
    <tableColumn id="29" xr3:uid="{00000000-0010-0000-0900-00001D000000}" name="2013" dataDxfId="247" dataCellStyle="Normal 3"/>
    <tableColumn id="30" xr3:uid="{00000000-0010-0000-0900-00001E000000}" name="2014" dataDxfId="246" dataCellStyle="Comma 2"/>
    <tableColumn id="31" xr3:uid="{00000000-0010-0000-0900-00001F000000}" name="2015" dataDxfId="245" dataCellStyle="Comma 2"/>
    <tableColumn id="32" xr3:uid="{00000000-0010-0000-0900-000020000000}" name="2016" dataDxfId="244" dataCellStyle="Comma 2"/>
    <tableColumn id="33" xr3:uid="{00000000-0010-0000-0900-000021000000}" name="2017" dataDxfId="243" dataCellStyle="Comma 2"/>
    <tableColumn id="34" xr3:uid="{00000000-0010-0000-0900-000022000000}" name="2018" dataDxfId="242" dataCellStyle="Comma 2"/>
    <tableColumn id="35" xr3:uid="{00000000-0010-0000-0900-000023000000}" name="2019" dataDxfId="241" dataCellStyle="Normal 3"/>
    <tableColumn id="36" xr3:uid="{00000000-0010-0000-0900-000024000000}" name="2020" dataDxfId="240" dataCellStyle="Normal 3"/>
    <tableColumn id="5" xr3:uid="{00000000-0010-0000-0900-000005000000}" name="2021" dataDxfId="239" dataCellStyle="Comma 2"/>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1413212232345" displayName="Table1413212232345" ref="A4:H16" totalsRowShown="0" headerRowDxfId="267" dataDxfId="266" dataCellStyle="Comma 2">
  <autoFilter ref="A4:H1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Port" dataDxfId="275" dataCellStyle="Normal 3"/>
    <tableColumn id="12" xr3:uid="{00000000-0010-0000-0A00-00000C000000}" name="Foreign traffic - imports" dataDxfId="274" dataCellStyle="Comma 2"/>
    <tableColumn id="13" xr3:uid="{00000000-0010-0000-0A00-00000D000000}" name="Foreign traffic - exports" dataDxfId="273" dataCellStyle="Comma 2"/>
    <tableColumn id="14" xr3:uid="{00000000-0010-0000-0A00-00000E000000}" name="Foreign traffic - total" dataDxfId="272" dataCellStyle="Comma 2"/>
    <tableColumn id="15" xr3:uid="{00000000-0010-0000-0A00-00000F000000}" name="Domestic traffic - inwards" dataDxfId="271" dataCellStyle="Comma 2"/>
    <tableColumn id="2" xr3:uid="{00000000-0010-0000-0A00-000002000000}" name="Domestic traffic - outwards" dataDxfId="270" dataCellStyle="Comma 2"/>
    <tableColumn id="3" xr3:uid="{00000000-0010-0000-0A00-000003000000}" name="Domestic traffic - total" dataDxfId="269" dataCellStyle="Comma 2"/>
    <tableColumn id="4" xr3:uid="{00000000-0010-0000-0A00-000004000000}" name="All traffic - total" dataDxfId="268" dataCellStyle="Comma 2"/>
  </tableColumns>
  <tableStyleInfo name="TableStyleLight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4132122323456" displayName="Table14132122323456" ref="A4:H16" totalsRowShown="0" headerRowDxfId="277" dataDxfId="276" dataCellStyle="Comma 2">
  <autoFilter ref="A4:H1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Port" dataDxfId="285" dataCellStyle="Normal 3"/>
    <tableColumn id="12" xr3:uid="{00000000-0010-0000-0B00-00000C000000}" name="Foreign traffic - imports" dataDxfId="284" dataCellStyle="Comma 2"/>
    <tableColumn id="13" xr3:uid="{00000000-0010-0000-0B00-00000D000000}" name="Foreign traffic - exports" dataDxfId="283" dataCellStyle="Comma 2"/>
    <tableColumn id="14" xr3:uid="{00000000-0010-0000-0B00-00000E000000}" name="Foreign traffic - total" dataDxfId="282" dataCellStyle="Comma 2"/>
    <tableColumn id="15" xr3:uid="{00000000-0010-0000-0B00-00000F000000}" name="Domestic traffic - inwards" dataDxfId="281" dataCellStyle="Comma 2"/>
    <tableColumn id="2" xr3:uid="{00000000-0010-0000-0B00-000002000000}" name="Domestic traffic - outwards" dataDxfId="280" dataCellStyle="Comma 2"/>
    <tableColumn id="3" xr3:uid="{00000000-0010-0000-0B00-000003000000}" name="Domestic traffic - total" dataDxfId="279" dataCellStyle="Comma 2"/>
    <tableColumn id="4" xr3:uid="{00000000-0010-0000-0B00-000004000000}" name="All traffic - total" dataDxfId="278" dataCellStyle="Comma 2"/>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141321223234567" displayName="Table141321223234567" ref="A4:H31" totalsRowShown="0" headerRowDxfId="287" dataDxfId="286" dataCellStyle="Comma 2">
  <autoFilter ref="A4:H3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C00-000001000000}" name="Commodity" dataDxfId="295" dataCellStyle="Normal_England"/>
    <tableColumn id="12" xr3:uid="{00000000-0010-0000-0C00-00000C000000}" name="Foreign traffic - imports" dataDxfId="294" dataCellStyle="Comma 2"/>
    <tableColumn id="13" xr3:uid="{00000000-0010-0000-0C00-00000D000000}" name="Foreign traffic - exports" dataDxfId="293" dataCellStyle="Comma 2"/>
    <tableColumn id="14" xr3:uid="{00000000-0010-0000-0C00-00000E000000}" name="Foreign traffic - total" dataDxfId="292" dataCellStyle="Comma 2"/>
    <tableColumn id="15" xr3:uid="{00000000-0010-0000-0C00-00000F000000}" name="Domestic traffic - inwards" dataDxfId="291" dataCellStyle="Comma 2"/>
    <tableColumn id="2" xr3:uid="{00000000-0010-0000-0C00-000002000000}" name="Domestic traffic - outwards" dataDxfId="290" dataCellStyle="Comma 2"/>
    <tableColumn id="3" xr3:uid="{00000000-0010-0000-0C00-000003000000}" name="Domestic traffic - total" dataDxfId="289" dataCellStyle="Normal 3"/>
    <tableColumn id="4" xr3:uid="{00000000-0010-0000-0C00-000004000000}" name="All traffic - total" dataDxfId="288" dataCellStyle="Comma 2"/>
  </tableColumns>
  <tableStyleInfo name="TableStyleLight1"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1413212232345678" displayName="Table1413212232345678" ref="A4:S74" totalsRowShown="0" headerRowDxfId="297" dataDxfId="296">
  <autoFilter ref="A4:S74"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D00-000001000000}" name="Country of loading or unloading" dataDxfId="316" dataCellStyle="Normal_z"/>
    <tableColumn id="12" xr3:uid="{00000000-0010-0000-0D00-00000C000000}" name="Liquid bulks - Inwards to UK" dataDxfId="315" dataCellStyle="Comma 2"/>
    <tableColumn id="13" xr3:uid="{00000000-0010-0000-0D00-00000D000000}" name="Liquid bulks - outwards from UK" dataDxfId="314" dataCellStyle="Comma 2"/>
    <tableColumn id="14" xr3:uid="{00000000-0010-0000-0D00-00000E000000}" name="Liquid bulks - total" dataDxfId="313" dataCellStyle="Comma 2"/>
    <tableColumn id="15" xr3:uid="{00000000-0010-0000-0D00-00000F000000}" name="Dry bulks - Inwards to UK" dataDxfId="312" dataCellStyle="Comma 2"/>
    <tableColumn id="2" xr3:uid="{00000000-0010-0000-0D00-000002000000}" name="Dry bulks - outwards from UK" dataDxfId="311" dataCellStyle="Comma 2"/>
    <tableColumn id="3" xr3:uid="{00000000-0010-0000-0D00-000003000000}" name="Dry bulks - total" dataDxfId="310" dataCellStyle="Comma 2"/>
    <tableColumn id="17" xr3:uid="{00000000-0010-0000-0D00-000011000000}" name="Other general cargo - Inwards to UK" dataDxfId="309" dataCellStyle="Comma 2"/>
    <tableColumn id="18" xr3:uid="{00000000-0010-0000-0D00-000012000000}" name="Other general cargo - outwards from UK" dataDxfId="308" dataCellStyle="Comma 2"/>
    <tableColumn id="19" xr3:uid="{00000000-0010-0000-0D00-000013000000}" name="Other general cargo - total" dataDxfId="307" dataCellStyle="Comma 2"/>
    <tableColumn id="10" xr3:uid="{00000000-0010-0000-0D00-00000A000000}" name="Container traffic - Inwards to UK" dataDxfId="306" dataCellStyle="Comma 2"/>
    <tableColumn id="11" xr3:uid="{00000000-0010-0000-0D00-00000B000000}" name="Container traffic - outwards from UK" dataDxfId="305" dataCellStyle="Comma 2"/>
    <tableColumn id="16" xr3:uid="{00000000-0010-0000-0D00-000010000000}" name="Container traffic - total" dataDxfId="304" dataCellStyle="Comma 2"/>
    <tableColumn id="7" xr3:uid="{00000000-0010-0000-0D00-000007000000}" name="Ro-Ro traffic - Inwards to UK" dataDxfId="303" dataCellStyle="Comma 2"/>
    <tableColumn id="8" xr3:uid="{00000000-0010-0000-0D00-000008000000}" name="Ro-Ro traffic - outwards from UK" dataDxfId="302" dataCellStyle="Comma 2"/>
    <tableColumn id="9" xr3:uid="{00000000-0010-0000-0D00-000009000000}" name="Ro-Ro traffic - total" dataDxfId="301" dataCellStyle="Comma 2"/>
    <tableColumn id="6" xr3:uid="{00000000-0010-0000-0D00-000006000000}" name="All traffic - Inwards to UK" dataDxfId="300" dataCellStyle="Comma 2">
      <calculatedColumnFormula>SUM(B5,E5,H5,K5,N5)</calculatedColumnFormula>
    </tableColumn>
    <tableColumn id="5" xr3:uid="{00000000-0010-0000-0D00-000005000000}" name="All traffic - outwards from UK" dataDxfId="299" dataCellStyle="Comma 2">
      <calculatedColumnFormula>SUM(C5,F5,I5,L5,O5)</calculatedColumnFormula>
    </tableColumn>
    <tableColumn id="4" xr3:uid="{00000000-0010-0000-0D00-000004000000}" name="All traffic - total" dataDxfId="298" dataCellStyle="Comma 2"/>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14132122329" displayName="Table14132122329" ref="A4:AF10" totalsRowShown="0" headerRowDxfId="318" dataDxfId="317">
  <autoFilter ref="A4:AF1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E00-000001000000}" name="Port" dataDxfId="350"/>
    <tableColumn id="5" xr3:uid="{00000000-0010-0000-0E00-000005000000}" name="1991" dataDxfId="349" dataCellStyle="Normal 3"/>
    <tableColumn id="6" xr3:uid="{00000000-0010-0000-0E00-000006000000}" name="1992" dataDxfId="348" dataCellStyle="Normal 3"/>
    <tableColumn id="7" xr3:uid="{00000000-0010-0000-0E00-000007000000}" name="1993" dataDxfId="347" dataCellStyle="Normal 3"/>
    <tableColumn id="10" xr3:uid="{00000000-0010-0000-0E00-00000A000000}" name="1994" dataDxfId="346" dataCellStyle="Normal 3"/>
    <tableColumn id="11" xr3:uid="{00000000-0010-0000-0E00-00000B000000}" name="1995 [note21]" dataDxfId="345" dataCellStyle="Normal 3"/>
    <tableColumn id="12" xr3:uid="{00000000-0010-0000-0E00-00000C000000}" name="1996" dataDxfId="344" dataCellStyle="Normal 3"/>
    <tableColumn id="13" xr3:uid="{00000000-0010-0000-0E00-00000D000000}" name="1997" dataDxfId="343" dataCellStyle="Normal 3"/>
    <tableColumn id="14" xr3:uid="{00000000-0010-0000-0E00-00000E000000}" name="1998" dataDxfId="342" dataCellStyle="Normal 3"/>
    <tableColumn id="15" xr3:uid="{00000000-0010-0000-0E00-00000F000000}" name="1999" dataDxfId="341" dataCellStyle="Normal 3"/>
    <tableColumn id="2" xr3:uid="{00000000-0010-0000-0E00-000002000000}" name="2000" dataDxfId="340" dataCellStyle="Normal 3"/>
    <tableColumn id="3" xr3:uid="{00000000-0010-0000-0E00-000003000000}" name="2001" dataDxfId="339" dataCellStyle="Normal 3"/>
    <tableColumn id="4" xr3:uid="{00000000-0010-0000-0E00-000004000000}" name="2002" dataDxfId="338" dataCellStyle="Normal 3"/>
    <tableColumn id="9" xr3:uid="{00000000-0010-0000-0E00-000009000000}" name="2003" dataDxfId="337" dataCellStyle="Normal 3"/>
    <tableColumn id="8" xr3:uid="{00000000-0010-0000-0E00-000008000000}" name="2004" dataDxfId="336" dataCellStyle="Normal 3"/>
    <tableColumn id="21" xr3:uid="{00000000-0010-0000-0E00-000015000000}" name="2005" dataDxfId="335" dataCellStyle="Normal 3"/>
    <tableColumn id="22" xr3:uid="{00000000-0010-0000-0E00-000016000000}" name="2006" dataDxfId="334" dataCellStyle="Normal 3"/>
    <tableColumn id="23" xr3:uid="{00000000-0010-0000-0E00-000017000000}" name="2007" dataDxfId="333" dataCellStyle="Normal 3"/>
    <tableColumn id="24" xr3:uid="{00000000-0010-0000-0E00-000018000000}" name="2008" dataDxfId="332" dataCellStyle="Normal 3"/>
    <tableColumn id="25" xr3:uid="{00000000-0010-0000-0E00-000019000000}" name="2009" dataDxfId="331" dataCellStyle="Normal 3"/>
    <tableColumn id="26" xr3:uid="{00000000-0010-0000-0E00-00001A000000}" name="2010" dataDxfId="330" dataCellStyle="Normal 3"/>
    <tableColumn id="27" xr3:uid="{00000000-0010-0000-0E00-00001B000000}" name="2011" dataDxfId="329" dataCellStyle="Normal 3"/>
    <tableColumn id="28" xr3:uid="{00000000-0010-0000-0E00-00001C000000}" name="2012" dataDxfId="328" dataCellStyle="Normal 3"/>
    <tableColumn id="29" xr3:uid="{00000000-0010-0000-0E00-00001D000000}" name="2013" dataDxfId="327" dataCellStyle="Normal 3"/>
    <tableColumn id="30" xr3:uid="{00000000-0010-0000-0E00-00001E000000}" name="2014" dataDxfId="326" dataCellStyle="Normal 3"/>
    <tableColumn id="31" xr3:uid="{00000000-0010-0000-0E00-00001F000000}" name="2015 [note6]" dataDxfId="325" dataCellStyle="Normal 3"/>
    <tableColumn id="32" xr3:uid="{00000000-0010-0000-0E00-000020000000}" name="2016" dataDxfId="324" dataCellStyle="Normal 3"/>
    <tableColumn id="33" xr3:uid="{00000000-0010-0000-0E00-000021000000}" name="2017" dataDxfId="323" dataCellStyle="Normal 3"/>
    <tableColumn id="34" xr3:uid="{00000000-0010-0000-0E00-000022000000}" name="2018" dataDxfId="322" dataCellStyle="Normal 3"/>
    <tableColumn id="35" xr3:uid="{00000000-0010-0000-0E00-000023000000}" name="2019" dataDxfId="321" dataCellStyle="Normal 3"/>
    <tableColumn id="36" xr3:uid="{00000000-0010-0000-0E00-000024000000}" name="2020" dataDxfId="320" dataCellStyle="Normal 3"/>
    <tableColumn id="16" xr3:uid="{00000000-0010-0000-0E00-000010000000}" name="2021" dataDxfId="319" dataCellStyle="Normal 3"/>
  </tableColumns>
  <tableStyleInfo name="TableStyleLight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F000000}" name="Table1413212232910" displayName="Table1413212232910" ref="A4:AF10" totalsRowShown="0" headerRowDxfId="352" dataDxfId="351">
  <autoFilter ref="A4:AF1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F00-000001000000}" name="Port" dataDxfId="384"/>
    <tableColumn id="5" xr3:uid="{00000000-0010-0000-0F00-000005000000}" name="1991" dataDxfId="383" dataCellStyle="Normal 3"/>
    <tableColumn id="6" xr3:uid="{00000000-0010-0000-0F00-000006000000}" name="1992" dataDxfId="382" dataCellStyle="Normal 3"/>
    <tableColumn id="7" xr3:uid="{00000000-0010-0000-0F00-000007000000}" name="1993" dataDxfId="381" dataCellStyle="Normal 3"/>
    <tableColumn id="10" xr3:uid="{00000000-0010-0000-0F00-00000A000000}" name="1994" dataDxfId="380" dataCellStyle="Normal 3"/>
    <tableColumn id="11" xr3:uid="{00000000-0010-0000-0F00-00000B000000}" name="1995 [note21]" dataDxfId="379" dataCellStyle="Normal 3"/>
    <tableColumn id="12" xr3:uid="{00000000-0010-0000-0F00-00000C000000}" name="1996" dataDxfId="378" dataCellStyle="Normal 3"/>
    <tableColumn id="13" xr3:uid="{00000000-0010-0000-0F00-00000D000000}" name="1997" dataDxfId="377" dataCellStyle="Normal 3"/>
    <tableColumn id="14" xr3:uid="{00000000-0010-0000-0F00-00000E000000}" name="1998" dataDxfId="376" dataCellStyle="Normal 3"/>
    <tableColumn id="15" xr3:uid="{00000000-0010-0000-0F00-00000F000000}" name="1999" dataDxfId="375" dataCellStyle="Normal 3"/>
    <tableColumn id="2" xr3:uid="{00000000-0010-0000-0F00-000002000000}" name="2000" dataDxfId="374" dataCellStyle="Normal 3"/>
    <tableColumn id="3" xr3:uid="{00000000-0010-0000-0F00-000003000000}" name="2001" dataDxfId="373" dataCellStyle="Normal 3"/>
    <tableColumn id="4" xr3:uid="{00000000-0010-0000-0F00-000004000000}" name="2002" dataDxfId="372" dataCellStyle="Normal 3"/>
    <tableColumn id="9" xr3:uid="{00000000-0010-0000-0F00-000009000000}" name="2003" dataDxfId="371" dataCellStyle="Normal 3"/>
    <tableColumn id="8" xr3:uid="{00000000-0010-0000-0F00-000008000000}" name="2004" dataDxfId="370" dataCellStyle="Normal 3"/>
    <tableColumn id="21" xr3:uid="{00000000-0010-0000-0F00-000015000000}" name="2005" dataDxfId="369" dataCellStyle="Normal 3"/>
    <tableColumn id="22" xr3:uid="{00000000-0010-0000-0F00-000016000000}" name="2006" dataDxfId="368" dataCellStyle="Normal 3"/>
    <tableColumn id="23" xr3:uid="{00000000-0010-0000-0F00-000017000000}" name="2007" dataDxfId="367" dataCellStyle="Normal 3"/>
    <tableColumn id="24" xr3:uid="{00000000-0010-0000-0F00-000018000000}" name="2008" dataDxfId="366" dataCellStyle="Normal 3"/>
    <tableColumn id="25" xr3:uid="{00000000-0010-0000-0F00-000019000000}" name="2009" dataDxfId="365" dataCellStyle="Normal 3"/>
    <tableColumn id="26" xr3:uid="{00000000-0010-0000-0F00-00001A000000}" name="2010" dataDxfId="364" dataCellStyle="Normal 3"/>
    <tableColumn id="27" xr3:uid="{00000000-0010-0000-0F00-00001B000000}" name="2011" dataDxfId="363" dataCellStyle="Normal 3"/>
    <tableColumn id="28" xr3:uid="{00000000-0010-0000-0F00-00001C000000}" name="2012" dataDxfId="362" dataCellStyle="Normal 3"/>
    <tableColumn id="29" xr3:uid="{00000000-0010-0000-0F00-00001D000000}" name="2013" dataDxfId="361" dataCellStyle="Normal 3"/>
    <tableColumn id="30" xr3:uid="{00000000-0010-0000-0F00-00001E000000}" name="2014" dataDxfId="360" dataCellStyle="Normal 3"/>
    <tableColumn id="31" xr3:uid="{00000000-0010-0000-0F00-00001F000000}" name="2015 [note6]" dataDxfId="359" dataCellStyle="Normal 3"/>
    <tableColumn id="32" xr3:uid="{00000000-0010-0000-0F00-000020000000}" name="2016" dataDxfId="358" dataCellStyle="Normal 3"/>
    <tableColumn id="33" xr3:uid="{00000000-0010-0000-0F00-000021000000}" name="2017" dataDxfId="357" dataCellStyle="Normal 3"/>
    <tableColumn id="34" xr3:uid="{00000000-0010-0000-0F00-000022000000}" name="2018" dataDxfId="356" dataCellStyle="Normal 3"/>
    <tableColumn id="35" xr3:uid="{00000000-0010-0000-0F00-000023000000}" name="2019" dataDxfId="355" dataCellStyle="Normal 3"/>
    <tableColumn id="36" xr3:uid="{00000000-0010-0000-0F00-000024000000}" name="2020" dataDxfId="354" dataCellStyle="Normal 3"/>
    <tableColumn id="16" xr3:uid="{00000000-0010-0000-0F00-000010000000}" name="2021" dataDxfId="353" dataCellStyle="Normal 3"/>
  </tableColumns>
  <tableStyleInfo name="TableStyleLight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0000000}" name="Table1413212232911" displayName="Table1413212232911" ref="A4:AF20" totalsRowShown="0" headerRowDxfId="386" dataDxfId="385">
  <autoFilter ref="A4:AF2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000-000001000000}" name="Freight" dataDxfId="418" dataCellStyle="Normal 3"/>
    <tableColumn id="5" xr3:uid="{00000000-0010-0000-1000-000005000000}" name="1991" dataDxfId="417" dataCellStyle="Normal 3"/>
    <tableColumn id="6" xr3:uid="{00000000-0010-0000-1000-000006000000}" name="1992" dataDxfId="416" dataCellStyle="Normal 3"/>
    <tableColumn id="7" xr3:uid="{00000000-0010-0000-1000-000007000000}" name="1993" dataDxfId="415" dataCellStyle="Normal 3"/>
    <tableColumn id="10" xr3:uid="{00000000-0010-0000-1000-00000A000000}" name="1994" dataDxfId="414" dataCellStyle="Normal 3"/>
    <tableColumn id="11" xr3:uid="{00000000-0010-0000-1000-00000B000000}" name="1995 [note21]" dataDxfId="413" dataCellStyle="Normal 3"/>
    <tableColumn id="12" xr3:uid="{00000000-0010-0000-1000-00000C000000}" name="1996" dataDxfId="412" dataCellStyle="Normal 3"/>
    <tableColumn id="13" xr3:uid="{00000000-0010-0000-1000-00000D000000}" name="1997" dataDxfId="411" dataCellStyle="Normal 3"/>
    <tableColumn id="14" xr3:uid="{00000000-0010-0000-1000-00000E000000}" name="1998" dataDxfId="410" dataCellStyle="Normal 3"/>
    <tableColumn id="15" xr3:uid="{00000000-0010-0000-1000-00000F000000}" name="1999" dataDxfId="409" dataCellStyle="Normal 3"/>
    <tableColumn id="2" xr3:uid="{00000000-0010-0000-1000-000002000000}" name="2000" dataDxfId="408" dataCellStyle="Normal 3"/>
    <tableColumn id="3" xr3:uid="{00000000-0010-0000-1000-000003000000}" name="2001" dataDxfId="407" dataCellStyle="Normal 3"/>
    <tableColumn id="4" xr3:uid="{00000000-0010-0000-1000-000004000000}" name="2002" dataDxfId="406" dataCellStyle="Normal 3"/>
    <tableColumn id="9" xr3:uid="{00000000-0010-0000-1000-000009000000}" name="2003" dataDxfId="405" dataCellStyle="Normal 3"/>
    <tableColumn id="8" xr3:uid="{00000000-0010-0000-1000-000008000000}" name="2004" dataDxfId="404" dataCellStyle="Normal 3"/>
    <tableColumn id="21" xr3:uid="{00000000-0010-0000-1000-000015000000}" name="2005" dataDxfId="403" dataCellStyle="Normal 3"/>
    <tableColumn id="22" xr3:uid="{00000000-0010-0000-1000-000016000000}" name="2006" dataDxfId="402" dataCellStyle="Normal 3"/>
    <tableColumn id="23" xr3:uid="{00000000-0010-0000-1000-000017000000}" name="2007" dataDxfId="401" dataCellStyle="Normal 3"/>
    <tableColumn id="24" xr3:uid="{00000000-0010-0000-1000-000018000000}" name="2008" dataDxfId="400" dataCellStyle="Normal 3"/>
    <tableColumn id="25" xr3:uid="{00000000-0010-0000-1000-000019000000}" name="2009" dataDxfId="399" dataCellStyle="Normal 3"/>
    <tableColumn id="26" xr3:uid="{00000000-0010-0000-1000-00001A000000}" name="2010" dataDxfId="398" dataCellStyle="Normal 3"/>
    <tableColumn id="27" xr3:uid="{00000000-0010-0000-1000-00001B000000}" name="2011" dataDxfId="397" dataCellStyle="Normal 3"/>
    <tableColumn id="28" xr3:uid="{00000000-0010-0000-1000-00001C000000}" name="2012" dataDxfId="396" dataCellStyle="Normal 3"/>
    <tableColumn id="29" xr3:uid="{00000000-0010-0000-1000-00001D000000}" name="2013" dataDxfId="395" dataCellStyle="Normal 3"/>
    <tableColumn id="30" xr3:uid="{00000000-0010-0000-1000-00001E000000}" name="2014" dataDxfId="394" dataCellStyle="Normal 3"/>
    <tableColumn id="31" xr3:uid="{00000000-0010-0000-1000-00001F000000}" name="2015 [note6]" dataDxfId="393" dataCellStyle="Normal 3"/>
    <tableColumn id="32" xr3:uid="{00000000-0010-0000-1000-000020000000}" name="2016" dataDxfId="392" dataCellStyle="Normal 3"/>
    <tableColumn id="33" xr3:uid="{00000000-0010-0000-1000-000021000000}" name="2017" dataDxfId="391" dataCellStyle="Normal 3"/>
    <tableColumn id="34" xr3:uid="{00000000-0010-0000-1000-000022000000}" name="2018" dataDxfId="390" dataCellStyle="Normal 3"/>
    <tableColumn id="35" xr3:uid="{00000000-0010-0000-1000-000023000000}" name="2019" dataDxfId="389" dataCellStyle="Normal 3"/>
    <tableColumn id="36" xr3:uid="{00000000-0010-0000-1000-000024000000}" name="2020" dataDxfId="388" dataCellStyle="Normal 3"/>
    <tableColumn id="16" xr3:uid="{00000000-0010-0000-1000-000010000000}" name="2021" dataDxfId="387" dataCellStyle="Normal 3"/>
  </tableColumns>
  <tableStyleInfo name="TableStyleLight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1000000}" name="Table141321223291112" displayName="Table141321223291112" ref="A4:AE23" totalsRowShown="0" headerRowDxfId="420" dataDxfId="419" dataCellStyle="Comma">
  <autoFilter ref="A4:AE23"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1100-000001000000}" name="Operator" dataDxfId="451" dataCellStyle="Comma"/>
    <tableColumn id="6" xr3:uid="{00000000-0010-0000-1100-000006000000}" name="1992" dataDxfId="450" dataCellStyle="Comma"/>
    <tableColumn id="7" xr3:uid="{00000000-0010-0000-1100-000007000000}" name="1993" dataDxfId="449" dataCellStyle="Comma"/>
    <tableColumn id="10" xr3:uid="{00000000-0010-0000-1100-00000A000000}" name="1994" dataDxfId="448" dataCellStyle="Comma"/>
    <tableColumn id="11" xr3:uid="{00000000-0010-0000-1100-00000B000000}" name="1995" dataDxfId="447" dataCellStyle="Comma"/>
    <tableColumn id="12" xr3:uid="{00000000-0010-0000-1100-00000C000000}" name="1996" dataDxfId="446" dataCellStyle="Comma"/>
    <tableColumn id="13" xr3:uid="{00000000-0010-0000-1100-00000D000000}" name="1997" dataDxfId="445" dataCellStyle="Comma"/>
    <tableColumn id="14" xr3:uid="{00000000-0010-0000-1100-00000E000000}" name="1998" dataDxfId="444" dataCellStyle="Comma"/>
    <tableColumn id="15" xr3:uid="{00000000-0010-0000-1100-00000F000000}" name="1999" dataDxfId="443" dataCellStyle="Comma"/>
    <tableColumn id="2" xr3:uid="{00000000-0010-0000-1100-000002000000}" name="2000" dataDxfId="442" dataCellStyle="Comma"/>
    <tableColumn id="3" xr3:uid="{00000000-0010-0000-1100-000003000000}" name="2001" dataDxfId="441" dataCellStyle="Comma"/>
    <tableColumn id="4" xr3:uid="{00000000-0010-0000-1100-000004000000}" name="2002" dataDxfId="440" dataCellStyle="Comma"/>
    <tableColumn id="9" xr3:uid="{00000000-0010-0000-1100-000009000000}" name="2003" dataDxfId="439" dataCellStyle="Comma"/>
    <tableColumn id="8" xr3:uid="{00000000-0010-0000-1100-000008000000}" name="2004" dataDxfId="438" dataCellStyle="Comma"/>
    <tableColumn id="21" xr3:uid="{00000000-0010-0000-1100-000015000000}" name="2005" dataDxfId="437" dataCellStyle="Comma"/>
    <tableColumn id="22" xr3:uid="{00000000-0010-0000-1100-000016000000}" name="2006" dataDxfId="436" dataCellStyle="Comma"/>
    <tableColumn id="23" xr3:uid="{00000000-0010-0000-1100-000017000000}" name="2007" dataDxfId="435" dataCellStyle="Comma"/>
    <tableColumn id="24" xr3:uid="{00000000-0010-0000-1100-000018000000}" name="2008" dataDxfId="434" dataCellStyle="Comma"/>
    <tableColumn id="25" xr3:uid="{00000000-0010-0000-1100-000019000000}" name="2009" dataDxfId="433" dataCellStyle="Comma"/>
    <tableColumn id="26" xr3:uid="{00000000-0010-0000-1100-00001A000000}" name="2010" dataDxfId="432" dataCellStyle="Comma"/>
    <tableColumn id="27" xr3:uid="{00000000-0010-0000-1100-00001B000000}" name="2011" dataDxfId="431" dataCellStyle="Comma"/>
    <tableColumn id="28" xr3:uid="{00000000-0010-0000-1100-00001C000000}" name="2012" dataDxfId="430" dataCellStyle="Comma"/>
    <tableColumn id="29" xr3:uid="{00000000-0010-0000-1100-00001D000000}" name="2013" dataDxfId="429" dataCellStyle="Comma"/>
    <tableColumn id="30" xr3:uid="{00000000-0010-0000-1100-00001E000000}" name="2014" dataDxfId="428" dataCellStyle="Comma"/>
    <tableColumn id="31" xr3:uid="{00000000-0010-0000-1100-00001F000000}" name="2015" dataDxfId="427" dataCellStyle="Comma"/>
    <tableColumn id="32" xr3:uid="{00000000-0010-0000-1100-000020000000}" name="2016" dataDxfId="426" dataCellStyle="Comma"/>
    <tableColumn id="33" xr3:uid="{00000000-0010-0000-1100-000021000000}" name="2017" dataDxfId="425" dataCellStyle="Comma"/>
    <tableColumn id="34" xr3:uid="{00000000-0010-0000-1100-000022000000}" name="2018" dataDxfId="424" dataCellStyle="Comma"/>
    <tableColumn id="35" xr3:uid="{00000000-0010-0000-1100-000023000000}" name="2019" dataDxfId="423" dataCellStyle="Comma"/>
    <tableColumn id="36" xr3:uid="{00000000-0010-0000-1100-000024000000}" name="2020 [note30]" dataDxfId="422" dataCellStyle="Comma"/>
    <tableColumn id="5" xr3:uid="{00000000-0010-0000-1100-000005000000}" name="2021 [note30]" dataDxfId="421" dataCellStyle="Comma"/>
  </tableColumns>
  <tableStyleInfo name="TableStyleLight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2000000}" name="Table14132122329111213" displayName="Table14132122329111213" ref="A4:AE19" totalsRowShown="0" headerRowDxfId="453" dataDxfId="452">
  <autoFilter ref="A4:AE19"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1200-000001000000}" name="Operator" dataDxfId="484" dataCellStyle="Normal 2"/>
    <tableColumn id="6" xr3:uid="{00000000-0010-0000-1200-000006000000}" name="1992" dataDxfId="483" dataCellStyle="Normal 3">
      <calculatedColumnFormula>SUM('9.14a'!C5:C6)</calculatedColumnFormula>
    </tableColumn>
    <tableColumn id="7" xr3:uid="{00000000-0010-0000-1200-000007000000}" name="1993" dataDxfId="482" dataCellStyle="Normal 3"/>
    <tableColumn id="10" xr3:uid="{00000000-0010-0000-1200-00000A000000}" name="1994" dataDxfId="481" dataCellStyle="Normal 3"/>
    <tableColumn id="11" xr3:uid="{00000000-0010-0000-1200-00000B000000}" name="1995" dataDxfId="480" dataCellStyle="Normal 3"/>
    <tableColumn id="12" xr3:uid="{00000000-0010-0000-1200-00000C000000}" name="1996" dataDxfId="479" dataCellStyle="Normal 3"/>
    <tableColumn id="13" xr3:uid="{00000000-0010-0000-1200-00000D000000}" name="1997" dataDxfId="478" dataCellStyle="Normal 3"/>
    <tableColumn id="14" xr3:uid="{00000000-0010-0000-1200-00000E000000}" name="1998" dataDxfId="477" dataCellStyle="Normal 3"/>
    <tableColumn id="15" xr3:uid="{00000000-0010-0000-1200-00000F000000}" name="1999" dataDxfId="476" dataCellStyle="Normal 3"/>
    <tableColumn id="2" xr3:uid="{00000000-0010-0000-1200-000002000000}" name="2000" dataDxfId="475" dataCellStyle="Normal 3"/>
    <tableColumn id="3" xr3:uid="{00000000-0010-0000-1200-000003000000}" name="2001" dataDxfId="474" dataCellStyle="Normal 3"/>
    <tableColumn id="4" xr3:uid="{00000000-0010-0000-1200-000004000000}" name="2002" dataDxfId="473" dataCellStyle="Normal 3"/>
    <tableColumn id="9" xr3:uid="{00000000-0010-0000-1200-000009000000}" name="2003" dataDxfId="472" dataCellStyle="Normal 3"/>
    <tableColumn id="8" xr3:uid="{00000000-0010-0000-1200-000008000000}" name="2004" dataDxfId="471" dataCellStyle="Normal 3"/>
    <tableColumn id="21" xr3:uid="{00000000-0010-0000-1200-000015000000}" name="2005" dataDxfId="470" dataCellStyle="Normal 3"/>
    <tableColumn id="22" xr3:uid="{00000000-0010-0000-1200-000016000000}" name="2006" dataDxfId="469" dataCellStyle="Normal 3"/>
    <tableColumn id="23" xr3:uid="{00000000-0010-0000-1200-000017000000}" name="2007" dataDxfId="468" dataCellStyle="Normal 3"/>
    <tableColumn id="24" xr3:uid="{00000000-0010-0000-1200-000018000000}" name="2008" dataDxfId="467" dataCellStyle="Normal 3"/>
    <tableColumn id="25" xr3:uid="{00000000-0010-0000-1200-000019000000}" name="2009" dataDxfId="466" dataCellStyle="Normal 3"/>
    <tableColumn id="26" xr3:uid="{00000000-0010-0000-1200-00001A000000}" name="2010" dataDxfId="465" dataCellStyle="Normal 3"/>
    <tableColumn id="27" xr3:uid="{00000000-0010-0000-1200-00001B000000}" name="2011" dataDxfId="464" dataCellStyle="Normal 3"/>
    <tableColumn id="28" xr3:uid="{00000000-0010-0000-1200-00001C000000}" name="2012" dataDxfId="463" dataCellStyle="Normal 3"/>
    <tableColumn id="29" xr3:uid="{00000000-0010-0000-1200-00001D000000}" name="2013" dataDxfId="462" dataCellStyle="Normal 3"/>
    <tableColumn id="30" xr3:uid="{00000000-0010-0000-1200-00001E000000}" name="2014" dataDxfId="461" dataCellStyle="Normal 3"/>
    <tableColumn id="31" xr3:uid="{00000000-0010-0000-1200-00001F000000}" name="2015" dataDxfId="460" dataCellStyle="Normal 3"/>
    <tableColumn id="32" xr3:uid="{00000000-0010-0000-1200-000020000000}" name="2016" dataDxfId="459" dataCellStyle="Normal 3"/>
    <tableColumn id="33" xr3:uid="{00000000-0010-0000-1200-000021000000}" name="2017" dataDxfId="458" dataCellStyle="Normal 3"/>
    <tableColumn id="34" xr3:uid="{00000000-0010-0000-1200-000022000000}" name="2018" dataDxfId="457" dataCellStyle="Normal 3"/>
    <tableColumn id="35" xr3:uid="{00000000-0010-0000-1200-000023000000}" name="2019" dataDxfId="456" dataCellStyle="Normal 3"/>
    <tableColumn id="36" xr3:uid="{00000000-0010-0000-1200-000024000000}" name="2020 [note30]" dataDxfId="455" dataCellStyle="Normal 3"/>
    <tableColumn id="5" xr3:uid="{00000000-0010-0000-1200-000005000000}" name="2021 [note30]" dataDxfId="454" dataCellStyle="Normal 3"/>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17" displayName="Table17" ref="A3:B81" totalsRowShown="0" headerRowDxfId="1" dataDxfId="0">
  <autoFilter ref="A3:B81" xr:uid="{00000000-0009-0000-0100-000010000000}">
    <filterColumn colId="0" hiddenButton="1"/>
    <filterColumn colId="1" hiddenButton="1"/>
  </autoFilter>
  <tableColumns count="2">
    <tableColumn id="1" xr3:uid="{00000000-0010-0000-0100-000001000000}" name="Note number " dataDxfId="3"/>
    <tableColumn id="2" xr3:uid="{00000000-0010-0000-0100-000002000000}" name="Note text " dataDxfId="2"/>
  </tableColumns>
  <tableStyleInfo name="TableStyleLight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3000000}" name="Table1413212232911121314" displayName="Table1413212232911121314" ref="A4:AF20" totalsRowShown="0" headerRowDxfId="486" dataDxfId="485">
  <autoFilter ref="A4:AF2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300-000001000000}" name="Route" dataDxfId="518" dataCellStyle="Normal 2"/>
    <tableColumn id="5" xr3:uid="{00000000-0010-0000-1300-000005000000}" name="1991" dataDxfId="517" dataCellStyle="Normal 2"/>
    <tableColumn id="6" xr3:uid="{00000000-0010-0000-1300-000006000000}" name="1992" dataDxfId="516" dataCellStyle="Normal 3"/>
    <tableColumn id="7" xr3:uid="{00000000-0010-0000-1300-000007000000}" name="1993" dataDxfId="515" dataCellStyle="Normal 3"/>
    <tableColumn id="10" xr3:uid="{00000000-0010-0000-1300-00000A000000}" name="1994" dataDxfId="514" dataCellStyle="Normal 3"/>
    <tableColumn id="11" xr3:uid="{00000000-0010-0000-1300-00000B000000}" name="1995" dataDxfId="513" dataCellStyle="Normal 3"/>
    <tableColumn id="12" xr3:uid="{00000000-0010-0000-1300-00000C000000}" name="1996" dataDxfId="512" dataCellStyle="Normal 3"/>
    <tableColumn id="13" xr3:uid="{00000000-0010-0000-1300-00000D000000}" name="1997" dataDxfId="511" dataCellStyle="Normal 3"/>
    <tableColumn id="14" xr3:uid="{00000000-0010-0000-1300-00000E000000}" name="1998" dataDxfId="510" dataCellStyle="Normal 3"/>
    <tableColumn id="15" xr3:uid="{00000000-0010-0000-1300-00000F000000}" name="1999" dataDxfId="509" dataCellStyle="Normal 3"/>
    <tableColumn id="2" xr3:uid="{00000000-0010-0000-1300-000002000000}" name="2000" dataDxfId="508" dataCellStyle="Normal 3"/>
    <tableColumn id="3" xr3:uid="{00000000-0010-0000-1300-000003000000}" name="2001" dataDxfId="507" dataCellStyle="Normal 3"/>
    <tableColumn id="4" xr3:uid="{00000000-0010-0000-1300-000004000000}" name="2002" dataDxfId="506" dataCellStyle="Normal 3"/>
    <tableColumn id="9" xr3:uid="{00000000-0010-0000-1300-000009000000}" name="2003" dataDxfId="505" dataCellStyle="Normal 3"/>
    <tableColumn id="8" xr3:uid="{00000000-0010-0000-1300-000008000000}" name="2004" dataDxfId="504" dataCellStyle="Normal 3"/>
    <tableColumn id="21" xr3:uid="{00000000-0010-0000-1300-000015000000}" name="2005" dataDxfId="503" dataCellStyle="Normal 3"/>
    <tableColumn id="22" xr3:uid="{00000000-0010-0000-1300-000016000000}" name="2006" dataDxfId="502" dataCellStyle="Normal 3"/>
    <tableColumn id="23" xr3:uid="{00000000-0010-0000-1300-000017000000}" name="2007" dataDxfId="501" dataCellStyle="Normal 3"/>
    <tableColumn id="24" xr3:uid="{00000000-0010-0000-1300-000018000000}" name="2008" dataDxfId="500" dataCellStyle="Normal 3"/>
    <tableColumn id="25" xr3:uid="{00000000-0010-0000-1300-000019000000}" name="2009" dataDxfId="499" dataCellStyle="Normal 3"/>
    <tableColumn id="26" xr3:uid="{00000000-0010-0000-1300-00001A000000}" name="2010" dataDxfId="498" dataCellStyle="Normal 3"/>
    <tableColumn id="27" xr3:uid="{00000000-0010-0000-1300-00001B000000}" name="2011" dataDxfId="497" dataCellStyle="Normal 3"/>
    <tableColumn id="28" xr3:uid="{00000000-0010-0000-1300-00001C000000}" name="2012" dataDxfId="496" dataCellStyle="Normal 3"/>
    <tableColumn id="29" xr3:uid="{00000000-0010-0000-1300-00001D000000}" name="2013" dataDxfId="495" dataCellStyle="Normal 3"/>
    <tableColumn id="30" xr3:uid="{00000000-0010-0000-1300-00001E000000}" name="2014" dataDxfId="494" dataCellStyle="Normal 3"/>
    <tableColumn id="31" xr3:uid="{00000000-0010-0000-1300-00001F000000}" name="2015" dataDxfId="493" dataCellStyle="Normal 3"/>
    <tableColumn id="32" xr3:uid="{00000000-0010-0000-1300-000020000000}" name="2016" dataDxfId="492" dataCellStyle="Normal 3"/>
    <tableColumn id="33" xr3:uid="{00000000-0010-0000-1300-000021000000}" name="2017" dataDxfId="491" dataCellStyle="Normal 3"/>
    <tableColumn id="34" xr3:uid="{00000000-0010-0000-1300-000022000000}" name="2018" dataDxfId="490" dataCellStyle="Normal 3"/>
    <tableColumn id="35" xr3:uid="{00000000-0010-0000-1300-000023000000}" name="2019" dataDxfId="489" dataCellStyle="Normal 3"/>
    <tableColumn id="36" xr3:uid="{00000000-0010-0000-1300-000024000000}" name="2020 [note30]" dataDxfId="488" dataCellStyle="Normal 3"/>
    <tableColumn id="16" xr3:uid="{00000000-0010-0000-1300-000010000000}" name="2021 [note30]" dataDxfId="487" dataCellStyle="Normal 3"/>
  </tableColumns>
  <tableStyleInfo name="TableStyleLight1"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4000000}" name="Table141321223291112131433" displayName="Table141321223291112131433" ref="A4:T16" totalsRowShown="0" headerRowDxfId="520" dataDxfId="519">
  <autoFilter ref="A4:T16" xr:uid="{00000000-0009-0000-0100-00002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1400-000001000000}" name="Route" dataDxfId="540" dataCellStyle="Normal 2"/>
    <tableColumn id="2" xr3:uid="{00000000-0010-0000-1400-000002000000}" name="2000" dataDxfId="539" dataCellStyle="Normal 3"/>
    <tableColumn id="3" xr3:uid="{00000000-0010-0000-1400-000003000000}" name="2001" dataDxfId="538" dataCellStyle="Normal 3"/>
    <tableColumn id="4" xr3:uid="{00000000-0010-0000-1400-000004000000}" name="2002" dataDxfId="537" dataCellStyle="Normal 3"/>
    <tableColumn id="9" xr3:uid="{00000000-0010-0000-1400-000009000000}" name="2003" dataDxfId="536" dataCellStyle="Normal 3"/>
    <tableColumn id="8" xr3:uid="{00000000-0010-0000-1400-000008000000}" name="2004" dataDxfId="535" dataCellStyle="Normal 3"/>
    <tableColumn id="21" xr3:uid="{00000000-0010-0000-1400-000015000000}" name="2005" dataDxfId="534" dataCellStyle="Normal 3"/>
    <tableColumn id="22" xr3:uid="{00000000-0010-0000-1400-000016000000}" name="2006" dataDxfId="533" dataCellStyle="Normal 3"/>
    <tableColumn id="23" xr3:uid="{00000000-0010-0000-1400-000017000000}" name="2007" dataDxfId="532" dataCellStyle="Normal 3"/>
    <tableColumn id="24" xr3:uid="{00000000-0010-0000-1400-000018000000}" name="2008" dataDxfId="531" dataCellStyle="Normal 3"/>
    <tableColumn id="25" xr3:uid="{00000000-0010-0000-1400-000019000000}" name="2009" dataDxfId="530" dataCellStyle="Normal 3"/>
    <tableColumn id="26" xr3:uid="{00000000-0010-0000-1400-00001A000000}" name="2010" dataDxfId="529" dataCellStyle="Normal 3"/>
    <tableColumn id="27" xr3:uid="{00000000-0010-0000-1400-00001B000000}" name="2011" dataDxfId="528" dataCellStyle="Normal 3"/>
    <tableColumn id="28" xr3:uid="{00000000-0010-0000-1400-00001C000000}" name="2012" dataDxfId="527" dataCellStyle="Normal 3"/>
    <tableColumn id="29" xr3:uid="{00000000-0010-0000-1400-00001D000000}" name="2013" dataDxfId="526" dataCellStyle="Normal 3"/>
    <tableColumn id="30" xr3:uid="{00000000-0010-0000-1400-00001E000000}" name="2014" dataDxfId="525" dataCellStyle="Normal 3"/>
    <tableColumn id="31" xr3:uid="{00000000-0010-0000-1400-00001F000000}" name="2015" dataDxfId="524" dataCellStyle="Normal 3"/>
    <tableColumn id="32" xr3:uid="{00000000-0010-0000-1400-000020000000}" name="2016" dataDxfId="523" dataCellStyle="Normal 3"/>
    <tableColumn id="33" xr3:uid="{00000000-0010-0000-1400-000021000000}" name="2017" dataDxfId="522" dataCellStyle="Normal 3"/>
    <tableColumn id="34" xr3:uid="{00000000-0010-0000-1400-000022000000}" name="2018" dataDxfId="521" dataCellStyle="Normal 3"/>
  </tableColumns>
  <tableStyleInfo name="TableStyleLight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5000000}" name="Table141321223291112131415" displayName="Table141321223291112131415" ref="A4:AF32" totalsRowShown="0" headerRowDxfId="542" dataDxfId="541" dataCellStyle="Normal 2">
  <autoFilter ref="A4:AF3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500-000001000000}" name="Operator" dataDxfId="574" dataCellStyle="Normal 2"/>
    <tableColumn id="5" xr3:uid="{00000000-0010-0000-1500-000005000000}" name="Unit" dataDxfId="573" dataCellStyle="Normal 2"/>
    <tableColumn id="6" xr3:uid="{00000000-0010-0000-1500-000006000000}" name="1992" dataDxfId="572" dataCellStyle="Normal 2"/>
    <tableColumn id="7" xr3:uid="{00000000-0010-0000-1500-000007000000}" name="1993" dataDxfId="571" dataCellStyle="Normal 3"/>
    <tableColumn id="10" xr3:uid="{00000000-0010-0000-1500-00000A000000}" name="1994" dataDxfId="570" dataCellStyle="Normal 3"/>
    <tableColumn id="11" xr3:uid="{00000000-0010-0000-1500-00000B000000}" name="1995" dataDxfId="569" dataCellStyle="Normal 3"/>
    <tableColumn id="12" xr3:uid="{00000000-0010-0000-1500-00000C000000}" name="1996" dataDxfId="568" dataCellStyle="Normal 3"/>
    <tableColumn id="13" xr3:uid="{00000000-0010-0000-1500-00000D000000}" name="1997" dataDxfId="567" dataCellStyle="Normal 3"/>
    <tableColumn id="14" xr3:uid="{00000000-0010-0000-1500-00000E000000}" name="1998" dataDxfId="566" dataCellStyle="Normal 3"/>
    <tableColumn id="15" xr3:uid="{00000000-0010-0000-1500-00000F000000}" name="1999" dataDxfId="565" dataCellStyle="Normal 3"/>
    <tableColumn id="2" xr3:uid="{00000000-0010-0000-1500-000002000000}" name="2000" dataDxfId="564" dataCellStyle="Normal 2"/>
    <tableColumn id="3" xr3:uid="{00000000-0010-0000-1500-000003000000}" name="2001" dataDxfId="563" dataCellStyle="Normal 2"/>
    <tableColumn id="4" xr3:uid="{00000000-0010-0000-1500-000004000000}" name="2002" dataDxfId="562" dataCellStyle="Normal 2"/>
    <tableColumn id="9" xr3:uid="{00000000-0010-0000-1500-000009000000}" name="2003" dataDxfId="561" dataCellStyle="Normal 2"/>
    <tableColumn id="8" xr3:uid="{00000000-0010-0000-1500-000008000000}" name="2004" dataDxfId="560" dataCellStyle="Normal 2"/>
    <tableColumn id="21" xr3:uid="{00000000-0010-0000-1500-000015000000}" name="2005" dataDxfId="559" dataCellStyle="Normal 2"/>
    <tableColumn id="22" xr3:uid="{00000000-0010-0000-1500-000016000000}" name="2006" dataDxfId="558" dataCellStyle="Normal 2"/>
    <tableColumn id="23" xr3:uid="{00000000-0010-0000-1500-000017000000}" name="2007" dataDxfId="557" dataCellStyle="Normal 2"/>
    <tableColumn id="24" xr3:uid="{00000000-0010-0000-1500-000018000000}" name="2008" dataDxfId="556" dataCellStyle="Normal 2"/>
    <tableColumn id="25" xr3:uid="{00000000-0010-0000-1500-000019000000}" name="2009" dataDxfId="555" dataCellStyle="Normal 2"/>
    <tableColumn id="26" xr3:uid="{00000000-0010-0000-1500-00001A000000}" name="2010" dataDxfId="554" dataCellStyle="Normal 2"/>
    <tableColumn id="27" xr3:uid="{00000000-0010-0000-1500-00001B000000}" name="2011" dataDxfId="553" dataCellStyle="Normal 2"/>
    <tableColumn id="28" xr3:uid="{00000000-0010-0000-1500-00001C000000}" name="2012" dataDxfId="552" dataCellStyle="Normal 2"/>
    <tableColumn id="29" xr3:uid="{00000000-0010-0000-1500-00001D000000}" name="2013" dataDxfId="551" dataCellStyle="Normal 2"/>
    <tableColumn id="30" xr3:uid="{00000000-0010-0000-1500-00001E000000}" name="2014" dataDxfId="550" dataCellStyle="Normal 2"/>
    <tableColumn id="31" xr3:uid="{00000000-0010-0000-1500-00001F000000}" name="2015" dataDxfId="549" dataCellStyle="Normal 2"/>
    <tableColumn id="32" xr3:uid="{00000000-0010-0000-1500-000020000000}" name="2016" dataDxfId="548" dataCellStyle="Normal 2"/>
    <tableColumn id="33" xr3:uid="{00000000-0010-0000-1500-000021000000}" name="2017" dataDxfId="547" dataCellStyle="Normal 2"/>
    <tableColumn id="34" xr3:uid="{00000000-0010-0000-1500-000022000000}" name="2018" dataDxfId="546" dataCellStyle="Normal 2"/>
    <tableColumn id="35" xr3:uid="{00000000-0010-0000-1500-000023000000}" name="2019" dataDxfId="545" dataCellStyle="Normal 3"/>
    <tableColumn id="36" xr3:uid="{00000000-0010-0000-1500-000024000000}" name="2020 [note30]" dataDxfId="544" dataCellStyle="Normal 3"/>
    <tableColumn id="16" xr3:uid="{00000000-0010-0000-1500-000010000000}" name="2021 [note30]" dataDxfId="543" dataCellStyle="Normal 2"/>
  </tableColumns>
  <tableStyleInfo name="TableStyleLight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e14132122329111213141516" displayName="Table14132122329111213141516" ref="A4:AF17" totalsRowShown="0" headerRowDxfId="576" dataDxfId="575" dataCellStyle="Normal 2">
  <autoFilter ref="A4:AF17"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600-000001000000}" name="Operator" dataDxfId="608" dataCellStyle="Normal 2"/>
    <tableColumn id="5" xr3:uid="{00000000-0010-0000-1600-000005000000}" name="Unit" dataDxfId="607" dataCellStyle="Normal 2"/>
    <tableColumn id="6" xr3:uid="{00000000-0010-0000-1600-000006000000}" name="1992" dataDxfId="606" dataCellStyle="Normal 2"/>
    <tableColumn id="7" xr3:uid="{00000000-0010-0000-1600-000007000000}" name="1993" dataDxfId="605" dataCellStyle="Normal 3"/>
    <tableColumn id="10" xr3:uid="{00000000-0010-0000-1600-00000A000000}" name="1994" dataDxfId="604" dataCellStyle="Normal 3"/>
    <tableColumn id="11" xr3:uid="{00000000-0010-0000-1600-00000B000000}" name="1995" dataDxfId="603" dataCellStyle="Normal 3"/>
    <tableColumn id="12" xr3:uid="{00000000-0010-0000-1600-00000C000000}" name="1996" dataDxfId="602" dataCellStyle="Normal 3"/>
    <tableColumn id="13" xr3:uid="{00000000-0010-0000-1600-00000D000000}" name="1997" dataDxfId="601" dataCellStyle="Normal 3"/>
    <tableColumn id="14" xr3:uid="{00000000-0010-0000-1600-00000E000000}" name="1998" dataDxfId="600" dataCellStyle="Normal 3"/>
    <tableColumn id="15" xr3:uid="{00000000-0010-0000-1600-00000F000000}" name="1999" dataDxfId="599" dataCellStyle="Normal 3"/>
    <tableColumn id="2" xr3:uid="{00000000-0010-0000-1600-000002000000}" name="2000" dataDxfId="598" dataCellStyle="Normal 2"/>
    <tableColumn id="3" xr3:uid="{00000000-0010-0000-1600-000003000000}" name="2001" dataDxfId="597" dataCellStyle="Normal 2"/>
    <tableColumn id="4" xr3:uid="{00000000-0010-0000-1600-000004000000}" name="2002" dataDxfId="596" dataCellStyle="Normal 2"/>
    <tableColumn id="9" xr3:uid="{00000000-0010-0000-1600-000009000000}" name="2003" dataDxfId="595" dataCellStyle="Normal 2"/>
    <tableColumn id="8" xr3:uid="{00000000-0010-0000-1600-000008000000}" name="2004" dataDxfId="594" dataCellStyle="Normal 2"/>
    <tableColumn id="21" xr3:uid="{00000000-0010-0000-1600-000015000000}" name="2005" dataDxfId="593" dataCellStyle="Normal 2"/>
    <tableColumn id="22" xr3:uid="{00000000-0010-0000-1600-000016000000}" name="2006" dataDxfId="592" dataCellStyle="Normal 2"/>
    <tableColumn id="23" xr3:uid="{00000000-0010-0000-1600-000017000000}" name="2007" dataDxfId="591" dataCellStyle="Normal 2"/>
    <tableColumn id="24" xr3:uid="{00000000-0010-0000-1600-000018000000}" name="2008" dataDxfId="590" dataCellStyle="Normal 2"/>
    <tableColumn id="25" xr3:uid="{00000000-0010-0000-1600-000019000000}" name="2009" dataDxfId="589" dataCellStyle="Normal 2"/>
    <tableColumn id="26" xr3:uid="{00000000-0010-0000-1600-00001A000000}" name="2010" dataDxfId="588" dataCellStyle="Normal 2"/>
    <tableColumn id="27" xr3:uid="{00000000-0010-0000-1600-00001B000000}" name="2011" dataDxfId="587" dataCellStyle="Normal 2"/>
    <tableColumn id="28" xr3:uid="{00000000-0010-0000-1600-00001C000000}" name="2012" dataDxfId="586" dataCellStyle="Normal 2"/>
    <tableColumn id="29" xr3:uid="{00000000-0010-0000-1600-00001D000000}" name="2013" dataDxfId="585" dataCellStyle="Normal 2"/>
    <tableColumn id="30" xr3:uid="{00000000-0010-0000-1600-00001E000000}" name="2014" dataDxfId="584" dataCellStyle="Normal 2"/>
    <tableColumn id="31" xr3:uid="{00000000-0010-0000-1600-00001F000000}" name="2015" dataDxfId="583" dataCellStyle="Normal 2"/>
    <tableColumn id="32" xr3:uid="{00000000-0010-0000-1600-000020000000}" name="2016" dataDxfId="582" dataCellStyle="Normal 2"/>
    <tableColumn id="33" xr3:uid="{00000000-0010-0000-1600-000021000000}" name="2017" dataDxfId="581" dataCellStyle="Normal 2"/>
    <tableColumn id="34" xr3:uid="{00000000-0010-0000-1600-000022000000}" name="2018" dataDxfId="580" dataCellStyle="Normal 2"/>
    <tableColumn id="35" xr3:uid="{00000000-0010-0000-1600-000023000000}" name="2019" dataDxfId="579" dataCellStyle="Normal 3"/>
    <tableColumn id="36" xr3:uid="{00000000-0010-0000-1600-000024000000}" name="2020 [note30]" dataDxfId="578" dataCellStyle="Normal 3"/>
    <tableColumn id="16" xr3:uid="{00000000-0010-0000-1600-000010000000}" name="2021 [note30]" dataDxfId="577" dataCellStyle="Normal 2"/>
  </tableColumns>
  <tableStyleInfo name="TableStyleLight1"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413212232911121314151619" displayName="Table1413212232911121314151619" ref="A4:AG47" totalsRowShown="0" headerRowDxfId="610" dataDxfId="609" dataCellStyle="Normal 2">
  <autoFilter ref="A4:AG47"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700-000001000000}" name="Region" dataDxfId="643" dataCellStyle="Normal 2"/>
    <tableColumn id="16" xr3:uid="{00000000-0010-0000-1700-000010000000}" name="Route" dataDxfId="642" dataCellStyle="Normal 2"/>
    <tableColumn id="5" xr3:uid="{00000000-0010-0000-1700-000005000000}" name="Operator" dataDxfId="641" dataCellStyle="Normal 2"/>
    <tableColumn id="6" xr3:uid="{00000000-0010-0000-1700-000006000000}" name="1992" dataDxfId="640" dataCellStyle="Normal 2"/>
    <tableColumn id="7" xr3:uid="{00000000-0010-0000-1700-000007000000}" name="1993" dataDxfId="639" dataCellStyle="Normal 2"/>
    <tableColumn id="10" xr3:uid="{00000000-0010-0000-1700-00000A000000}" name="1994" dataDxfId="638" dataCellStyle="Normal 2"/>
    <tableColumn id="11" xr3:uid="{00000000-0010-0000-1700-00000B000000}" name="1995" dataDxfId="637" dataCellStyle="Normal 2"/>
    <tableColumn id="12" xr3:uid="{00000000-0010-0000-1700-00000C000000}" name="1996" dataDxfId="636" dataCellStyle="Normal 2"/>
    <tableColumn id="13" xr3:uid="{00000000-0010-0000-1700-00000D000000}" name="1997" dataDxfId="635" dataCellStyle="Normal 2"/>
    <tableColumn id="14" xr3:uid="{00000000-0010-0000-1700-00000E000000}" name="1998" dataDxfId="634" dataCellStyle="Normal 2"/>
    <tableColumn id="15" xr3:uid="{00000000-0010-0000-1700-00000F000000}" name="1999" dataDxfId="633" dataCellStyle="Normal 2"/>
    <tableColumn id="2" xr3:uid="{00000000-0010-0000-1700-000002000000}" name="2000" dataDxfId="632" dataCellStyle="Normal 2"/>
    <tableColumn id="3" xr3:uid="{00000000-0010-0000-1700-000003000000}" name="2001" dataDxfId="631" dataCellStyle="Normal 2"/>
    <tableColumn id="4" xr3:uid="{00000000-0010-0000-1700-000004000000}" name="2002" dataDxfId="630" dataCellStyle="Normal 2"/>
    <tableColumn id="9" xr3:uid="{00000000-0010-0000-1700-000009000000}" name="2003" dataDxfId="629" dataCellStyle="Normal 2"/>
    <tableColumn id="8" xr3:uid="{00000000-0010-0000-1700-000008000000}" name="2004" dataDxfId="628" dataCellStyle="Normal 2"/>
    <tableColumn id="21" xr3:uid="{00000000-0010-0000-1700-000015000000}" name="2005" dataDxfId="627" dataCellStyle="Normal 2"/>
    <tableColumn id="22" xr3:uid="{00000000-0010-0000-1700-000016000000}" name="2006" dataDxfId="626" dataCellStyle="Normal 2"/>
    <tableColumn id="23" xr3:uid="{00000000-0010-0000-1700-000017000000}" name="2007" dataDxfId="625" dataCellStyle="Normal 2"/>
    <tableColumn id="24" xr3:uid="{00000000-0010-0000-1700-000018000000}" name="2008" dataDxfId="624" dataCellStyle="Normal 2"/>
    <tableColumn id="25" xr3:uid="{00000000-0010-0000-1700-000019000000}" name="2009" dataDxfId="623" dataCellStyle="Normal 2"/>
    <tableColumn id="26" xr3:uid="{00000000-0010-0000-1700-00001A000000}" name="2010" dataDxfId="622" dataCellStyle="Normal 2"/>
    <tableColumn id="27" xr3:uid="{00000000-0010-0000-1700-00001B000000}" name="2011" dataDxfId="621" dataCellStyle="Normal 2"/>
    <tableColumn id="28" xr3:uid="{00000000-0010-0000-1700-00001C000000}" name="2012" dataDxfId="620" dataCellStyle="Normal 2"/>
    <tableColumn id="29" xr3:uid="{00000000-0010-0000-1700-00001D000000}" name="2013" dataDxfId="619" dataCellStyle="Normal 2"/>
    <tableColumn id="30" xr3:uid="{00000000-0010-0000-1700-00001E000000}" name="2014" dataDxfId="618" dataCellStyle="Normal 2"/>
    <tableColumn id="31" xr3:uid="{00000000-0010-0000-1700-00001F000000}" name="2015" dataDxfId="617" dataCellStyle="Normal 2"/>
    <tableColumn id="32" xr3:uid="{00000000-0010-0000-1700-000020000000}" name="2016" dataDxfId="616" dataCellStyle="Normal 2"/>
    <tableColumn id="33" xr3:uid="{00000000-0010-0000-1700-000021000000}" name="2017" dataDxfId="615" dataCellStyle="Normal 2"/>
    <tableColumn id="34" xr3:uid="{00000000-0010-0000-1700-000022000000}" name="2018" dataDxfId="614" dataCellStyle="Normal 2"/>
    <tableColumn id="35" xr3:uid="{00000000-0010-0000-1700-000023000000}" name="2019" dataDxfId="613" dataCellStyle="Normal 2"/>
    <tableColumn id="36" xr3:uid="{00000000-0010-0000-1700-000024000000}" name="2020 [note30]" dataDxfId="612" dataCellStyle="Normal 2"/>
    <tableColumn id="17" xr3:uid="{00000000-0010-0000-1700-000011000000}" name="2021 [note30]" dataDxfId="611" dataCellStyle="Normal 2"/>
  </tableColumns>
  <tableStyleInfo name="TableStyleLight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8000000}" name="Table14132122329111213141516192021" displayName="Table14132122329111213141516192021" ref="A4:AH46" totalsRowShown="0" headerRowDxfId="645" dataDxfId="644" dataCellStyle="Normal 2">
  <autoFilter ref="A4:AH46"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800-000001000000}" name="Region" dataDxfId="679" dataCellStyle="Normal 2"/>
    <tableColumn id="16" xr3:uid="{00000000-0010-0000-1800-000010000000}" name="Route" dataDxfId="678" dataCellStyle="Normal 2"/>
    <tableColumn id="5" xr3:uid="{00000000-0010-0000-1800-000005000000}" name="Operator" dataDxfId="677" dataCellStyle="Normal 2"/>
    <tableColumn id="18" xr3:uid="{00000000-0010-0000-1800-000012000000}" name="1991" dataDxfId="676" dataCellStyle="Normal 2"/>
    <tableColumn id="6" xr3:uid="{00000000-0010-0000-1800-000006000000}" name="1992" dataDxfId="675" dataCellStyle="Normal 2"/>
    <tableColumn id="7" xr3:uid="{00000000-0010-0000-1800-000007000000}" name="1993" dataDxfId="674" dataCellStyle="Normal 2"/>
    <tableColumn id="10" xr3:uid="{00000000-0010-0000-1800-00000A000000}" name="1994" dataDxfId="673" dataCellStyle="Normal 2"/>
    <tableColumn id="11" xr3:uid="{00000000-0010-0000-1800-00000B000000}" name="1995" dataDxfId="672" dataCellStyle="Normal 2"/>
    <tableColumn id="12" xr3:uid="{00000000-0010-0000-1800-00000C000000}" name="1996" dataDxfId="671" dataCellStyle="Normal 2"/>
    <tableColumn id="13" xr3:uid="{00000000-0010-0000-1800-00000D000000}" name="1997" dataDxfId="670" dataCellStyle="Normal 2"/>
    <tableColumn id="14" xr3:uid="{00000000-0010-0000-1800-00000E000000}" name="1998" dataDxfId="669" dataCellStyle="Normal 2"/>
    <tableColumn id="15" xr3:uid="{00000000-0010-0000-1800-00000F000000}" name="1999" dataDxfId="668" dataCellStyle="Normal 2"/>
    <tableColumn id="2" xr3:uid="{00000000-0010-0000-1800-000002000000}" name="2000" dataDxfId="667" dataCellStyle="Normal 2"/>
    <tableColumn id="3" xr3:uid="{00000000-0010-0000-1800-000003000000}" name="2001" dataDxfId="666" dataCellStyle="Normal 2"/>
    <tableColumn id="4" xr3:uid="{00000000-0010-0000-1800-000004000000}" name="2002" dataDxfId="665" dataCellStyle="Normal 2"/>
    <tableColumn id="9" xr3:uid="{00000000-0010-0000-1800-000009000000}" name="2003" dataDxfId="664" dataCellStyle="Normal 2"/>
    <tableColumn id="8" xr3:uid="{00000000-0010-0000-1800-000008000000}" name="2004" dataDxfId="663" dataCellStyle="Normal 2"/>
    <tableColumn id="21" xr3:uid="{00000000-0010-0000-1800-000015000000}" name="2005" dataDxfId="662" dataCellStyle="Normal 2"/>
    <tableColumn id="22" xr3:uid="{00000000-0010-0000-1800-000016000000}" name="2006" dataDxfId="661" dataCellStyle="Normal 2"/>
    <tableColumn id="23" xr3:uid="{00000000-0010-0000-1800-000017000000}" name="2007" dataDxfId="660" dataCellStyle="Normal 2"/>
    <tableColumn id="24" xr3:uid="{00000000-0010-0000-1800-000018000000}" name="2008" dataDxfId="659" dataCellStyle="Normal 2"/>
    <tableColumn id="25" xr3:uid="{00000000-0010-0000-1800-000019000000}" name="2009" dataDxfId="658" dataCellStyle="Normal 2"/>
    <tableColumn id="26" xr3:uid="{00000000-0010-0000-1800-00001A000000}" name="2010" dataDxfId="657" dataCellStyle="Normal 2"/>
    <tableColumn id="27" xr3:uid="{00000000-0010-0000-1800-00001B000000}" name="2011" dataDxfId="656" dataCellStyle="Normal 2"/>
    <tableColumn id="28" xr3:uid="{00000000-0010-0000-1800-00001C000000}" name="2012" dataDxfId="655" dataCellStyle="Normal 2"/>
    <tableColumn id="29" xr3:uid="{00000000-0010-0000-1800-00001D000000}" name="2013" dataDxfId="654" dataCellStyle="Normal 2"/>
    <tableColumn id="30" xr3:uid="{00000000-0010-0000-1800-00001E000000}" name="2014" dataDxfId="653" dataCellStyle="Normal 2"/>
    <tableColumn id="31" xr3:uid="{00000000-0010-0000-1800-00001F000000}" name="2015" dataDxfId="652" dataCellStyle="Normal 2"/>
    <tableColumn id="32" xr3:uid="{00000000-0010-0000-1800-000020000000}" name="2016" dataDxfId="651" dataCellStyle="Normal 2"/>
    <tableColumn id="33" xr3:uid="{00000000-0010-0000-1800-000021000000}" name="2017" dataDxfId="650" dataCellStyle="Normal 2"/>
    <tableColumn id="34" xr3:uid="{00000000-0010-0000-1800-000022000000}" name="2018" dataDxfId="649" dataCellStyle="Normal 2"/>
    <tableColumn id="35" xr3:uid="{00000000-0010-0000-1800-000023000000}" name="2019" dataDxfId="648" dataCellStyle="Normal 2"/>
    <tableColumn id="36" xr3:uid="{00000000-0010-0000-1800-000024000000}" name="2020 [note30]" dataDxfId="647" dataCellStyle="Normal 2"/>
    <tableColumn id="17" xr3:uid="{00000000-0010-0000-1800-000011000000}" name="2021 [note30]" dataDxfId="646" dataCellStyle="Normal 2"/>
  </tableColumns>
  <tableStyleInfo name="TableStyleLight1"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9000000}" name="Table141321223291112131415161920" displayName="Table141321223291112131415161920" ref="A4:AG46" totalsRowShown="0" headerRowDxfId="681" dataDxfId="680" dataCellStyle="Normal 2">
  <autoFilter ref="A4:AG46"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900-000001000000}" name="Region" dataDxfId="714" dataCellStyle="Normal 2"/>
    <tableColumn id="16" xr3:uid="{00000000-0010-0000-1900-000010000000}" name="Route" dataDxfId="713" dataCellStyle="Normal 2"/>
    <tableColumn id="5" xr3:uid="{00000000-0010-0000-1900-000005000000}" name="Operator" dataDxfId="712" dataCellStyle="Normal 2"/>
    <tableColumn id="6" xr3:uid="{00000000-0010-0000-1900-000006000000}" name="1992" dataDxfId="711" dataCellStyle="Normal 2"/>
    <tableColumn id="7" xr3:uid="{00000000-0010-0000-1900-000007000000}" name="1993" dataDxfId="710" dataCellStyle="Normal 2"/>
    <tableColumn id="10" xr3:uid="{00000000-0010-0000-1900-00000A000000}" name="1994" dataDxfId="709" dataCellStyle="Normal 2"/>
    <tableColumn id="11" xr3:uid="{00000000-0010-0000-1900-00000B000000}" name="1995" dataDxfId="708" dataCellStyle="Normal 2"/>
    <tableColumn id="12" xr3:uid="{00000000-0010-0000-1900-00000C000000}" name="1996" dataDxfId="707" dataCellStyle="Normal 2"/>
    <tableColumn id="13" xr3:uid="{00000000-0010-0000-1900-00000D000000}" name="1997" dataDxfId="706" dataCellStyle="Normal 2"/>
    <tableColumn id="14" xr3:uid="{00000000-0010-0000-1900-00000E000000}" name="1998" dataDxfId="705" dataCellStyle="Normal 2"/>
    <tableColumn id="15" xr3:uid="{00000000-0010-0000-1900-00000F000000}" name="1999" dataDxfId="704" dataCellStyle="Normal 2"/>
    <tableColumn id="2" xr3:uid="{00000000-0010-0000-1900-000002000000}" name="2000" dataDxfId="703" dataCellStyle="Normal 2"/>
    <tableColumn id="3" xr3:uid="{00000000-0010-0000-1900-000003000000}" name="2001" dataDxfId="702" dataCellStyle="Normal 2"/>
    <tableColumn id="4" xr3:uid="{00000000-0010-0000-1900-000004000000}" name="2002" dataDxfId="701" dataCellStyle="Normal 2"/>
    <tableColumn id="9" xr3:uid="{00000000-0010-0000-1900-000009000000}" name="2003" dataDxfId="700" dataCellStyle="Normal 2"/>
    <tableColumn id="8" xr3:uid="{00000000-0010-0000-1900-000008000000}" name="2004" dataDxfId="699" dataCellStyle="Normal 2"/>
    <tableColumn id="21" xr3:uid="{00000000-0010-0000-1900-000015000000}" name="2005" dataDxfId="698" dataCellStyle="Normal 2"/>
    <tableColumn id="22" xr3:uid="{00000000-0010-0000-1900-000016000000}" name="2006" dataDxfId="697" dataCellStyle="Normal 2"/>
    <tableColumn id="23" xr3:uid="{00000000-0010-0000-1900-000017000000}" name="2007" dataDxfId="696" dataCellStyle="Normal 2"/>
    <tableColumn id="24" xr3:uid="{00000000-0010-0000-1900-000018000000}" name="2008" dataDxfId="695" dataCellStyle="Normal 2"/>
    <tableColumn id="25" xr3:uid="{00000000-0010-0000-1900-000019000000}" name="2009" dataDxfId="694" dataCellStyle="Normal 2"/>
    <tableColumn id="26" xr3:uid="{00000000-0010-0000-1900-00001A000000}" name="2010" dataDxfId="693" dataCellStyle="Normal 2"/>
    <tableColumn id="27" xr3:uid="{00000000-0010-0000-1900-00001B000000}" name="2011" dataDxfId="692" dataCellStyle="Normal 2"/>
    <tableColumn id="28" xr3:uid="{00000000-0010-0000-1900-00001C000000}" name="2012" dataDxfId="691" dataCellStyle="Normal 2"/>
    <tableColumn id="29" xr3:uid="{00000000-0010-0000-1900-00001D000000}" name="2013" dataDxfId="690" dataCellStyle="Normal 2"/>
    <tableColumn id="30" xr3:uid="{00000000-0010-0000-1900-00001E000000}" name="2014" dataDxfId="689" dataCellStyle="Normal 2"/>
    <tableColumn id="31" xr3:uid="{00000000-0010-0000-1900-00001F000000}" name="2015" dataDxfId="688" dataCellStyle="Normal 2"/>
    <tableColumn id="32" xr3:uid="{00000000-0010-0000-1900-000020000000}" name="2016" dataDxfId="687" dataCellStyle="Normal 2"/>
    <tableColumn id="33" xr3:uid="{00000000-0010-0000-1900-000021000000}" name="2017" dataDxfId="686" dataCellStyle="Normal 2"/>
    <tableColumn id="34" xr3:uid="{00000000-0010-0000-1900-000022000000}" name="2018" dataDxfId="685" dataCellStyle="Normal 2"/>
    <tableColumn id="35" xr3:uid="{00000000-0010-0000-1900-000023000000}" name="2019" dataDxfId="684" dataCellStyle="Normal 2"/>
    <tableColumn id="36" xr3:uid="{00000000-0010-0000-1900-000024000000}" name="2020 [note30]" dataDxfId="683" dataCellStyle="Normal 2"/>
    <tableColumn id="17" xr3:uid="{00000000-0010-0000-1900-000011000000}" name="2021 [note30]" dataDxfId="682" dataCellStyle="Normal 2"/>
  </tableColumns>
  <tableStyleInfo name="TableStyleLight1"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A000000}" name="Table1413212232911121314151625" displayName="Table1413212232911121314151625" ref="A4:AF37" totalsRowShown="0" headerRowDxfId="716" dataDxfId="715" dataCellStyle="Normal 2">
  <autoFilter ref="A4:AF37"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A00-000001000000}" name="Operator" dataDxfId="748" dataCellStyle="Normal 2"/>
    <tableColumn id="5" xr3:uid="{00000000-0010-0000-1A00-000005000000}" name="Route" dataDxfId="747" dataCellStyle="Normal 2"/>
    <tableColumn id="6" xr3:uid="{00000000-0010-0000-1A00-000006000000}" name="1992" dataDxfId="746" dataCellStyle="Normal 2"/>
    <tableColumn id="7" xr3:uid="{00000000-0010-0000-1A00-000007000000}" name="1993" dataDxfId="745" dataCellStyle="Normal 3"/>
    <tableColumn id="10" xr3:uid="{00000000-0010-0000-1A00-00000A000000}" name="1994" dataDxfId="744" dataCellStyle="Normal 3"/>
    <tableColumn id="11" xr3:uid="{00000000-0010-0000-1A00-00000B000000}" name="1995" dataDxfId="743" dataCellStyle="Normal 3"/>
    <tableColumn id="12" xr3:uid="{00000000-0010-0000-1A00-00000C000000}" name="1996" dataDxfId="742" dataCellStyle="Normal 3"/>
    <tableColumn id="13" xr3:uid="{00000000-0010-0000-1A00-00000D000000}" name="1997" dataDxfId="741" dataCellStyle="Normal 3"/>
    <tableColumn id="14" xr3:uid="{00000000-0010-0000-1A00-00000E000000}" name="1998" dataDxfId="740" dataCellStyle="Normal 3"/>
    <tableColumn id="15" xr3:uid="{00000000-0010-0000-1A00-00000F000000}" name="1999" dataDxfId="739" dataCellStyle="Normal 3"/>
    <tableColumn id="2" xr3:uid="{00000000-0010-0000-1A00-000002000000}" name="2000" dataDxfId="738" dataCellStyle="Normal 2"/>
    <tableColumn id="3" xr3:uid="{00000000-0010-0000-1A00-000003000000}" name="2001" dataDxfId="737" dataCellStyle="Normal 2"/>
    <tableColumn id="4" xr3:uid="{00000000-0010-0000-1A00-000004000000}" name="2002" dataDxfId="736" dataCellStyle="Normal 2"/>
    <tableColumn id="9" xr3:uid="{00000000-0010-0000-1A00-000009000000}" name="2003" dataDxfId="735" dataCellStyle="Normal 2"/>
    <tableColumn id="8" xr3:uid="{00000000-0010-0000-1A00-000008000000}" name="2004" dataDxfId="734" dataCellStyle="Normal 2"/>
    <tableColumn id="21" xr3:uid="{00000000-0010-0000-1A00-000015000000}" name="2005" dataDxfId="733" dataCellStyle="Normal 2"/>
    <tableColumn id="22" xr3:uid="{00000000-0010-0000-1A00-000016000000}" name="2006" dataDxfId="732" dataCellStyle="Normal 2"/>
    <tableColumn id="23" xr3:uid="{00000000-0010-0000-1A00-000017000000}" name="2007" dataDxfId="731" dataCellStyle="Normal 2"/>
    <tableColumn id="24" xr3:uid="{00000000-0010-0000-1A00-000018000000}" name="2008" dataDxfId="730" dataCellStyle="Normal 2"/>
    <tableColumn id="25" xr3:uid="{00000000-0010-0000-1A00-000019000000}" name="2009" dataDxfId="729" dataCellStyle="Normal 2"/>
    <tableColumn id="26" xr3:uid="{00000000-0010-0000-1A00-00001A000000}" name="2010" dataDxfId="728" dataCellStyle="Normal 2"/>
    <tableColumn id="27" xr3:uid="{00000000-0010-0000-1A00-00001B000000}" name="2011" dataDxfId="727" dataCellStyle="Normal 2"/>
    <tableColumn id="28" xr3:uid="{00000000-0010-0000-1A00-00001C000000}" name="2012" dataDxfId="726" dataCellStyle="Normal 2"/>
    <tableColumn id="29" xr3:uid="{00000000-0010-0000-1A00-00001D000000}" name="2013" dataDxfId="725" dataCellStyle="Normal 2"/>
    <tableColumn id="30" xr3:uid="{00000000-0010-0000-1A00-00001E000000}" name="2014" dataDxfId="724" dataCellStyle="Normal 2"/>
    <tableColumn id="31" xr3:uid="{00000000-0010-0000-1A00-00001F000000}" name="2015" dataDxfId="723" dataCellStyle="Normal 2"/>
    <tableColumn id="32" xr3:uid="{00000000-0010-0000-1A00-000020000000}" name="2016" dataDxfId="722" dataCellStyle="Normal 2"/>
    <tableColumn id="33" xr3:uid="{00000000-0010-0000-1A00-000021000000}" name="2017" dataDxfId="721" dataCellStyle="Normal 2"/>
    <tableColumn id="34" xr3:uid="{00000000-0010-0000-1A00-000022000000}" name="2018" dataDxfId="720" dataCellStyle="Normal 2"/>
    <tableColumn id="35" xr3:uid="{00000000-0010-0000-1A00-000023000000}" name="2019" dataDxfId="719" dataCellStyle="Normal 2"/>
    <tableColumn id="36" xr3:uid="{00000000-0010-0000-1A00-000024000000}" name="2020 [note30]" dataDxfId="718" dataCellStyle="Normal 3"/>
    <tableColumn id="16" xr3:uid="{00000000-0010-0000-1A00-000010000000}" name="2021 [note30]" dataDxfId="717" dataCellStyle="Normal 2"/>
  </tableColumns>
  <tableStyleInfo name="TableStyleLight1"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B000000}" name="Table141321223291112131415162526" displayName="Table141321223291112131415162526" ref="A4:AF28" totalsRowShown="0" headerRowDxfId="750" dataDxfId="749" dataCellStyle="Normal 2">
  <autoFilter ref="A4:AF28"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B00-000001000000}" name="Operator" dataDxfId="782" dataCellStyle="Normal 2"/>
    <tableColumn id="5" xr3:uid="{00000000-0010-0000-1B00-000005000000}" name="Route" dataDxfId="781" dataCellStyle="Normal 2"/>
    <tableColumn id="6" xr3:uid="{00000000-0010-0000-1B00-000006000000}" name="1992" dataDxfId="780" dataCellStyle="Normal 2"/>
    <tableColumn id="7" xr3:uid="{00000000-0010-0000-1B00-000007000000}" name="1993" dataDxfId="779" dataCellStyle="Normal 3"/>
    <tableColumn id="10" xr3:uid="{00000000-0010-0000-1B00-00000A000000}" name="1994" dataDxfId="778" dataCellStyle="Normal 3"/>
    <tableColumn id="11" xr3:uid="{00000000-0010-0000-1B00-00000B000000}" name="1995" dataDxfId="777" dataCellStyle="Normal 3"/>
    <tableColumn id="12" xr3:uid="{00000000-0010-0000-1B00-00000C000000}" name="1996" dataDxfId="776" dataCellStyle="Normal 3"/>
    <tableColumn id="13" xr3:uid="{00000000-0010-0000-1B00-00000D000000}" name="1997" dataDxfId="775" dataCellStyle="Normal 3"/>
    <tableColumn id="14" xr3:uid="{00000000-0010-0000-1B00-00000E000000}" name="1998" dataDxfId="774" dataCellStyle="Normal 3"/>
    <tableColumn id="15" xr3:uid="{00000000-0010-0000-1B00-00000F000000}" name="1999" dataDxfId="773" dataCellStyle="Normal 3"/>
    <tableColumn id="2" xr3:uid="{00000000-0010-0000-1B00-000002000000}" name="2000" dataDxfId="772" dataCellStyle="Normal 2"/>
    <tableColumn id="3" xr3:uid="{00000000-0010-0000-1B00-000003000000}" name="2001" dataDxfId="771" dataCellStyle="Normal 2"/>
    <tableColumn id="4" xr3:uid="{00000000-0010-0000-1B00-000004000000}" name="2002" dataDxfId="770" dataCellStyle="Normal 2"/>
    <tableColumn id="9" xr3:uid="{00000000-0010-0000-1B00-000009000000}" name="2003" dataDxfId="769" dataCellStyle="Normal 2"/>
    <tableColumn id="8" xr3:uid="{00000000-0010-0000-1B00-000008000000}" name="2004" dataDxfId="768" dataCellStyle="Normal 2"/>
    <tableColumn id="21" xr3:uid="{00000000-0010-0000-1B00-000015000000}" name="2005" dataDxfId="767" dataCellStyle="Normal 2"/>
    <tableColumn id="22" xr3:uid="{00000000-0010-0000-1B00-000016000000}" name="2006" dataDxfId="766" dataCellStyle="Normal 2"/>
    <tableColumn id="23" xr3:uid="{00000000-0010-0000-1B00-000017000000}" name="2007" dataDxfId="765" dataCellStyle="Normal 2"/>
    <tableColumn id="24" xr3:uid="{00000000-0010-0000-1B00-000018000000}" name="2008" dataDxfId="764" dataCellStyle="Normal 2"/>
    <tableColumn id="25" xr3:uid="{00000000-0010-0000-1B00-000019000000}" name="2009" dataDxfId="763" dataCellStyle="Normal 2"/>
    <tableColumn id="26" xr3:uid="{00000000-0010-0000-1B00-00001A000000}" name="2010" dataDxfId="762" dataCellStyle="Normal 2"/>
    <tableColumn id="27" xr3:uid="{00000000-0010-0000-1B00-00001B000000}" name="2011" dataDxfId="761" dataCellStyle="Normal 2"/>
    <tableColumn id="28" xr3:uid="{00000000-0010-0000-1B00-00001C000000}" name="2012" dataDxfId="760" dataCellStyle="Normal 2"/>
    <tableColumn id="29" xr3:uid="{00000000-0010-0000-1B00-00001D000000}" name="2013" dataDxfId="759" dataCellStyle="Normal 2"/>
    <tableColumn id="30" xr3:uid="{00000000-0010-0000-1B00-00001E000000}" name="2014" dataDxfId="758" dataCellStyle="Normal 2"/>
    <tableColumn id="31" xr3:uid="{00000000-0010-0000-1B00-00001F000000}" name="2015" dataDxfId="757" dataCellStyle="Normal 2"/>
    <tableColumn id="32" xr3:uid="{00000000-0010-0000-1B00-000020000000}" name="2016" dataDxfId="756" dataCellStyle="Normal 2"/>
    <tableColumn id="33" xr3:uid="{00000000-0010-0000-1B00-000021000000}" name="2017" dataDxfId="755" dataCellStyle="Normal 2"/>
    <tableColumn id="34" xr3:uid="{00000000-0010-0000-1B00-000022000000}" name="2018" dataDxfId="754" dataCellStyle="Normal 2"/>
    <tableColumn id="35" xr3:uid="{00000000-0010-0000-1B00-000023000000}" name="2019" dataDxfId="753" dataCellStyle="Normal 2"/>
    <tableColumn id="36" xr3:uid="{00000000-0010-0000-1B00-000024000000}" name="2020 [note30]" dataDxfId="752" dataCellStyle="Normal 3"/>
    <tableColumn id="16" xr3:uid="{00000000-0010-0000-1B00-000010000000}" name="2021 [note30]" dataDxfId="751" dataCellStyle="Normal 2"/>
  </tableColumns>
  <tableStyleInfo name="TableStyleLight1"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C000000}" name="Table14132122329111213141516252627" displayName="Table14132122329111213141516252627" ref="A4:AF25" totalsRowShown="0" headerRowDxfId="784" dataDxfId="783" dataCellStyle="Normal 2">
  <autoFilter ref="A4:AF25"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C00-000001000000}" name="Operator" dataDxfId="816" dataCellStyle="Normal 2"/>
    <tableColumn id="5" xr3:uid="{00000000-0010-0000-1C00-000005000000}" name="Route" dataDxfId="815" dataCellStyle="Normal 2"/>
    <tableColumn id="6" xr3:uid="{00000000-0010-0000-1C00-000006000000}" name="1992" dataDxfId="814" dataCellStyle="Normal 2"/>
    <tableColumn id="7" xr3:uid="{00000000-0010-0000-1C00-000007000000}" name="1993" dataDxfId="813" dataCellStyle="Normal 3"/>
    <tableColumn id="10" xr3:uid="{00000000-0010-0000-1C00-00000A000000}" name="1994" dataDxfId="812" dataCellStyle="Normal 3"/>
    <tableColumn id="11" xr3:uid="{00000000-0010-0000-1C00-00000B000000}" name="1995" dataDxfId="811" dataCellStyle="Normal 3"/>
    <tableColumn id="12" xr3:uid="{00000000-0010-0000-1C00-00000C000000}" name="1996" dataDxfId="810" dataCellStyle="Normal 3"/>
    <tableColumn id="13" xr3:uid="{00000000-0010-0000-1C00-00000D000000}" name="1997" dataDxfId="809" dataCellStyle="Normal 3"/>
    <tableColumn id="14" xr3:uid="{00000000-0010-0000-1C00-00000E000000}" name="1998" dataDxfId="808" dataCellStyle="Normal 3"/>
    <tableColumn id="15" xr3:uid="{00000000-0010-0000-1C00-00000F000000}" name="1999" dataDxfId="807" dataCellStyle="Normal 3"/>
    <tableColumn id="2" xr3:uid="{00000000-0010-0000-1C00-000002000000}" name="2000" dataDxfId="806" dataCellStyle="Normal 2"/>
    <tableColumn id="3" xr3:uid="{00000000-0010-0000-1C00-000003000000}" name="2001" dataDxfId="805" dataCellStyle="Normal 2"/>
    <tableColumn id="4" xr3:uid="{00000000-0010-0000-1C00-000004000000}" name="2002" dataDxfId="804" dataCellStyle="Normal 2"/>
    <tableColumn id="9" xr3:uid="{00000000-0010-0000-1C00-000009000000}" name="2003" dataDxfId="803" dataCellStyle="Normal 2"/>
    <tableColumn id="8" xr3:uid="{00000000-0010-0000-1C00-000008000000}" name="2004" dataDxfId="802" dataCellStyle="Normal 2"/>
    <tableColumn id="21" xr3:uid="{00000000-0010-0000-1C00-000015000000}" name="2005" dataDxfId="801" dataCellStyle="Normal 2"/>
    <tableColumn id="22" xr3:uid="{00000000-0010-0000-1C00-000016000000}" name="2006" dataDxfId="800" dataCellStyle="Normal 2"/>
    <tableColumn id="23" xr3:uid="{00000000-0010-0000-1C00-000017000000}" name="2007" dataDxfId="799" dataCellStyle="Normal 2"/>
    <tableColumn id="24" xr3:uid="{00000000-0010-0000-1C00-000018000000}" name="2008" dataDxfId="798" dataCellStyle="Normal 2"/>
    <tableColumn id="25" xr3:uid="{00000000-0010-0000-1C00-000019000000}" name="2009" dataDxfId="797" dataCellStyle="Normal 2"/>
    <tableColumn id="26" xr3:uid="{00000000-0010-0000-1C00-00001A000000}" name="2010" dataDxfId="796" dataCellStyle="Normal 2"/>
    <tableColumn id="27" xr3:uid="{00000000-0010-0000-1C00-00001B000000}" name="2011" dataDxfId="795" dataCellStyle="Normal 2"/>
    <tableColumn id="28" xr3:uid="{00000000-0010-0000-1C00-00001C000000}" name="2012" dataDxfId="794" dataCellStyle="Normal 2"/>
    <tableColumn id="29" xr3:uid="{00000000-0010-0000-1C00-00001D000000}" name="2013" dataDxfId="793" dataCellStyle="Normal 2"/>
    <tableColumn id="30" xr3:uid="{00000000-0010-0000-1C00-00001E000000}" name="2014" dataDxfId="792" dataCellStyle="Normal 2"/>
    <tableColumn id="31" xr3:uid="{00000000-0010-0000-1C00-00001F000000}" name="2015" dataDxfId="791" dataCellStyle="Normal 2"/>
    <tableColumn id="32" xr3:uid="{00000000-0010-0000-1C00-000020000000}" name="2016" dataDxfId="790" dataCellStyle="Normal 2"/>
    <tableColumn id="33" xr3:uid="{00000000-0010-0000-1C00-000021000000}" name="2017" dataDxfId="789" dataCellStyle="Normal 2"/>
    <tableColumn id="34" xr3:uid="{00000000-0010-0000-1C00-000022000000}" name="2018" dataDxfId="788" dataCellStyle="Normal 2"/>
    <tableColumn id="35" xr3:uid="{00000000-0010-0000-1C00-000023000000}" name="2019" dataDxfId="787" dataCellStyle="Normal 2"/>
    <tableColumn id="36" xr3:uid="{00000000-0010-0000-1C00-000024000000}" name="2020 [note30]" dataDxfId="786" dataCellStyle="Normal 3"/>
    <tableColumn id="16" xr3:uid="{00000000-0010-0000-1C00-000010000000}" name="2021 [note30]" dataDxfId="785" dataCellStyle="Normal 2"/>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e14132122" displayName="Table14132122" ref="A4:AG19" totalsRowShown="0" headerRowDxfId="5" dataDxfId="4">
  <autoFilter ref="A4:AG19"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200-000001000000}" name="Year" dataDxfId="38"/>
    <tableColumn id="16" xr3:uid="{00000000-0010-0000-0200-000010000000}" name="1990" dataDxfId="37"/>
    <tableColumn id="5" xr3:uid="{00000000-0010-0000-0200-000005000000}" name="1991" dataDxfId="36"/>
    <tableColumn id="6" xr3:uid="{00000000-0010-0000-0200-000006000000}" name="1992" dataDxfId="35"/>
    <tableColumn id="7" xr3:uid="{00000000-0010-0000-0200-000007000000}" name="1993" dataDxfId="34"/>
    <tableColumn id="10" xr3:uid="{00000000-0010-0000-0200-00000A000000}" name="1994" dataDxfId="33"/>
    <tableColumn id="11" xr3:uid="{00000000-0010-0000-0200-00000B000000}" name="1995" dataDxfId="32"/>
    <tableColumn id="12" xr3:uid="{00000000-0010-0000-0200-00000C000000}" name="1996" dataDxfId="31"/>
    <tableColumn id="13" xr3:uid="{00000000-0010-0000-0200-00000D000000}" name="1997" dataDxfId="30"/>
    <tableColumn id="14" xr3:uid="{00000000-0010-0000-0200-00000E000000}" name="1998" dataDxfId="29"/>
    <tableColumn id="15" xr3:uid="{00000000-0010-0000-0200-00000F000000}" name="1999" dataDxfId="28"/>
    <tableColumn id="2" xr3:uid="{00000000-0010-0000-0200-000002000000}" name="2000" dataDxfId="27"/>
    <tableColumn id="3" xr3:uid="{00000000-0010-0000-0200-000003000000}" name="2001" dataDxfId="26"/>
    <tableColumn id="4" xr3:uid="{00000000-0010-0000-0200-000004000000}" name="2002" dataDxfId="25" dataCellStyle="Comma"/>
    <tableColumn id="9" xr3:uid="{00000000-0010-0000-0200-000009000000}" name="2003" dataDxfId="24" dataCellStyle="Comma"/>
    <tableColumn id="8" xr3:uid="{00000000-0010-0000-0200-000008000000}" name="2004" dataDxfId="23" dataCellStyle="Comma"/>
    <tableColumn id="21" xr3:uid="{00000000-0010-0000-0200-000015000000}" name="2005" dataDxfId="22"/>
    <tableColumn id="22" xr3:uid="{00000000-0010-0000-0200-000016000000}" name="2006" dataDxfId="21"/>
    <tableColumn id="23" xr3:uid="{00000000-0010-0000-0200-000017000000}" name="2007" dataDxfId="20"/>
    <tableColumn id="24" xr3:uid="{00000000-0010-0000-0200-000018000000}" name="2008" dataDxfId="19"/>
    <tableColumn id="25" xr3:uid="{00000000-0010-0000-0200-000019000000}" name="2009" dataDxfId="18"/>
    <tableColumn id="26" xr3:uid="{00000000-0010-0000-0200-00001A000000}" name="2010" dataDxfId="17" dataCellStyle="Normal 3"/>
    <tableColumn id="27" xr3:uid="{00000000-0010-0000-0200-00001B000000}" name="2011" dataDxfId="16"/>
    <tableColumn id="28" xr3:uid="{00000000-0010-0000-0200-00001C000000}" name="2012" dataDxfId="15"/>
    <tableColumn id="29" xr3:uid="{00000000-0010-0000-0200-00001D000000}" name="2013" dataDxfId="14"/>
    <tableColumn id="30" xr3:uid="{00000000-0010-0000-0200-00001E000000}" name="2014" dataDxfId="13"/>
    <tableColumn id="31" xr3:uid="{00000000-0010-0000-0200-00001F000000}" name="2015" dataDxfId="12"/>
    <tableColumn id="32" xr3:uid="{00000000-0010-0000-0200-000020000000}" name="2016" dataDxfId="11" dataCellStyle="Normal 3"/>
    <tableColumn id="33" xr3:uid="{00000000-0010-0000-0200-000021000000}" name="2017" dataDxfId="10" dataCellStyle="Normal 3"/>
    <tableColumn id="34" xr3:uid="{00000000-0010-0000-0200-000022000000}" name="2018" dataDxfId="9" dataCellStyle="Normal 3"/>
    <tableColumn id="35" xr3:uid="{00000000-0010-0000-0200-000023000000}" name="2019" dataDxfId="8" dataCellStyle="Normal 3"/>
    <tableColumn id="36" xr3:uid="{00000000-0010-0000-0200-000024000000}" name="2020" dataDxfId="7" dataCellStyle="Normal 3"/>
    <tableColumn id="17" xr3:uid="{00000000-0010-0000-0200-000011000000}" name="2021" dataDxfId="6" dataCellStyle="Normal 3"/>
  </tableColumns>
  <tableStyleInfo name="TableStyleLight1"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D000000}" name="Table1413212232911121314151619202123" displayName="Table1413212232911121314151619202123" ref="A4:Y10" totalsRowShown="0" headerRowDxfId="818" dataDxfId="817" dataCellStyle="Normal 2">
  <autoFilter ref="A4:Y10"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1D00-000001000000}" name="Operator" dataDxfId="843" dataCellStyle="Normal 2"/>
    <tableColumn id="16" xr3:uid="{00000000-0010-0000-1D00-000010000000}" name="Measure" dataDxfId="842" dataCellStyle="Normal 2"/>
    <tableColumn id="15" xr3:uid="{00000000-0010-0000-1D00-00000F000000}" name="1999-2000" dataDxfId="841" dataCellStyle="Normal 2"/>
    <tableColumn id="2" xr3:uid="{00000000-0010-0000-1D00-000002000000}" name="2000-01" dataDxfId="840" dataCellStyle="Normal 2"/>
    <tableColumn id="3" xr3:uid="{00000000-0010-0000-1D00-000003000000}" name="2001-02" dataDxfId="839" dataCellStyle="Normal 2"/>
    <tableColumn id="4" xr3:uid="{00000000-0010-0000-1D00-000004000000}" name="2002-03" dataDxfId="838" dataCellStyle="Normal 2"/>
    <tableColumn id="9" xr3:uid="{00000000-0010-0000-1D00-000009000000}" name="2003-04" dataDxfId="837" dataCellStyle="Normal 2"/>
    <tableColumn id="8" xr3:uid="{00000000-0010-0000-1D00-000008000000}" name="2004-05" dataDxfId="836" dataCellStyle="Normal 2"/>
    <tableColumn id="21" xr3:uid="{00000000-0010-0000-1D00-000015000000}" name="2005-06" dataDxfId="835" dataCellStyle="Normal 2"/>
    <tableColumn id="22" xr3:uid="{00000000-0010-0000-1D00-000016000000}" name="2006-07" dataDxfId="834" dataCellStyle="Normal 2"/>
    <tableColumn id="23" xr3:uid="{00000000-0010-0000-1D00-000017000000}" name="2007-08" dataDxfId="833" dataCellStyle="Normal 2"/>
    <tableColumn id="24" xr3:uid="{00000000-0010-0000-1D00-000018000000}" name="2008-09" dataDxfId="832" dataCellStyle="Normal 2"/>
    <tableColumn id="25" xr3:uid="{00000000-0010-0000-1D00-000019000000}" name="2009-10" dataDxfId="831" dataCellStyle="Normal 2"/>
    <tableColumn id="26" xr3:uid="{00000000-0010-0000-1D00-00001A000000}" name="2010-11" dataDxfId="830" dataCellStyle="Normal 2"/>
    <tableColumn id="27" xr3:uid="{00000000-0010-0000-1D00-00001B000000}" name="2011-12" dataDxfId="829" dataCellStyle="Normal 2"/>
    <tableColumn id="28" xr3:uid="{00000000-0010-0000-1D00-00001C000000}" name="2012-13" dataDxfId="828" dataCellStyle="Normal 2"/>
    <tableColumn id="29" xr3:uid="{00000000-0010-0000-1D00-00001D000000}" name="2013-14" dataDxfId="827" dataCellStyle="Normal 2"/>
    <tableColumn id="30" xr3:uid="{00000000-0010-0000-1D00-00001E000000}" name="2014-15" dataDxfId="826" dataCellStyle="Normal 2"/>
    <tableColumn id="31" xr3:uid="{00000000-0010-0000-1D00-00001F000000}" name="2015-16" dataDxfId="825" dataCellStyle="Normal 2"/>
    <tableColumn id="32" xr3:uid="{00000000-0010-0000-1D00-000020000000}" name="2016-17" dataDxfId="824" dataCellStyle="Normal 2"/>
    <tableColumn id="33" xr3:uid="{00000000-0010-0000-1D00-000021000000}" name="2017-18" dataDxfId="823" dataCellStyle="Normal 2"/>
    <tableColumn id="34" xr3:uid="{00000000-0010-0000-1D00-000022000000}" name="2018-19" dataDxfId="822" dataCellStyle="Normal 2"/>
    <tableColumn id="35" xr3:uid="{00000000-0010-0000-1D00-000023000000}" name="2019-20" dataDxfId="821" dataCellStyle="Normal 2"/>
    <tableColumn id="36" xr3:uid="{00000000-0010-0000-1D00-000024000000}" name="2020-21" dataDxfId="820" dataCellStyle="Normal 2"/>
    <tableColumn id="5" xr3:uid="{00000000-0010-0000-1D00-000005000000}" name="2021-22" dataDxfId="819" dataCellStyle="Normal 2"/>
  </tableColumns>
  <tableStyleInfo name="TableStyleLight1"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E000000}" name="Table1413212232911121314151619202124" displayName="Table1413212232911121314151619202124" ref="A4:AA12" totalsRowShown="0" headerRowDxfId="845" dataDxfId="844" dataCellStyle="Normal 2">
  <autoFilter ref="A4:AA12"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1E00-000001000000}" name="Region" dataDxfId="872" dataCellStyle="Normal 2"/>
    <tableColumn id="12" xr3:uid="{00000000-0010-0000-1E00-00000C000000}" name="1996" dataDxfId="871" dataCellStyle="Normal 2"/>
    <tableColumn id="13" xr3:uid="{00000000-0010-0000-1E00-00000D000000}" name="1997" dataDxfId="870" dataCellStyle="Normal 2"/>
    <tableColumn id="14" xr3:uid="{00000000-0010-0000-1E00-00000E000000}" name="1998" dataDxfId="869" dataCellStyle="Normal 2"/>
    <tableColumn id="15" xr3:uid="{00000000-0010-0000-1E00-00000F000000}" name="1999" dataDxfId="868" dataCellStyle="Normal 2"/>
    <tableColumn id="2" xr3:uid="{00000000-0010-0000-1E00-000002000000}" name="2000" dataDxfId="867" dataCellStyle="Normal 2"/>
    <tableColumn id="3" xr3:uid="{00000000-0010-0000-1E00-000003000000}" name="2001" dataDxfId="866" dataCellStyle="Normal 2"/>
    <tableColumn id="4" xr3:uid="{00000000-0010-0000-1E00-000004000000}" name="2002" dataDxfId="865" dataCellStyle="Normal 2"/>
    <tableColumn id="9" xr3:uid="{00000000-0010-0000-1E00-000009000000}" name="2003" dataDxfId="864" dataCellStyle="Normal 2"/>
    <tableColumn id="8" xr3:uid="{00000000-0010-0000-1E00-000008000000}" name="2004" dataDxfId="863" dataCellStyle="Normal 2"/>
    <tableColumn id="21" xr3:uid="{00000000-0010-0000-1E00-000015000000}" name="2005" dataDxfId="862" dataCellStyle="Normal 2"/>
    <tableColumn id="22" xr3:uid="{00000000-0010-0000-1E00-000016000000}" name="2006" dataDxfId="861" dataCellStyle="Normal 2"/>
    <tableColumn id="23" xr3:uid="{00000000-0010-0000-1E00-000017000000}" name="2007" dataDxfId="860" dataCellStyle="Normal 2"/>
    <tableColumn id="24" xr3:uid="{00000000-0010-0000-1E00-000018000000}" name="2008" dataDxfId="859" dataCellStyle="Normal 2"/>
    <tableColumn id="25" xr3:uid="{00000000-0010-0000-1E00-000019000000}" name="2009" dataDxfId="858" dataCellStyle="Normal 2"/>
    <tableColumn id="26" xr3:uid="{00000000-0010-0000-1E00-00001A000000}" name="2010" dataDxfId="857" dataCellStyle="Normal 2"/>
    <tableColumn id="27" xr3:uid="{00000000-0010-0000-1E00-00001B000000}" name="2011" dataDxfId="856" dataCellStyle="Normal 2"/>
    <tableColumn id="28" xr3:uid="{00000000-0010-0000-1E00-00001C000000}" name="2012" dataDxfId="855" dataCellStyle="Normal 2"/>
    <tableColumn id="29" xr3:uid="{00000000-0010-0000-1E00-00001D000000}" name="2013" dataDxfId="854" dataCellStyle="Normal 2"/>
    <tableColumn id="30" xr3:uid="{00000000-0010-0000-1E00-00001E000000}" name="2014" dataDxfId="853" dataCellStyle="Normal 2"/>
    <tableColumn id="31" xr3:uid="{00000000-0010-0000-1E00-00001F000000}" name="2015" dataDxfId="852" dataCellStyle="Normal 2"/>
    <tableColumn id="32" xr3:uid="{00000000-0010-0000-1E00-000020000000}" name="2016" dataDxfId="851" dataCellStyle="Normal 2"/>
    <tableColumn id="33" xr3:uid="{00000000-0010-0000-1E00-000021000000}" name="2017" dataDxfId="850" dataCellStyle="Normal 2"/>
    <tableColumn id="34" xr3:uid="{00000000-0010-0000-1E00-000022000000}" name="2018" dataDxfId="849" dataCellStyle="Normal 2"/>
    <tableColumn id="35" xr3:uid="{00000000-0010-0000-1E00-000023000000}" name="2019" dataDxfId="848" dataCellStyle="Normal 2"/>
    <tableColumn id="36" xr3:uid="{00000000-0010-0000-1E00-000024000000}" name="2020" dataDxfId="847" dataCellStyle="Normal 2"/>
    <tableColumn id="5" xr3:uid="{AE39D664-30CA-4BCE-9E67-3740078CB291}" name="2021" dataDxfId="846" dataCellStyle="Normal 3"/>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3000000}" name="Table1413212228" displayName="Table1413212228" ref="A4:AG19" totalsRowShown="0" headerRowDxfId="40" dataDxfId="39">
  <autoFilter ref="A4:AG19"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300-000001000000}" name="Year" dataDxfId="73"/>
    <tableColumn id="16" xr3:uid="{00000000-0010-0000-0300-000010000000}" name="1990" dataDxfId="72"/>
    <tableColumn id="5" xr3:uid="{00000000-0010-0000-0300-000005000000}" name="1991" dataDxfId="71"/>
    <tableColumn id="6" xr3:uid="{00000000-0010-0000-0300-000006000000}" name="1992" dataDxfId="70"/>
    <tableColumn id="7" xr3:uid="{00000000-0010-0000-0300-000007000000}" name="1993" dataDxfId="69"/>
    <tableColumn id="10" xr3:uid="{00000000-0010-0000-0300-00000A000000}" name="1994" dataDxfId="68"/>
    <tableColumn id="11" xr3:uid="{00000000-0010-0000-0300-00000B000000}" name="1995" dataDxfId="67"/>
    <tableColumn id="12" xr3:uid="{00000000-0010-0000-0300-00000C000000}" name="1996" dataDxfId="66"/>
    <tableColumn id="13" xr3:uid="{00000000-0010-0000-0300-00000D000000}" name="1997" dataDxfId="65"/>
    <tableColumn id="14" xr3:uid="{00000000-0010-0000-0300-00000E000000}" name="1998" dataDxfId="64"/>
    <tableColumn id="15" xr3:uid="{00000000-0010-0000-0300-00000F000000}" name="1999" dataDxfId="63"/>
    <tableColumn id="2" xr3:uid="{00000000-0010-0000-0300-000002000000}" name="2000" dataDxfId="62"/>
    <tableColumn id="3" xr3:uid="{00000000-0010-0000-0300-000003000000}" name="2001" dataDxfId="61"/>
    <tableColumn id="4" xr3:uid="{00000000-0010-0000-0300-000004000000}" name="2002" dataDxfId="60" dataCellStyle="Comma"/>
    <tableColumn id="9" xr3:uid="{00000000-0010-0000-0300-000009000000}" name="2003" dataDxfId="59" dataCellStyle="Comma"/>
    <tableColumn id="8" xr3:uid="{00000000-0010-0000-0300-000008000000}" name="2004" dataDxfId="58" dataCellStyle="Comma"/>
    <tableColumn id="21" xr3:uid="{00000000-0010-0000-0300-000015000000}" name="2005" dataDxfId="57"/>
    <tableColumn id="22" xr3:uid="{00000000-0010-0000-0300-000016000000}" name="2006" dataDxfId="56"/>
    <tableColumn id="23" xr3:uid="{00000000-0010-0000-0300-000017000000}" name="2007" dataDxfId="55"/>
    <tableColumn id="24" xr3:uid="{00000000-0010-0000-0300-000018000000}" name="2008" dataDxfId="54"/>
    <tableColumn id="25" xr3:uid="{00000000-0010-0000-0300-000019000000}" name="2009" dataDxfId="53"/>
    <tableColumn id="26" xr3:uid="{00000000-0010-0000-0300-00001A000000}" name="2010" dataDxfId="52" dataCellStyle="Normal 3"/>
    <tableColumn id="27" xr3:uid="{00000000-0010-0000-0300-00001B000000}" name="2011" dataDxfId="51"/>
    <tableColumn id="28" xr3:uid="{00000000-0010-0000-0300-00001C000000}" name="2012" dataDxfId="50"/>
    <tableColumn id="29" xr3:uid="{00000000-0010-0000-0300-00001D000000}" name="2013" dataDxfId="49"/>
    <tableColumn id="30" xr3:uid="{00000000-0010-0000-0300-00001E000000}" name="2014" dataDxfId="48"/>
    <tableColumn id="31" xr3:uid="{00000000-0010-0000-0300-00001F000000}" name="2015" dataDxfId="47"/>
    <tableColumn id="32" xr3:uid="{00000000-0010-0000-0300-000020000000}" name="2016" dataDxfId="46" dataCellStyle="Normal 3"/>
    <tableColumn id="33" xr3:uid="{00000000-0010-0000-0300-000021000000}" name="2017" dataDxfId="45" dataCellStyle="Normal 3"/>
    <tableColumn id="34" xr3:uid="{00000000-0010-0000-0300-000022000000}" name="2018" dataDxfId="44" dataCellStyle="Normal 3"/>
    <tableColumn id="35" xr3:uid="{00000000-0010-0000-0300-000023000000}" name="2019" dataDxfId="43" dataCellStyle="Normal 3"/>
    <tableColumn id="36" xr3:uid="{00000000-0010-0000-0300-000024000000}" name="2020" dataDxfId="42" dataCellStyle="Normal 3"/>
    <tableColumn id="17" xr3:uid="{00000000-0010-0000-0300-000011000000}" name="2021" dataDxfId="41" dataCellStyle="Normal 3"/>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4000000}" name="Table1413212229" displayName="Table1413212229" ref="A4:AG13" totalsRowShown="0" headerRowDxfId="75" dataDxfId="74">
  <autoFilter ref="A4:AG1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400-000001000000}" name="Year" dataDxfId="108"/>
    <tableColumn id="16" xr3:uid="{00000000-0010-0000-0400-000010000000}" name="1990" dataDxfId="107" dataCellStyle="Comma 2"/>
    <tableColumn id="5" xr3:uid="{00000000-0010-0000-0400-000005000000}" name="1991" dataDxfId="106" dataCellStyle="Comma 2"/>
    <tableColumn id="6" xr3:uid="{00000000-0010-0000-0400-000006000000}" name="1992" dataDxfId="105" dataCellStyle="Comma 2"/>
    <tableColumn id="7" xr3:uid="{00000000-0010-0000-0400-000007000000}" name="1993" dataDxfId="104" dataCellStyle="Comma 2"/>
    <tableColumn id="10" xr3:uid="{00000000-0010-0000-0400-00000A000000}" name="1994" dataDxfId="103" dataCellStyle="Comma 2"/>
    <tableColumn id="11" xr3:uid="{00000000-0010-0000-0400-00000B000000}" name="1995" dataDxfId="102" dataCellStyle="Comma 2"/>
    <tableColumn id="12" xr3:uid="{00000000-0010-0000-0400-00000C000000}" name="1996" dataDxfId="101"/>
    <tableColumn id="13" xr3:uid="{00000000-0010-0000-0400-00000D000000}" name="1997" dataDxfId="100"/>
    <tableColumn id="14" xr3:uid="{00000000-0010-0000-0400-00000E000000}" name="1998" dataDxfId="99"/>
    <tableColumn id="15" xr3:uid="{00000000-0010-0000-0400-00000F000000}" name="1999" dataDxfId="98"/>
    <tableColumn id="2" xr3:uid="{00000000-0010-0000-0400-000002000000}" name="2000" dataDxfId="97"/>
    <tableColumn id="3" xr3:uid="{00000000-0010-0000-0400-000003000000}" name="2001" dataDxfId="96"/>
    <tableColumn id="4" xr3:uid="{00000000-0010-0000-0400-000004000000}" name="2002" dataDxfId="95" dataCellStyle="Comma"/>
    <tableColumn id="9" xr3:uid="{00000000-0010-0000-0400-000009000000}" name="2003" dataDxfId="94" dataCellStyle="Normal 3"/>
    <tableColumn id="8" xr3:uid="{00000000-0010-0000-0400-000008000000}" name="2004" dataDxfId="93" dataCellStyle="Normal 3"/>
    <tableColumn id="21" xr3:uid="{00000000-0010-0000-0400-000015000000}" name="2005" dataDxfId="92" dataCellStyle="Normal 3"/>
    <tableColumn id="22" xr3:uid="{00000000-0010-0000-0400-000016000000}" name="2006" dataDxfId="91" dataCellStyle="Normal 3"/>
    <tableColumn id="23" xr3:uid="{00000000-0010-0000-0400-000017000000}" name="2007" dataDxfId="90" dataCellStyle="Normal 3"/>
    <tableColumn id="24" xr3:uid="{00000000-0010-0000-0400-000018000000}" name="2008" dataDxfId="89" dataCellStyle="Normal 3"/>
    <tableColumn id="25" xr3:uid="{00000000-0010-0000-0400-000019000000}" name="2009" dataDxfId="88" dataCellStyle="Normal 3"/>
    <tableColumn id="26" xr3:uid="{00000000-0010-0000-0400-00001A000000}" name="2010" dataDxfId="87" dataCellStyle="Normal 3"/>
    <tableColumn id="27" xr3:uid="{00000000-0010-0000-0400-00001B000000}" name="2011" dataDxfId="86"/>
    <tableColumn id="28" xr3:uid="{00000000-0010-0000-0400-00001C000000}" name="2012" dataDxfId="85"/>
    <tableColumn id="29" xr3:uid="{00000000-0010-0000-0400-00001D000000}" name="2013" dataDxfId="84"/>
    <tableColumn id="30" xr3:uid="{00000000-0010-0000-0400-00001E000000}" name="2014" dataDxfId="83"/>
    <tableColumn id="31" xr3:uid="{00000000-0010-0000-0400-00001F000000}" name="2015" dataDxfId="82" dataCellStyle="Normal 3"/>
    <tableColumn id="32" xr3:uid="{00000000-0010-0000-0400-000020000000}" name="2016" dataDxfId="81" dataCellStyle="Normal 3"/>
    <tableColumn id="33" xr3:uid="{00000000-0010-0000-0400-000021000000}" name="2017" dataDxfId="80" dataCellStyle="Normal 3"/>
    <tableColumn id="34" xr3:uid="{00000000-0010-0000-0400-000022000000}" name="2018" dataDxfId="79" dataCellStyle="Normal 3"/>
    <tableColumn id="35" xr3:uid="{00000000-0010-0000-0400-000023000000}" name="2019" dataDxfId="78" dataCellStyle="Normal 3"/>
    <tableColumn id="36" xr3:uid="{00000000-0010-0000-0400-000024000000}" name="2020" dataDxfId="77" dataCellStyle="Normal 3"/>
    <tableColumn id="17" xr3:uid="{00000000-0010-0000-0400-000011000000}" name="2021" dataDxfId="76" dataCellStyle="Normal 3"/>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5000000}" name="Table141321222930" displayName="Table141321222930" ref="A4:AG13" totalsRowShown="0" headerRowDxfId="110" dataDxfId="109">
  <autoFilter ref="A4:AG13" xr:uid="{00000000-0009-0000-0100-00001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500-000001000000}" name="Year" dataDxfId="143"/>
    <tableColumn id="16" xr3:uid="{00000000-0010-0000-0500-000010000000}" name="1990" dataDxfId="142" dataCellStyle="Comma 2"/>
    <tableColumn id="5" xr3:uid="{00000000-0010-0000-0500-000005000000}" name="1991" dataDxfId="141" dataCellStyle="Comma 2"/>
    <tableColumn id="6" xr3:uid="{00000000-0010-0000-0500-000006000000}" name="1992" dataDxfId="140" dataCellStyle="Comma 2"/>
    <tableColumn id="7" xr3:uid="{00000000-0010-0000-0500-000007000000}" name="1993" dataDxfId="139" dataCellStyle="Comma 2"/>
    <tableColumn id="10" xr3:uid="{00000000-0010-0000-0500-00000A000000}" name="1994" dataDxfId="138" dataCellStyle="Comma 2"/>
    <tableColumn id="11" xr3:uid="{00000000-0010-0000-0500-00000B000000}" name="1995" dataDxfId="137" dataCellStyle="Comma 2"/>
    <tableColumn id="12" xr3:uid="{00000000-0010-0000-0500-00000C000000}" name="1996" dataDxfId="136" dataCellStyle="Comma 2"/>
    <tableColumn id="13" xr3:uid="{00000000-0010-0000-0500-00000D000000}" name="1997" dataDxfId="135" dataCellStyle="Comma 2"/>
    <tableColumn id="14" xr3:uid="{00000000-0010-0000-0500-00000E000000}" name="1998" dataDxfId="134"/>
    <tableColumn id="15" xr3:uid="{00000000-0010-0000-0500-00000F000000}" name="1999" dataDxfId="133"/>
    <tableColumn id="2" xr3:uid="{00000000-0010-0000-0500-000002000000}" name="2000" dataDxfId="132"/>
    <tableColumn id="3" xr3:uid="{00000000-0010-0000-0500-000003000000}" name="2001" dataDxfId="131"/>
    <tableColumn id="4" xr3:uid="{00000000-0010-0000-0500-000004000000}" name="2002" dataDxfId="130" dataCellStyle="Comma"/>
    <tableColumn id="9" xr3:uid="{00000000-0010-0000-0500-000009000000}" name="2003" dataDxfId="129" dataCellStyle="Normal 3"/>
    <tableColumn id="8" xr3:uid="{00000000-0010-0000-0500-000008000000}" name="2004" dataDxfId="128" dataCellStyle="Normal 3"/>
    <tableColumn id="21" xr3:uid="{00000000-0010-0000-0500-000015000000}" name="2005" dataDxfId="127" dataCellStyle="Normal 3"/>
    <tableColumn id="22" xr3:uid="{00000000-0010-0000-0500-000016000000}" name="2006" dataDxfId="126" dataCellStyle="Normal 3"/>
    <tableColumn id="23" xr3:uid="{00000000-0010-0000-0500-000017000000}" name="2007" dataDxfId="125" dataCellStyle="Normal 3"/>
    <tableColumn id="24" xr3:uid="{00000000-0010-0000-0500-000018000000}" name="2008" dataDxfId="124" dataCellStyle="Normal 3"/>
    <tableColumn id="25" xr3:uid="{00000000-0010-0000-0500-000019000000}" name="2009" dataDxfId="123" dataCellStyle="Normal 3"/>
    <tableColumn id="26" xr3:uid="{00000000-0010-0000-0500-00001A000000}" name="2010" dataDxfId="122" dataCellStyle="Normal 3"/>
    <tableColumn id="27" xr3:uid="{00000000-0010-0000-0500-00001B000000}" name="2011" dataDxfId="121"/>
    <tableColumn id="28" xr3:uid="{00000000-0010-0000-0500-00001C000000}" name="2012" dataDxfId="120"/>
    <tableColumn id="29" xr3:uid="{00000000-0010-0000-0500-00001D000000}" name="2013" dataDxfId="119" dataCellStyle="Comma 2"/>
    <tableColumn id="30" xr3:uid="{00000000-0010-0000-0500-00001E000000}" name="2014" dataDxfId="118" dataCellStyle="Comma 2"/>
    <tableColumn id="31" xr3:uid="{00000000-0010-0000-0500-00001F000000}" name="2015" dataDxfId="117" dataCellStyle="Normal 3"/>
    <tableColumn id="32" xr3:uid="{00000000-0010-0000-0500-000020000000}" name="2016" dataDxfId="116" dataCellStyle="Normal 3"/>
    <tableColumn id="33" xr3:uid="{00000000-0010-0000-0500-000021000000}" name="2017" dataDxfId="115" dataCellStyle="Normal 3"/>
    <tableColumn id="34" xr3:uid="{00000000-0010-0000-0500-000022000000}" name="2018" dataDxfId="114" dataCellStyle="Normal 3"/>
    <tableColumn id="35" xr3:uid="{00000000-0010-0000-0500-000023000000}" name="2019" dataDxfId="113" dataCellStyle="Normal 3"/>
    <tableColumn id="36" xr3:uid="{00000000-0010-0000-0500-000024000000}" name="2020" dataDxfId="112" dataCellStyle="Normal 3"/>
    <tableColumn id="17" xr3:uid="{00000000-0010-0000-0500-000011000000}" name="2021" dataDxfId="111" dataCellStyle="Normal 3"/>
  </tableColumns>
  <tableStyleInfo name="TableStyleLight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6000000}" name="Table14132122293031" displayName="Table14132122293031" ref="A4:W12" totalsRowShown="0" headerRowDxfId="145" dataDxfId="144">
  <autoFilter ref="A4:W12"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600-000001000000}" name="Year" dataDxfId="168"/>
    <tableColumn id="2" xr3:uid="{00000000-0010-0000-0600-000002000000}" name="2000" dataDxfId="167" dataCellStyle="Normal 3"/>
    <tableColumn id="3" xr3:uid="{00000000-0010-0000-0600-000003000000}" name="2001" dataDxfId="166" dataCellStyle="Normal 3"/>
    <tableColumn id="4" xr3:uid="{00000000-0010-0000-0600-000004000000}" name="2002" dataDxfId="165" dataCellStyle="Normal 3"/>
    <tableColumn id="9" xr3:uid="{00000000-0010-0000-0600-000009000000}" name="2003" dataDxfId="164" dataCellStyle="Normal 3"/>
    <tableColumn id="8" xr3:uid="{00000000-0010-0000-0600-000008000000}" name="2004" dataDxfId="163" dataCellStyle="Normal 3"/>
    <tableColumn id="21" xr3:uid="{00000000-0010-0000-0600-000015000000}" name="2005" dataDxfId="162" dataCellStyle="Normal 3"/>
    <tableColumn id="22" xr3:uid="{00000000-0010-0000-0600-000016000000}" name="2006" dataDxfId="161" dataCellStyle="Normal 3"/>
    <tableColumn id="23" xr3:uid="{00000000-0010-0000-0600-000017000000}" name="2007" dataDxfId="160" dataCellStyle="Normal 3"/>
    <tableColumn id="24" xr3:uid="{00000000-0010-0000-0600-000018000000}" name="2008" dataDxfId="159" dataCellStyle="Normal 3"/>
    <tableColumn id="25" xr3:uid="{00000000-0010-0000-0600-000019000000}" name="2009" dataDxfId="158" dataCellStyle="Normal 3"/>
    <tableColumn id="26" xr3:uid="{00000000-0010-0000-0600-00001A000000}" name="2010" dataDxfId="157" dataCellStyle="Normal 3"/>
    <tableColumn id="27" xr3:uid="{00000000-0010-0000-0600-00001B000000}" name="2011" dataDxfId="156" dataCellStyle="Normal 3"/>
    <tableColumn id="28" xr3:uid="{00000000-0010-0000-0600-00001C000000}" name="2012" dataDxfId="155" dataCellStyle="Normal 3"/>
    <tableColumn id="29" xr3:uid="{00000000-0010-0000-0600-00001D000000}" name="2013" dataDxfId="154" dataCellStyle="Normal 3"/>
    <tableColumn id="30" xr3:uid="{00000000-0010-0000-0600-00001E000000}" name="2014" dataDxfId="153" dataCellStyle="Normal 3"/>
    <tableColumn id="31" xr3:uid="{00000000-0010-0000-0600-00001F000000}" name="2015" dataDxfId="152" dataCellStyle="Normal 3"/>
    <tableColumn id="32" xr3:uid="{00000000-0010-0000-0600-000020000000}" name="2016" dataDxfId="151" dataCellStyle="Normal 3"/>
    <tableColumn id="33" xr3:uid="{00000000-0010-0000-0600-000021000000}" name="2017" dataDxfId="150" dataCellStyle="Normal 3"/>
    <tableColumn id="34" xr3:uid="{00000000-0010-0000-0600-000022000000}" name="2018" dataDxfId="149" dataCellStyle="Normal 3"/>
    <tableColumn id="35" xr3:uid="{00000000-0010-0000-0600-000023000000}" name="2019" dataDxfId="148" dataCellStyle="Normal 3"/>
    <tableColumn id="36" xr3:uid="{00000000-0010-0000-0600-000024000000}" name="2020" dataDxfId="147" dataCellStyle="Normal 3"/>
    <tableColumn id="5" xr3:uid="{00000000-0010-0000-0600-000005000000}" name="2021" dataDxfId="146" dataCellStyle="Normal 3"/>
  </tableColumns>
  <tableStyleInfo name="TableStyleLight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7000000}" name="Table1413212232" displayName="Table1413212232" ref="A4:AF64" totalsRowShown="0" headerRowDxfId="170" dataDxfId="169">
  <autoFilter ref="A4:AF64"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700-000001000000}" name="Port" dataDxfId="202"/>
    <tableColumn id="5" xr3:uid="{00000000-0010-0000-0700-000005000000}" name="1991" dataDxfId="201" dataCellStyle="Normal 3"/>
    <tableColumn id="6" xr3:uid="{00000000-0010-0000-0700-000006000000}" name="1992" dataDxfId="200" dataCellStyle="Normal 3"/>
    <tableColumn id="7" xr3:uid="{00000000-0010-0000-0700-000007000000}" name="1993" dataDxfId="199" dataCellStyle="Normal 3"/>
    <tableColumn id="10" xr3:uid="{00000000-0010-0000-0700-00000A000000}" name="1994" dataDxfId="198" dataCellStyle="Normal 3"/>
    <tableColumn id="11" xr3:uid="{00000000-0010-0000-0700-00000B000000}" name="1995" dataDxfId="197" dataCellStyle="Normal 3"/>
    <tableColumn id="12" xr3:uid="{00000000-0010-0000-0700-00000C000000}" name="1996" dataDxfId="196" dataCellStyle="Normal 3"/>
    <tableColumn id="13" xr3:uid="{00000000-0010-0000-0700-00000D000000}" name="1997" dataDxfId="195" dataCellStyle="Normal 3"/>
    <tableColumn id="14" xr3:uid="{00000000-0010-0000-0700-00000E000000}" name="1998" dataDxfId="194" dataCellStyle="Normal 3"/>
    <tableColumn id="15" xr3:uid="{00000000-0010-0000-0700-00000F000000}" name="1999" dataDxfId="193" dataCellStyle="Normal 3"/>
    <tableColumn id="2" xr3:uid="{00000000-0010-0000-0700-000002000000}" name="2000" dataDxfId="192" dataCellStyle="Normal 3"/>
    <tableColumn id="3" xr3:uid="{00000000-0010-0000-0700-000003000000}" name="2001" dataDxfId="191" dataCellStyle="Normal 3"/>
    <tableColumn id="4" xr3:uid="{00000000-0010-0000-0700-000004000000}" name="2002" dataDxfId="190" dataCellStyle="Normal 3"/>
    <tableColumn id="9" xr3:uid="{00000000-0010-0000-0700-000009000000}" name="2003" dataDxfId="189" dataCellStyle="Normal 3"/>
    <tableColumn id="8" xr3:uid="{00000000-0010-0000-0700-000008000000}" name="2004" dataDxfId="188" dataCellStyle="Normal 3"/>
    <tableColumn id="21" xr3:uid="{00000000-0010-0000-0700-000015000000}" name="2005" dataDxfId="187" dataCellStyle="Normal 3"/>
    <tableColumn id="22" xr3:uid="{00000000-0010-0000-0700-000016000000}" name="2006" dataDxfId="186" dataCellStyle="Normal 3"/>
    <tableColumn id="23" xr3:uid="{00000000-0010-0000-0700-000017000000}" name="2007" dataDxfId="185" dataCellStyle="Normal 3"/>
    <tableColumn id="24" xr3:uid="{00000000-0010-0000-0700-000018000000}" name="2008" dataDxfId="184" dataCellStyle="Normal 3"/>
    <tableColumn id="25" xr3:uid="{00000000-0010-0000-0700-000019000000}" name="2009" dataDxfId="183" dataCellStyle="Normal 3"/>
    <tableColumn id="26" xr3:uid="{00000000-0010-0000-0700-00001A000000}" name="2010" dataDxfId="182" dataCellStyle="Normal 3"/>
    <tableColumn id="27" xr3:uid="{00000000-0010-0000-0700-00001B000000}" name="2011" dataDxfId="181" dataCellStyle="Normal 3"/>
    <tableColumn id="28" xr3:uid="{00000000-0010-0000-0700-00001C000000}" name="2012" dataDxfId="180" dataCellStyle="Normal 3"/>
    <tableColumn id="29" xr3:uid="{00000000-0010-0000-0700-00001D000000}" name="2013" dataDxfId="179" dataCellStyle="Normal 3"/>
    <tableColumn id="30" xr3:uid="{00000000-0010-0000-0700-00001E000000}" name="2014" dataDxfId="178" dataCellStyle="Normal 3"/>
    <tableColumn id="31" xr3:uid="{00000000-0010-0000-0700-00001F000000}" name="2015" dataDxfId="177" dataCellStyle="Normal 3"/>
    <tableColumn id="32" xr3:uid="{00000000-0010-0000-0700-000020000000}" name="2016" dataDxfId="176" dataCellStyle="Normal 3"/>
    <tableColumn id="33" xr3:uid="{00000000-0010-0000-0700-000021000000}" name="2017" dataDxfId="175" dataCellStyle="Normal 3"/>
    <tableColumn id="34" xr3:uid="{00000000-0010-0000-0700-000022000000}" name="2018" dataDxfId="174" dataCellStyle="Normal 3"/>
    <tableColumn id="35" xr3:uid="{00000000-0010-0000-0700-000023000000}" name="2019" dataDxfId="173" dataCellStyle="Normal 3"/>
    <tableColumn id="36" xr3:uid="{00000000-0010-0000-0700-000024000000}" name="2020" dataDxfId="172" dataCellStyle="Normal 3"/>
    <tableColumn id="16" xr3:uid="{00000000-0010-0000-0700-000010000000}" name="2021" dataDxfId="171" dataCellStyle="Normal 3"/>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14132122323" displayName="Table14132122323" ref="A4:AF46" totalsRowShown="0" headerRowDxfId="204" dataDxfId="203">
  <autoFilter ref="A4:AF4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800-000001000000}" name="Port" dataDxfId="236"/>
    <tableColumn id="5" xr3:uid="{00000000-0010-0000-0800-000005000000}" name="1991" dataDxfId="235" dataCellStyle="Normal 3"/>
    <tableColumn id="6" xr3:uid="{00000000-0010-0000-0800-000006000000}" name="1992" dataDxfId="234" dataCellStyle="Normal 3"/>
    <tableColumn id="7" xr3:uid="{00000000-0010-0000-0800-000007000000}" name="1993" dataDxfId="233" dataCellStyle="Normal 3"/>
    <tableColumn id="10" xr3:uid="{00000000-0010-0000-0800-00000A000000}" name="1994" dataDxfId="232" dataCellStyle="Normal 3"/>
    <tableColumn id="11" xr3:uid="{00000000-0010-0000-0800-00000B000000}" name="1995" dataDxfId="231" dataCellStyle="Normal 3"/>
    <tableColumn id="12" xr3:uid="{00000000-0010-0000-0800-00000C000000}" name="1996" dataDxfId="230" dataCellStyle="Normal 3"/>
    <tableColumn id="13" xr3:uid="{00000000-0010-0000-0800-00000D000000}" name="1997" dataDxfId="229" dataCellStyle="Normal 3"/>
    <tableColumn id="14" xr3:uid="{00000000-0010-0000-0800-00000E000000}" name="1998" dataDxfId="228" dataCellStyle="Normal 3"/>
    <tableColumn id="15" xr3:uid="{00000000-0010-0000-0800-00000F000000}" name="1999" dataDxfId="227" dataCellStyle="Normal 3"/>
    <tableColumn id="2" xr3:uid="{00000000-0010-0000-0800-000002000000}" name="2000" dataDxfId="226" dataCellStyle="Normal 3"/>
    <tableColumn id="3" xr3:uid="{00000000-0010-0000-0800-000003000000}" name="2001" dataDxfId="225" dataCellStyle="Normal 3"/>
    <tableColumn id="4" xr3:uid="{00000000-0010-0000-0800-000004000000}" name="2002" dataDxfId="224" dataCellStyle="Normal 3"/>
    <tableColumn id="9" xr3:uid="{00000000-0010-0000-0800-000009000000}" name="2003" dataDxfId="223" dataCellStyle="Normal 3"/>
    <tableColumn id="8" xr3:uid="{00000000-0010-0000-0800-000008000000}" name="2004" dataDxfId="222" dataCellStyle="Normal 3"/>
    <tableColumn id="21" xr3:uid="{00000000-0010-0000-0800-000015000000}" name="2005" dataDxfId="221" dataCellStyle="Normal 3"/>
    <tableColumn id="22" xr3:uid="{00000000-0010-0000-0800-000016000000}" name="2006" dataDxfId="220" dataCellStyle="Normal 3"/>
    <tableColumn id="23" xr3:uid="{00000000-0010-0000-0800-000017000000}" name="2007" dataDxfId="219" dataCellStyle="Normal 3"/>
    <tableColumn id="24" xr3:uid="{00000000-0010-0000-0800-000018000000}" name="2008" dataDxfId="218" dataCellStyle="Normal 3"/>
    <tableColumn id="25" xr3:uid="{00000000-0010-0000-0800-000019000000}" name="2009" dataDxfId="217" dataCellStyle="Normal 3"/>
    <tableColumn id="26" xr3:uid="{00000000-0010-0000-0800-00001A000000}" name="2010" dataDxfId="216" dataCellStyle="Normal 3"/>
    <tableColumn id="27" xr3:uid="{00000000-0010-0000-0800-00001B000000}" name="2011" dataDxfId="215" dataCellStyle="Normal 3"/>
    <tableColumn id="28" xr3:uid="{00000000-0010-0000-0800-00001C000000}" name="2012" dataDxfId="214" dataCellStyle="Normal 3"/>
    <tableColumn id="29" xr3:uid="{00000000-0010-0000-0800-00001D000000}" name="2013" dataDxfId="213" dataCellStyle="Normal 3"/>
    <tableColumn id="30" xr3:uid="{00000000-0010-0000-0800-00001E000000}" name="2014" dataDxfId="212" dataCellStyle="Normal 3"/>
    <tableColumn id="31" xr3:uid="{00000000-0010-0000-0800-00001F000000}" name="2015" dataDxfId="211" dataCellStyle="Normal 3"/>
    <tableColumn id="32" xr3:uid="{00000000-0010-0000-0800-000020000000}" name="2016" dataDxfId="210" dataCellStyle="Normal 3"/>
    <tableColumn id="33" xr3:uid="{00000000-0010-0000-0800-000021000000}" name="2017" dataDxfId="209" dataCellStyle="Normal 3"/>
    <tableColumn id="34" xr3:uid="{00000000-0010-0000-0800-000022000000}" name="2018" dataDxfId="208" dataCellStyle="Normal 3"/>
    <tableColumn id="35" xr3:uid="{00000000-0010-0000-0800-000023000000}" name="2019" dataDxfId="207" dataCellStyle="Normal 3"/>
    <tableColumn id="36" xr3:uid="{00000000-0010-0000-0800-000024000000}" name="2020" dataDxfId="206" dataCellStyle="Normal 3"/>
    <tableColumn id="16" xr3:uid="{00000000-0010-0000-0800-000010000000}" name="2021" dataDxfId="205" dataCellStyle="Normal 3"/>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abSelected="1" workbookViewId="0">
      <selection activeCell="B8" sqref="B8"/>
    </sheetView>
  </sheetViews>
  <sheetFormatPr defaultRowHeight="15" x14ac:dyDescent="0.2"/>
  <cols>
    <col min="1" max="1" width="19.33203125" style="6" customWidth="1"/>
    <col min="2" max="2" width="67.77734375" style="6" customWidth="1"/>
    <col min="3" max="3" width="19.33203125" style="6" customWidth="1"/>
    <col min="4" max="4" width="20.33203125" style="6" customWidth="1"/>
    <col min="5" max="16384" width="8.88671875" style="6"/>
  </cols>
  <sheetData>
    <row r="1" spans="1:4" ht="19.5" x14ac:dyDescent="0.3">
      <c r="A1" s="253" t="s">
        <v>0</v>
      </c>
      <c r="B1" s="254"/>
    </row>
    <row r="2" spans="1:4" ht="31.5" x14ac:dyDescent="0.2">
      <c r="A2" s="255" t="s">
        <v>1</v>
      </c>
      <c r="B2" s="256" t="s">
        <v>2</v>
      </c>
      <c r="C2" s="256" t="s">
        <v>3</v>
      </c>
      <c r="D2" s="256" t="s">
        <v>4</v>
      </c>
    </row>
    <row r="3" spans="1:4" x14ac:dyDescent="0.2">
      <c r="A3" s="257" t="s">
        <v>811</v>
      </c>
      <c r="B3" s="254" t="s">
        <v>778</v>
      </c>
      <c r="C3" s="258"/>
      <c r="D3" s="258"/>
    </row>
    <row r="4" spans="1:4" x14ac:dyDescent="0.2">
      <c r="A4" s="257" t="s">
        <v>812</v>
      </c>
      <c r="B4" s="254" t="s">
        <v>779</v>
      </c>
      <c r="C4" s="258"/>
      <c r="D4" s="258"/>
    </row>
    <row r="5" spans="1:4" x14ac:dyDescent="0.2">
      <c r="A5" s="257" t="s">
        <v>780</v>
      </c>
      <c r="B5" s="254" t="s">
        <v>781</v>
      </c>
      <c r="C5" s="258"/>
      <c r="D5" s="258"/>
    </row>
    <row r="6" spans="1:4" x14ac:dyDescent="0.2">
      <c r="A6" s="257" t="s">
        <v>782</v>
      </c>
      <c r="B6" s="254" t="s">
        <v>783</v>
      </c>
      <c r="C6" s="258"/>
      <c r="D6" s="258"/>
    </row>
    <row r="7" spans="1:4" x14ac:dyDescent="0.2">
      <c r="A7" s="257" t="s">
        <v>784</v>
      </c>
      <c r="B7" s="254" t="s">
        <v>785</v>
      </c>
      <c r="C7" s="258"/>
      <c r="D7" s="258"/>
    </row>
    <row r="8" spans="1:4" ht="30" x14ac:dyDescent="0.2">
      <c r="A8" s="257" t="s">
        <v>786</v>
      </c>
      <c r="B8" s="254" t="s">
        <v>787</v>
      </c>
      <c r="C8" s="258"/>
      <c r="D8" s="258"/>
    </row>
    <row r="9" spans="1:4" x14ac:dyDescent="0.2">
      <c r="A9" s="257" t="s">
        <v>814</v>
      </c>
      <c r="B9" s="254" t="s">
        <v>788</v>
      </c>
      <c r="C9" s="258"/>
      <c r="D9" s="258"/>
    </row>
    <row r="10" spans="1:4" x14ac:dyDescent="0.2">
      <c r="A10" s="257" t="s">
        <v>789</v>
      </c>
      <c r="B10" s="254" t="s">
        <v>790</v>
      </c>
      <c r="C10" s="258"/>
      <c r="D10" s="258"/>
    </row>
    <row r="11" spans="1:4" x14ac:dyDescent="0.2">
      <c r="A11" s="257" t="s">
        <v>791</v>
      </c>
      <c r="B11" s="254" t="s">
        <v>792</v>
      </c>
      <c r="C11" s="258"/>
      <c r="D11" s="258"/>
    </row>
    <row r="12" spans="1:4" x14ac:dyDescent="0.2">
      <c r="A12" s="257" t="s">
        <v>793</v>
      </c>
      <c r="B12" s="254" t="s">
        <v>794</v>
      </c>
      <c r="C12" s="258"/>
      <c r="D12" s="258"/>
    </row>
    <row r="13" spans="1:4" x14ac:dyDescent="0.2">
      <c r="A13" s="257" t="s">
        <v>795</v>
      </c>
      <c r="B13" s="254" t="s">
        <v>796</v>
      </c>
      <c r="C13" s="258"/>
      <c r="D13" s="258"/>
    </row>
    <row r="14" spans="1:4" x14ac:dyDescent="0.2">
      <c r="A14" s="257" t="s">
        <v>797</v>
      </c>
      <c r="B14" s="254" t="s">
        <v>798</v>
      </c>
      <c r="C14" s="258"/>
      <c r="D14" s="258"/>
    </row>
    <row r="15" spans="1:4" x14ac:dyDescent="0.2">
      <c r="A15" s="257" t="s">
        <v>813</v>
      </c>
      <c r="B15" s="254" t="s">
        <v>799</v>
      </c>
      <c r="C15" s="258"/>
      <c r="D15" s="258"/>
    </row>
    <row r="16" spans="1:4" x14ac:dyDescent="0.2">
      <c r="A16" s="257" t="s">
        <v>815</v>
      </c>
      <c r="B16" s="254" t="s">
        <v>800</v>
      </c>
      <c r="C16" s="258"/>
      <c r="D16" s="258"/>
    </row>
    <row r="17" spans="1:4" x14ac:dyDescent="0.2">
      <c r="A17" s="257" t="s">
        <v>816</v>
      </c>
      <c r="B17" s="254" t="s">
        <v>817</v>
      </c>
      <c r="C17" s="258"/>
      <c r="D17" s="258"/>
    </row>
    <row r="18" spans="1:4" x14ac:dyDescent="0.2">
      <c r="A18" s="257" t="s">
        <v>818</v>
      </c>
      <c r="B18" s="254" t="s">
        <v>801</v>
      </c>
      <c r="C18" s="258"/>
      <c r="D18" s="258"/>
    </row>
    <row r="19" spans="1:4" x14ac:dyDescent="0.2">
      <c r="A19" s="257" t="s">
        <v>820</v>
      </c>
      <c r="B19" s="254" t="s">
        <v>819</v>
      </c>
      <c r="C19" s="258"/>
      <c r="D19" s="258"/>
    </row>
    <row r="20" spans="1:4" x14ac:dyDescent="0.2">
      <c r="A20" s="257" t="s">
        <v>802</v>
      </c>
      <c r="B20" s="254" t="s">
        <v>822</v>
      </c>
      <c r="C20" s="258"/>
      <c r="D20" s="258"/>
    </row>
    <row r="21" spans="1:4" x14ac:dyDescent="0.2">
      <c r="A21" s="257" t="s">
        <v>802</v>
      </c>
      <c r="B21" s="254" t="s">
        <v>821</v>
      </c>
      <c r="C21" s="258"/>
      <c r="D21" s="258"/>
    </row>
    <row r="22" spans="1:4" x14ac:dyDescent="0.2">
      <c r="A22" s="257" t="s">
        <v>824</v>
      </c>
      <c r="B22" s="254" t="s">
        <v>823</v>
      </c>
      <c r="C22" s="258"/>
      <c r="D22" s="258"/>
    </row>
    <row r="23" spans="1:4" x14ac:dyDescent="0.2">
      <c r="A23" s="257" t="s">
        <v>825</v>
      </c>
      <c r="B23" s="254" t="s">
        <v>826</v>
      </c>
      <c r="C23" s="258"/>
      <c r="D23" s="258"/>
    </row>
    <row r="24" spans="1:4" x14ac:dyDescent="0.2">
      <c r="A24" s="257" t="s">
        <v>828</v>
      </c>
      <c r="B24" s="254" t="s">
        <v>827</v>
      </c>
      <c r="C24" s="258"/>
      <c r="D24" s="258"/>
    </row>
    <row r="25" spans="1:4" x14ac:dyDescent="0.2">
      <c r="A25" s="257" t="s">
        <v>803</v>
      </c>
      <c r="B25" s="254" t="s">
        <v>804</v>
      </c>
      <c r="C25" s="258"/>
      <c r="D25" s="258"/>
    </row>
    <row r="26" spans="1:4" x14ac:dyDescent="0.2">
      <c r="A26" s="257" t="s">
        <v>805</v>
      </c>
      <c r="B26" s="254" t="s">
        <v>806</v>
      </c>
      <c r="C26" s="258"/>
      <c r="D26" s="258"/>
    </row>
    <row r="27" spans="1:4" x14ac:dyDescent="0.2">
      <c r="A27" s="257" t="s">
        <v>807</v>
      </c>
      <c r="B27" s="254" t="s">
        <v>808</v>
      </c>
      <c r="C27" s="258"/>
      <c r="D27" s="258"/>
    </row>
    <row r="28" spans="1:4" x14ac:dyDescent="0.2">
      <c r="A28" s="257" t="s">
        <v>809</v>
      </c>
      <c r="B28" s="254" t="s">
        <v>810</v>
      </c>
      <c r="C28" s="258"/>
      <c r="D28" s="258"/>
    </row>
    <row r="29" spans="1:4" x14ac:dyDescent="0.2">
      <c r="A29" s="257"/>
      <c r="B29" s="254"/>
      <c r="C29" s="258"/>
      <c r="D29" s="258"/>
    </row>
    <row r="30" spans="1:4" x14ac:dyDescent="0.2">
      <c r="A30" s="257"/>
      <c r="B30" s="254"/>
      <c r="C30" s="258"/>
      <c r="D30" s="258"/>
    </row>
    <row r="31" spans="1:4" x14ac:dyDescent="0.2">
      <c r="A31" s="257"/>
      <c r="B31" s="254"/>
      <c r="C31" s="258"/>
      <c r="D31" s="258"/>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64"/>
  <sheetViews>
    <sheetView zoomScaleNormal="100" workbookViewId="0">
      <pane xSplit="1" topLeftCell="P1" activePane="topRight" state="frozen"/>
      <selection activeCell="B8" sqref="B8"/>
      <selection pane="topRight" activeCell="B8" sqref="B8"/>
    </sheetView>
  </sheetViews>
  <sheetFormatPr defaultRowHeight="15" x14ac:dyDescent="0.2"/>
  <cols>
    <col min="1" max="1" width="36.6640625" style="6" customWidth="1"/>
    <col min="2" max="2" width="7.44140625" style="6" customWidth="1"/>
    <col min="3" max="3" width="7.33203125" style="6" customWidth="1"/>
    <col min="4" max="4" width="7.5546875" style="6" customWidth="1"/>
    <col min="5" max="5" width="7.44140625" style="6" customWidth="1"/>
    <col min="6" max="26" width="8.5546875" style="6" customWidth="1"/>
    <col min="27" max="16384" width="8.88671875" style="6"/>
  </cols>
  <sheetData>
    <row r="1" spans="1:27" s="5" customFormat="1" ht="15.75" x14ac:dyDescent="0.25">
      <c r="A1" s="1" t="s">
        <v>846</v>
      </c>
      <c r="B1" s="1"/>
      <c r="C1" s="1"/>
      <c r="D1" s="1"/>
      <c r="E1" s="1"/>
      <c r="F1" s="2"/>
      <c r="G1" s="3"/>
      <c r="H1" s="4"/>
      <c r="I1" s="4"/>
      <c r="J1" s="2"/>
    </row>
    <row r="2" spans="1:27" s="5" customFormat="1" ht="15.75" x14ac:dyDescent="0.25">
      <c r="A2" s="2" t="s">
        <v>5</v>
      </c>
      <c r="B2" s="2"/>
      <c r="C2" s="2"/>
      <c r="D2" s="2"/>
      <c r="E2" s="2"/>
      <c r="F2" s="2"/>
      <c r="G2" s="3"/>
      <c r="H2" s="4"/>
      <c r="I2" s="4"/>
      <c r="J2" s="2"/>
    </row>
    <row r="3" spans="1:27" s="5" customFormat="1" ht="15.75" x14ac:dyDescent="0.25">
      <c r="A3" s="5" t="s">
        <v>69</v>
      </c>
      <c r="F3" s="2"/>
      <c r="G3" s="3"/>
      <c r="H3" s="4"/>
      <c r="I3" s="4"/>
      <c r="J3" s="2"/>
    </row>
    <row r="4" spans="1:27" s="260" customFormat="1" ht="15.75" x14ac:dyDescent="0.25">
      <c r="A4" s="259" t="s">
        <v>335</v>
      </c>
      <c r="B4" s="260" t="s">
        <v>40</v>
      </c>
      <c r="C4" s="260" t="s">
        <v>41</v>
      </c>
      <c r="D4" s="260" t="s">
        <v>42</v>
      </c>
      <c r="E4" s="260" t="s">
        <v>43</v>
      </c>
      <c r="F4" s="260" t="s">
        <v>17</v>
      </c>
      <c r="G4" s="260" t="s">
        <v>18</v>
      </c>
      <c r="H4" s="260" t="s">
        <v>44</v>
      </c>
      <c r="I4" s="260" t="s">
        <v>19</v>
      </c>
      <c r="J4" s="260" t="s">
        <v>20</v>
      </c>
      <c r="K4" s="260" t="s">
        <v>21</v>
      </c>
      <c r="L4" s="260" t="s">
        <v>22</v>
      </c>
      <c r="M4" s="260" t="s">
        <v>23</v>
      </c>
      <c r="N4" s="260" t="s">
        <v>24</v>
      </c>
      <c r="O4" s="260" t="s">
        <v>25</v>
      </c>
      <c r="P4" s="260" t="s">
        <v>26</v>
      </c>
      <c r="Q4" s="260" t="s">
        <v>27</v>
      </c>
      <c r="R4" s="260" t="s">
        <v>28</v>
      </c>
      <c r="S4" s="260" t="s">
        <v>29</v>
      </c>
      <c r="T4" s="260" t="s">
        <v>30</v>
      </c>
      <c r="U4" s="260" t="s">
        <v>31</v>
      </c>
      <c r="V4" s="260" t="s">
        <v>32</v>
      </c>
      <c r="W4" s="260" t="s">
        <v>33</v>
      </c>
      <c r="X4" s="260" t="s">
        <v>34</v>
      </c>
      <c r="Y4" s="260" t="s">
        <v>35</v>
      </c>
      <c r="Z4" s="260" t="s">
        <v>36</v>
      </c>
      <c r="AA4" s="245" t="s">
        <v>857</v>
      </c>
    </row>
    <row r="5" spans="1:27" x14ac:dyDescent="0.2">
      <c r="A5" s="63" t="s">
        <v>269</v>
      </c>
      <c r="B5" s="13" t="s">
        <v>427</v>
      </c>
      <c r="C5" s="13" t="s">
        <v>427</v>
      </c>
      <c r="D5" s="13" t="s">
        <v>427</v>
      </c>
      <c r="E5" s="13" t="s">
        <v>427</v>
      </c>
      <c r="F5" s="240">
        <v>0</v>
      </c>
      <c r="G5" s="240">
        <v>0</v>
      </c>
      <c r="H5" s="240">
        <v>0</v>
      </c>
      <c r="I5" s="240">
        <v>0</v>
      </c>
      <c r="J5" s="240">
        <v>0</v>
      </c>
      <c r="K5" s="240">
        <v>0</v>
      </c>
      <c r="L5" s="240">
        <v>0</v>
      </c>
      <c r="M5" s="240">
        <v>0</v>
      </c>
      <c r="N5" s="240">
        <v>0</v>
      </c>
      <c r="O5" s="240">
        <v>0</v>
      </c>
      <c r="P5" s="240">
        <v>0</v>
      </c>
      <c r="Q5" s="240">
        <v>0</v>
      </c>
      <c r="R5" s="240">
        <v>0</v>
      </c>
      <c r="S5" s="240">
        <v>0</v>
      </c>
      <c r="T5" s="240">
        <v>0</v>
      </c>
      <c r="U5" s="240">
        <v>0</v>
      </c>
      <c r="V5" s="240">
        <v>0</v>
      </c>
      <c r="W5" s="240">
        <v>0</v>
      </c>
      <c r="X5" s="240">
        <v>0</v>
      </c>
      <c r="Y5" s="240">
        <v>0</v>
      </c>
      <c r="Z5" s="240">
        <v>0</v>
      </c>
      <c r="AA5" s="240">
        <v>0</v>
      </c>
    </row>
    <row r="6" spans="1:27" x14ac:dyDescent="0.2">
      <c r="A6" s="63" t="s">
        <v>270</v>
      </c>
      <c r="B6" s="13" t="s">
        <v>427</v>
      </c>
      <c r="C6" s="13" t="s">
        <v>427</v>
      </c>
      <c r="D6" s="13" t="s">
        <v>427</v>
      </c>
      <c r="E6" s="13" t="s">
        <v>427</v>
      </c>
      <c r="F6" s="240">
        <v>0</v>
      </c>
      <c r="G6" s="240">
        <v>0</v>
      </c>
      <c r="H6" s="240">
        <v>0</v>
      </c>
      <c r="I6" s="240">
        <v>0</v>
      </c>
      <c r="J6" s="240">
        <v>0</v>
      </c>
      <c r="K6" s="240">
        <v>0</v>
      </c>
      <c r="L6" s="240">
        <v>0</v>
      </c>
      <c r="M6" s="240">
        <v>0</v>
      </c>
      <c r="N6" s="240">
        <v>0</v>
      </c>
      <c r="O6" s="240">
        <v>0</v>
      </c>
      <c r="P6" s="240">
        <v>0</v>
      </c>
      <c r="Q6" s="240">
        <v>0</v>
      </c>
      <c r="R6" s="240">
        <v>0</v>
      </c>
      <c r="S6" s="240">
        <v>0</v>
      </c>
      <c r="T6" s="240">
        <v>0</v>
      </c>
      <c r="U6" s="240">
        <v>0</v>
      </c>
      <c r="V6" s="240">
        <v>0</v>
      </c>
      <c r="W6" s="240">
        <v>0</v>
      </c>
      <c r="X6" s="240">
        <v>0</v>
      </c>
      <c r="Y6" s="240">
        <v>0</v>
      </c>
      <c r="Z6" s="240">
        <v>0</v>
      </c>
      <c r="AA6" s="240">
        <v>0</v>
      </c>
    </row>
    <row r="7" spans="1:27" x14ac:dyDescent="0.2">
      <c r="A7" s="63" t="s">
        <v>271</v>
      </c>
      <c r="B7" s="13" t="s">
        <v>427</v>
      </c>
      <c r="C7" s="13" t="s">
        <v>427</v>
      </c>
      <c r="D7" s="13" t="s">
        <v>427</v>
      </c>
      <c r="E7" s="13" t="s">
        <v>427</v>
      </c>
      <c r="F7" s="33">
        <v>1506</v>
      </c>
      <c r="G7" s="33">
        <v>1404</v>
      </c>
      <c r="H7" s="33">
        <v>1273</v>
      </c>
      <c r="I7" s="33">
        <v>1274</v>
      </c>
      <c r="J7" s="73">
        <v>1277</v>
      </c>
      <c r="K7" s="73">
        <v>1165</v>
      </c>
      <c r="L7" s="73">
        <v>1222</v>
      </c>
      <c r="M7" s="73">
        <v>1231</v>
      </c>
      <c r="N7" s="73">
        <v>1190</v>
      </c>
      <c r="O7" s="71">
        <v>1177</v>
      </c>
      <c r="P7" s="71">
        <v>1017</v>
      </c>
      <c r="Q7" s="71">
        <v>986</v>
      </c>
      <c r="R7" s="240">
        <v>0</v>
      </c>
      <c r="S7" s="240">
        <v>0</v>
      </c>
      <c r="T7" s="240">
        <v>0</v>
      </c>
      <c r="U7" s="240">
        <v>0</v>
      </c>
      <c r="V7" s="240">
        <v>0</v>
      </c>
      <c r="W7" s="240">
        <v>0</v>
      </c>
      <c r="X7" s="240">
        <v>0</v>
      </c>
      <c r="Y7" s="240">
        <v>0</v>
      </c>
      <c r="Z7" s="240">
        <v>0</v>
      </c>
      <c r="AA7" s="240">
        <v>0</v>
      </c>
    </row>
    <row r="8" spans="1:27" x14ac:dyDescent="0.2">
      <c r="A8" s="68" t="s">
        <v>272</v>
      </c>
      <c r="B8" s="13" t="s">
        <v>427</v>
      </c>
      <c r="C8" s="13" t="s">
        <v>427</v>
      </c>
      <c r="D8" s="13" t="s">
        <v>427</v>
      </c>
      <c r="E8" s="13" t="s">
        <v>427</v>
      </c>
      <c r="F8" s="240">
        <v>0</v>
      </c>
      <c r="G8" s="240">
        <v>0</v>
      </c>
      <c r="H8" s="240">
        <v>0</v>
      </c>
      <c r="I8" s="240">
        <v>0</v>
      </c>
      <c r="J8" s="240">
        <v>0</v>
      </c>
      <c r="K8" s="240">
        <v>0</v>
      </c>
      <c r="L8" s="240">
        <v>0</v>
      </c>
      <c r="M8" s="240">
        <v>0</v>
      </c>
      <c r="N8" s="240">
        <v>0</v>
      </c>
      <c r="O8" s="240">
        <v>0</v>
      </c>
      <c r="P8" s="240">
        <v>0</v>
      </c>
      <c r="Q8" s="240">
        <v>0</v>
      </c>
      <c r="R8" s="240">
        <v>0</v>
      </c>
      <c r="S8" s="240">
        <v>0</v>
      </c>
      <c r="T8" s="240">
        <v>0</v>
      </c>
      <c r="U8" s="240">
        <v>0</v>
      </c>
      <c r="V8" s="240">
        <v>0</v>
      </c>
      <c r="W8" s="240">
        <v>0</v>
      </c>
      <c r="X8" s="240">
        <v>0</v>
      </c>
      <c r="Y8" s="240">
        <v>0</v>
      </c>
      <c r="Z8" s="240">
        <v>0</v>
      </c>
      <c r="AA8" s="240">
        <v>0</v>
      </c>
    </row>
    <row r="9" spans="1:27" x14ac:dyDescent="0.2">
      <c r="A9" s="67" t="s">
        <v>273</v>
      </c>
      <c r="B9" s="13" t="s">
        <v>427</v>
      </c>
      <c r="C9" s="13" t="s">
        <v>427</v>
      </c>
      <c r="D9" s="13" t="s">
        <v>427</v>
      </c>
      <c r="E9" s="13" t="s">
        <v>427</v>
      </c>
      <c r="F9" s="33">
        <v>1506</v>
      </c>
      <c r="G9" s="33">
        <v>1404</v>
      </c>
      <c r="H9" s="33">
        <v>1273</v>
      </c>
      <c r="I9" s="33">
        <v>1274</v>
      </c>
      <c r="J9" s="73">
        <v>1277</v>
      </c>
      <c r="K9" s="73">
        <v>1165</v>
      </c>
      <c r="L9" s="73">
        <v>1222</v>
      </c>
      <c r="M9" s="73">
        <v>1231</v>
      </c>
      <c r="N9" s="73">
        <v>1190</v>
      </c>
      <c r="O9" s="71">
        <v>1177</v>
      </c>
      <c r="P9" s="71">
        <v>1017</v>
      </c>
      <c r="Q9" s="71">
        <v>986</v>
      </c>
      <c r="R9" s="240">
        <v>0</v>
      </c>
      <c r="S9" s="240">
        <v>0</v>
      </c>
      <c r="T9" s="240">
        <v>0</v>
      </c>
      <c r="U9" s="240">
        <v>0</v>
      </c>
      <c r="V9" s="240">
        <v>0</v>
      </c>
      <c r="W9" s="240">
        <v>0</v>
      </c>
      <c r="X9" s="240">
        <v>0</v>
      </c>
      <c r="Y9" s="240">
        <v>0</v>
      </c>
      <c r="Z9" s="240">
        <v>0</v>
      </c>
      <c r="AA9" s="240">
        <v>0</v>
      </c>
    </row>
    <row r="10" spans="1:27" ht="36" customHeight="1" x14ac:dyDescent="0.2">
      <c r="A10" s="63" t="s">
        <v>258</v>
      </c>
      <c r="B10" s="240">
        <v>0</v>
      </c>
      <c r="C10" s="240">
        <v>0</v>
      </c>
      <c r="D10" s="240">
        <v>0</v>
      </c>
      <c r="E10" s="240">
        <v>0</v>
      </c>
      <c r="F10" s="240">
        <v>0</v>
      </c>
      <c r="G10" s="240">
        <v>0</v>
      </c>
      <c r="H10" s="240">
        <v>0</v>
      </c>
      <c r="I10" s="240">
        <v>0</v>
      </c>
      <c r="J10" s="240">
        <v>0</v>
      </c>
      <c r="K10" s="240">
        <v>0</v>
      </c>
      <c r="L10" s="240">
        <v>0</v>
      </c>
      <c r="M10" s="240">
        <v>0</v>
      </c>
      <c r="N10" s="240">
        <v>0</v>
      </c>
      <c r="O10" s="240">
        <v>0</v>
      </c>
      <c r="P10" s="240">
        <v>0</v>
      </c>
      <c r="Q10" s="240">
        <v>0</v>
      </c>
      <c r="R10" s="240">
        <v>0</v>
      </c>
      <c r="S10" s="240">
        <v>0</v>
      </c>
      <c r="T10" s="240">
        <v>0</v>
      </c>
      <c r="U10" s="240">
        <v>0</v>
      </c>
      <c r="V10" s="240">
        <v>0</v>
      </c>
      <c r="W10" s="240">
        <v>0</v>
      </c>
      <c r="X10" s="240">
        <v>0</v>
      </c>
      <c r="Y10" s="240">
        <v>0</v>
      </c>
      <c r="Z10" s="240">
        <v>0</v>
      </c>
      <c r="AA10" s="240">
        <v>0</v>
      </c>
    </row>
    <row r="11" spans="1:27" x14ac:dyDescent="0.2">
      <c r="A11" s="63" t="s">
        <v>259</v>
      </c>
      <c r="B11" s="240">
        <v>0</v>
      </c>
      <c r="C11" s="240">
        <v>0</v>
      </c>
      <c r="D11" s="240">
        <v>0</v>
      </c>
      <c r="E11" s="240">
        <v>0</v>
      </c>
      <c r="F11" s="240">
        <v>0</v>
      </c>
      <c r="G11" s="240">
        <v>0</v>
      </c>
      <c r="H11" s="240">
        <v>0</v>
      </c>
      <c r="I11" s="240">
        <v>0</v>
      </c>
      <c r="J11" s="240">
        <v>0</v>
      </c>
      <c r="K11" s="240">
        <v>0</v>
      </c>
      <c r="L11" s="240">
        <v>0</v>
      </c>
      <c r="M11" s="240">
        <v>0</v>
      </c>
      <c r="N11" s="240">
        <v>0</v>
      </c>
      <c r="O11" s="240">
        <v>0</v>
      </c>
      <c r="P11" s="240">
        <v>0</v>
      </c>
      <c r="Q11" s="240">
        <v>0</v>
      </c>
      <c r="R11" s="240">
        <v>0</v>
      </c>
      <c r="S11" s="240">
        <v>0</v>
      </c>
      <c r="T11" s="240">
        <v>0</v>
      </c>
      <c r="U11" s="240">
        <v>0</v>
      </c>
      <c r="V11" s="240">
        <v>0</v>
      </c>
      <c r="W11" s="240">
        <v>0</v>
      </c>
      <c r="X11" s="240">
        <v>0</v>
      </c>
      <c r="Y11" s="240">
        <v>0</v>
      </c>
      <c r="Z11" s="240">
        <v>0</v>
      </c>
      <c r="AA11" s="240">
        <v>0</v>
      </c>
    </row>
    <row r="12" spans="1:27" x14ac:dyDescent="0.2">
      <c r="A12" s="63" t="s">
        <v>260</v>
      </c>
      <c r="B12" s="240">
        <v>0</v>
      </c>
      <c r="C12" s="240">
        <v>0</v>
      </c>
      <c r="D12" s="240">
        <v>0</v>
      </c>
      <c r="E12" s="240">
        <v>0</v>
      </c>
      <c r="F12" s="240">
        <v>0</v>
      </c>
      <c r="G12" s="240">
        <v>0</v>
      </c>
      <c r="H12" s="240">
        <v>0</v>
      </c>
      <c r="I12" s="240">
        <v>0</v>
      </c>
      <c r="J12" s="240">
        <v>0</v>
      </c>
      <c r="K12" s="240">
        <v>0</v>
      </c>
      <c r="L12" s="240">
        <v>0</v>
      </c>
      <c r="M12" s="240">
        <v>0</v>
      </c>
      <c r="N12" s="240">
        <v>0</v>
      </c>
      <c r="O12" s="240">
        <v>0</v>
      </c>
      <c r="P12" s="240">
        <v>0</v>
      </c>
      <c r="Q12" s="240">
        <v>0</v>
      </c>
      <c r="R12" s="71">
        <v>1814.9</v>
      </c>
      <c r="S12" s="71">
        <v>1783.1</v>
      </c>
      <c r="T12" s="64">
        <v>2038.4829999999999</v>
      </c>
      <c r="U12" s="64">
        <v>2163</v>
      </c>
      <c r="V12" s="64">
        <v>2356</v>
      </c>
      <c r="W12" s="64">
        <v>2388</v>
      </c>
      <c r="X12" s="64">
        <v>2545.8980000000001</v>
      </c>
      <c r="Y12" s="64">
        <v>2649.7</v>
      </c>
      <c r="Z12" s="64">
        <v>2615.6</v>
      </c>
      <c r="AA12" s="61">
        <v>2728.5</v>
      </c>
    </row>
    <row r="13" spans="1:27" x14ac:dyDescent="0.2">
      <c r="A13" s="68" t="s">
        <v>261</v>
      </c>
      <c r="B13" s="240">
        <v>0</v>
      </c>
      <c r="C13" s="240">
        <v>0</v>
      </c>
      <c r="D13" s="240">
        <v>0</v>
      </c>
      <c r="E13" s="240">
        <v>0</v>
      </c>
      <c r="F13" s="240">
        <v>0</v>
      </c>
      <c r="G13" s="240">
        <v>0</v>
      </c>
      <c r="H13" s="240">
        <v>0</v>
      </c>
      <c r="I13" s="240">
        <v>0</v>
      </c>
      <c r="J13" s="240">
        <v>0</v>
      </c>
      <c r="K13" s="240">
        <v>0</v>
      </c>
      <c r="L13" s="240">
        <v>0</v>
      </c>
      <c r="M13" s="240">
        <v>0</v>
      </c>
      <c r="N13" s="240">
        <v>0</v>
      </c>
      <c r="O13" s="240">
        <v>0</v>
      </c>
      <c r="P13" s="240">
        <v>0</v>
      </c>
      <c r="Q13" s="240">
        <v>0</v>
      </c>
      <c r="R13" s="240">
        <v>0</v>
      </c>
      <c r="S13" s="240">
        <v>0</v>
      </c>
      <c r="T13" s="240">
        <v>0</v>
      </c>
      <c r="U13" s="240">
        <v>0</v>
      </c>
      <c r="V13" s="240">
        <v>0</v>
      </c>
      <c r="W13" s="240">
        <v>0</v>
      </c>
      <c r="X13" s="240">
        <v>0</v>
      </c>
      <c r="Y13" s="240">
        <v>0</v>
      </c>
      <c r="Z13" s="240">
        <v>0</v>
      </c>
      <c r="AA13" s="240">
        <v>0</v>
      </c>
    </row>
    <row r="14" spans="1:27" x14ac:dyDescent="0.2">
      <c r="A14" s="67" t="s">
        <v>262</v>
      </c>
      <c r="B14" s="240">
        <v>0</v>
      </c>
      <c r="C14" s="240">
        <v>0</v>
      </c>
      <c r="D14" s="240">
        <v>0</v>
      </c>
      <c r="E14" s="240">
        <v>0</v>
      </c>
      <c r="F14" s="240">
        <v>0</v>
      </c>
      <c r="G14" s="240">
        <v>0</v>
      </c>
      <c r="H14" s="240">
        <v>0</v>
      </c>
      <c r="I14" s="240">
        <v>0</v>
      </c>
      <c r="J14" s="240">
        <v>0</v>
      </c>
      <c r="K14" s="240">
        <v>0</v>
      </c>
      <c r="L14" s="240">
        <v>0</v>
      </c>
      <c r="M14" s="240">
        <v>0</v>
      </c>
      <c r="N14" s="240">
        <v>0</v>
      </c>
      <c r="O14" s="240">
        <v>0</v>
      </c>
      <c r="P14" s="240">
        <v>0</v>
      </c>
      <c r="Q14" s="240">
        <v>0</v>
      </c>
      <c r="R14" s="71">
        <v>1814.9</v>
      </c>
      <c r="S14" s="71">
        <v>1783.1</v>
      </c>
      <c r="T14" s="64">
        <v>2038.4829999999999</v>
      </c>
      <c r="U14" s="64">
        <v>2163</v>
      </c>
      <c r="V14" s="64">
        <v>2356</v>
      </c>
      <c r="W14" s="64">
        <v>2388</v>
      </c>
      <c r="X14" s="64">
        <v>2545.8980000000001</v>
      </c>
      <c r="Y14" s="64">
        <v>2649.7</v>
      </c>
      <c r="Z14" s="64">
        <v>2615.6</v>
      </c>
      <c r="AA14" s="61">
        <v>2728.5</v>
      </c>
    </row>
    <row r="15" spans="1:27" ht="42.75" customHeight="1" x14ac:dyDescent="0.2">
      <c r="A15" s="63" t="s">
        <v>274</v>
      </c>
      <c r="B15" s="13" t="s">
        <v>427</v>
      </c>
      <c r="C15" s="240">
        <v>0</v>
      </c>
      <c r="D15" s="240">
        <v>0</v>
      </c>
      <c r="E15" s="240">
        <v>0</v>
      </c>
      <c r="F15" s="240">
        <v>0</v>
      </c>
      <c r="G15" s="240">
        <v>0</v>
      </c>
      <c r="H15" s="240">
        <v>0</v>
      </c>
      <c r="I15" s="240">
        <v>0</v>
      </c>
      <c r="J15" s="240">
        <v>0</v>
      </c>
      <c r="K15" s="240">
        <v>0</v>
      </c>
      <c r="L15" s="240">
        <v>0</v>
      </c>
      <c r="M15" s="240">
        <v>0</v>
      </c>
      <c r="N15" s="240">
        <v>0</v>
      </c>
      <c r="O15" s="240">
        <v>0</v>
      </c>
      <c r="P15" s="240">
        <v>0</v>
      </c>
      <c r="Q15" s="240">
        <v>0</v>
      </c>
      <c r="R15" s="240">
        <v>0</v>
      </c>
      <c r="S15" s="240">
        <v>0</v>
      </c>
      <c r="T15" s="240">
        <v>0</v>
      </c>
      <c r="U15" s="240">
        <v>0</v>
      </c>
      <c r="V15" s="240">
        <v>0</v>
      </c>
      <c r="W15" s="240">
        <v>0</v>
      </c>
      <c r="X15" s="240">
        <v>0</v>
      </c>
      <c r="Y15" s="240">
        <v>0</v>
      </c>
      <c r="Z15" s="240">
        <v>0</v>
      </c>
      <c r="AA15" s="240">
        <v>0</v>
      </c>
    </row>
    <row r="16" spans="1:27" x14ac:dyDescent="0.2">
      <c r="A16" s="63" t="s">
        <v>275</v>
      </c>
      <c r="B16" s="13" t="s">
        <v>427</v>
      </c>
      <c r="C16" s="240">
        <v>0</v>
      </c>
      <c r="D16" s="240">
        <v>0</v>
      </c>
      <c r="E16" s="240">
        <v>0</v>
      </c>
      <c r="F16" s="240">
        <v>0</v>
      </c>
      <c r="G16" s="240">
        <v>0</v>
      </c>
      <c r="H16" s="240">
        <v>0</v>
      </c>
      <c r="I16" s="240">
        <v>0</v>
      </c>
      <c r="J16" s="240">
        <v>0</v>
      </c>
      <c r="K16" s="240">
        <v>0</v>
      </c>
      <c r="L16" s="240">
        <v>0</v>
      </c>
      <c r="M16" s="240">
        <v>0</v>
      </c>
      <c r="N16" s="240">
        <v>0</v>
      </c>
      <c r="O16" s="240">
        <v>0</v>
      </c>
      <c r="P16" s="240">
        <v>0</v>
      </c>
      <c r="Q16" s="240">
        <v>0</v>
      </c>
      <c r="R16" s="240">
        <v>0</v>
      </c>
      <c r="S16" s="240">
        <v>0</v>
      </c>
      <c r="T16" s="240">
        <v>0</v>
      </c>
      <c r="U16" s="240">
        <v>0</v>
      </c>
      <c r="V16" s="240">
        <v>0</v>
      </c>
      <c r="W16" s="240">
        <v>0</v>
      </c>
      <c r="X16" s="240">
        <v>0</v>
      </c>
      <c r="Y16" s="240">
        <v>0</v>
      </c>
      <c r="Z16" s="240">
        <v>0</v>
      </c>
      <c r="AA16" s="240">
        <v>0</v>
      </c>
    </row>
    <row r="17" spans="1:27" x14ac:dyDescent="0.2">
      <c r="A17" s="63" t="s">
        <v>276</v>
      </c>
      <c r="B17" s="13" t="s">
        <v>427</v>
      </c>
      <c r="C17" s="71">
        <v>2227</v>
      </c>
      <c r="D17" s="33">
        <v>2504</v>
      </c>
      <c r="E17" s="33">
        <v>2437</v>
      </c>
      <c r="F17" s="33">
        <v>2283</v>
      </c>
      <c r="G17" s="33">
        <v>2014</v>
      </c>
      <c r="H17" s="33">
        <v>2099</v>
      </c>
      <c r="I17" s="33">
        <v>2328</v>
      </c>
      <c r="J17" s="73">
        <v>2849</v>
      </c>
      <c r="K17" s="73">
        <v>3274</v>
      </c>
      <c r="L17" s="73">
        <v>3145</v>
      </c>
      <c r="M17" s="73">
        <v>3163</v>
      </c>
      <c r="N17" s="73">
        <v>2928</v>
      </c>
      <c r="O17" s="71">
        <v>2572</v>
      </c>
      <c r="P17" s="71">
        <v>2632</v>
      </c>
      <c r="Q17" s="71">
        <v>2932</v>
      </c>
      <c r="R17" s="71">
        <v>2609.9</v>
      </c>
      <c r="S17" s="71">
        <v>2363.8000000000002</v>
      </c>
      <c r="T17" s="64">
        <v>2368.3710000000001</v>
      </c>
      <c r="U17" s="64">
        <v>2548</v>
      </c>
      <c r="V17" s="64">
        <v>2737</v>
      </c>
      <c r="W17" s="64">
        <v>2847</v>
      </c>
      <c r="X17" s="64">
        <v>2856.8670000000002</v>
      </c>
      <c r="Y17" s="64">
        <v>2704.8</v>
      </c>
      <c r="Z17" s="64">
        <v>2695.1</v>
      </c>
      <c r="AA17" s="61">
        <v>3129</v>
      </c>
    </row>
    <row r="18" spans="1:27" x14ac:dyDescent="0.2">
      <c r="A18" s="68" t="s">
        <v>277</v>
      </c>
      <c r="B18" s="13" t="s">
        <v>427</v>
      </c>
      <c r="C18" s="240">
        <v>0</v>
      </c>
      <c r="D18" s="240">
        <v>0</v>
      </c>
      <c r="E18" s="240">
        <v>0</v>
      </c>
      <c r="F18" s="240">
        <v>0</v>
      </c>
      <c r="G18" s="240">
        <v>0</v>
      </c>
      <c r="H18" s="240">
        <v>0</v>
      </c>
      <c r="I18" s="240">
        <v>0</v>
      </c>
      <c r="J18" s="240">
        <v>0</v>
      </c>
      <c r="K18" s="240">
        <v>0</v>
      </c>
      <c r="L18" s="240">
        <v>0</v>
      </c>
      <c r="M18" s="240">
        <v>0</v>
      </c>
      <c r="N18" s="240">
        <v>0</v>
      </c>
      <c r="O18" s="240">
        <v>0</v>
      </c>
      <c r="P18" s="35">
        <v>3</v>
      </c>
      <c r="Q18" s="240">
        <v>0</v>
      </c>
      <c r="R18" s="240">
        <v>0</v>
      </c>
      <c r="S18" s="37">
        <v>0.7</v>
      </c>
      <c r="T18" s="240">
        <v>0</v>
      </c>
      <c r="U18" s="240">
        <v>0</v>
      </c>
      <c r="V18" s="37">
        <v>3</v>
      </c>
      <c r="W18" s="240">
        <v>0</v>
      </c>
      <c r="X18" s="240">
        <v>0</v>
      </c>
      <c r="Y18" s="240">
        <v>0</v>
      </c>
      <c r="Z18" s="240">
        <v>0</v>
      </c>
      <c r="AA18" s="240">
        <v>0</v>
      </c>
    </row>
    <row r="19" spans="1:27" x14ac:dyDescent="0.2">
      <c r="A19" s="63" t="s">
        <v>278</v>
      </c>
      <c r="B19" s="13" t="s">
        <v>427</v>
      </c>
      <c r="C19" s="71">
        <v>2227</v>
      </c>
      <c r="D19" s="33">
        <v>2504</v>
      </c>
      <c r="E19" s="33">
        <v>2437</v>
      </c>
      <c r="F19" s="33">
        <v>2283</v>
      </c>
      <c r="G19" s="33">
        <v>2014</v>
      </c>
      <c r="H19" s="33">
        <v>2099</v>
      </c>
      <c r="I19" s="33">
        <v>2328</v>
      </c>
      <c r="J19" s="73">
        <v>2849</v>
      </c>
      <c r="K19" s="73">
        <v>3274</v>
      </c>
      <c r="L19" s="73">
        <v>3145</v>
      </c>
      <c r="M19" s="73">
        <v>3163</v>
      </c>
      <c r="N19" s="73">
        <v>2928</v>
      </c>
      <c r="O19" s="71">
        <v>2572</v>
      </c>
      <c r="P19" s="71">
        <v>2634</v>
      </c>
      <c r="Q19" s="71">
        <v>2632</v>
      </c>
      <c r="R19" s="71">
        <v>2609.9</v>
      </c>
      <c r="S19" s="71">
        <v>2364.5</v>
      </c>
      <c r="T19" s="64">
        <v>2368.3710000000001</v>
      </c>
      <c r="U19" s="64">
        <v>2548</v>
      </c>
      <c r="V19" s="64">
        <v>2740</v>
      </c>
      <c r="W19" s="64">
        <v>2847</v>
      </c>
      <c r="X19" s="64">
        <v>2856.8670000000002</v>
      </c>
      <c r="Y19" s="64">
        <v>2704.8</v>
      </c>
      <c r="Z19" s="64">
        <v>2695.1</v>
      </c>
      <c r="AA19" s="61">
        <v>3129</v>
      </c>
    </row>
    <row r="20" spans="1:27" ht="39" customHeight="1" x14ac:dyDescent="0.2">
      <c r="A20" s="63" t="s">
        <v>233</v>
      </c>
      <c r="B20" s="69">
        <v>2966</v>
      </c>
      <c r="C20" s="71">
        <v>3093</v>
      </c>
      <c r="D20" s="33">
        <v>2276</v>
      </c>
      <c r="E20" s="33">
        <v>2434</v>
      </c>
      <c r="F20" s="33">
        <v>1780</v>
      </c>
      <c r="G20" s="33">
        <v>2673</v>
      </c>
      <c r="H20" s="33">
        <v>3191</v>
      </c>
      <c r="I20" s="33">
        <v>3112</v>
      </c>
      <c r="J20" s="73">
        <v>3494</v>
      </c>
      <c r="K20" s="73">
        <v>3473</v>
      </c>
      <c r="L20" s="73">
        <v>3626</v>
      </c>
      <c r="M20" s="73">
        <v>3568</v>
      </c>
      <c r="N20" s="73">
        <v>5149</v>
      </c>
      <c r="O20" s="71">
        <v>4685</v>
      </c>
      <c r="P20" s="71">
        <v>4853</v>
      </c>
      <c r="Q20" s="71">
        <v>5124</v>
      </c>
      <c r="R20" s="71">
        <v>5945.3</v>
      </c>
      <c r="S20" s="71">
        <v>5776.8</v>
      </c>
      <c r="T20" s="64">
        <v>6952.3220000000001</v>
      </c>
      <c r="U20" s="64">
        <v>6729</v>
      </c>
      <c r="V20" s="64">
        <v>6125</v>
      </c>
      <c r="W20" s="64">
        <v>6918</v>
      </c>
      <c r="X20" s="64">
        <v>7092.5220000000045</v>
      </c>
      <c r="Y20" s="64">
        <v>7212.1</v>
      </c>
      <c r="Z20" s="64">
        <v>5591.7</v>
      </c>
      <c r="AA20" s="61">
        <v>6862.3</v>
      </c>
    </row>
    <row r="21" spans="1:27" x14ac:dyDescent="0.2">
      <c r="A21" s="63" t="s">
        <v>234</v>
      </c>
      <c r="B21" s="69">
        <v>3474</v>
      </c>
      <c r="C21" s="71">
        <v>3563</v>
      </c>
      <c r="D21" s="33">
        <v>5233</v>
      </c>
      <c r="E21" s="33">
        <v>5441</v>
      </c>
      <c r="F21" s="33">
        <v>4333</v>
      </c>
      <c r="G21" s="33">
        <v>7451</v>
      </c>
      <c r="H21" s="33">
        <v>5661</v>
      </c>
      <c r="I21" s="33">
        <v>5072</v>
      </c>
      <c r="J21" s="73">
        <v>6872</v>
      </c>
      <c r="K21" s="73">
        <v>11334</v>
      </c>
      <c r="L21" s="73">
        <v>10397</v>
      </c>
      <c r="M21" s="73">
        <v>7249</v>
      </c>
      <c r="N21" s="73">
        <v>8095</v>
      </c>
      <c r="O21" s="71">
        <v>6904</v>
      </c>
      <c r="P21" s="71">
        <v>6793</v>
      </c>
      <c r="Q21" s="71">
        <v>7564</v>
      </c>
      <c r="R21" s="71">
        <v>8778.2000000000007</v>
      </c>
      <c r="S21" s="71">
        <v>8376.7999999999993</v>
      </c>
      <c r="T21" s="64">
        <v>8451.4529999999995</v>
      </c>
      <c r="U21" s="64">
        <v>4899</v>
      </c>
      <c r="V21" s="64">
        <v>1668</v>
      </c>
      <c r="W21" s="64">
        <v>1125</v>
      </c>
      <c r="X21" s="64">
        <v>1144.1810000000003</v>
      </c>
      <c r="Y21" s="64">
        <v>818.17</v>
      </c>
      <c r="Z21" s="64">
        <v>691.95</v>
      </c>
      <c r="AA21" s="61">
        <v>832.73</v>
      </c>
    </row>
    <row r="22" spans="1:27" x14ac:dyDescent="0.2">
      <c r="A22" s="63" t="s">
        <v>237</v>
      </c>
      <c r="B22" s="69">
        <v>656</v>
      </c>
      <c r="C22" s="71">
        <v>729</v>
      </c>
      <c r="D22" s="33">
        <v>533</v>
      </c>
      <c r="E22" s="33">
        <v>530</v>
      </c>
      <c r="F22" s="33">
        <v>878</v>
      </c>
      <c r="G22" s="33">
        <v>534</v>
      </c>
      <c r="H22" s="33">
        <v>346</v>
      </c>
      <c r="I22" s="33">
        <v>426</v>
      </c>
      <c r="J22" s="33">
        <v>406</v>
      </c>
      <c r="K22" s="33">
        <v>370</v>
      </c>
      <c r="L22" s="33">
        <v>398</v>
      </c>
      <c r="M22" s="73">
        <v>469</v>
      </c>
      <c r="N22" s="73">
        <v>439</v>
      </c>
      <c r="O22" s="71">
        <v>447</v>
      </c>
      <c r="P22" s="71">
        <v>509</v>
      </c>
      <c r="Q22" s="71">
        <v>599</v>
      </c>
      <c r="R22" s="71">
        <v>588.20000000000005</v>
      </c>
      <c r="S22" s="71">
        <v>498.5</v>
      </c>
      <c r="T22" s="64">
        <v>576.30799999999999</v>
      </c>
      <c r="U22" s="64">
        <v>634</v>
      </c>
      <c r="V22" s="64">
        <v>651</v>
      </c>
      <c r="W22" s="64">
        <v>599</v>
      </c>
      <c r="X22" s="64">
        <v>641.32599999999979</v>
      </c>
      <c r="Y22" s="64">
        <v>596.41</v>
      </c>
      <c r="Z22" s="64">
        <v>533.16999999999996</v>
      </c>
      <c r="AA22" s="61">
        <v>575.17999999999995</v>
      </c>
    </row>
    <row r="23" spans="1:27" x14ac:dyDescent="0.2">
      <c r="A23" s="68" t="s">
        <v>235</v>
      </c>
      <c r="B23" s="69">
        <v>104</v>
      </c>
      <c r="C23" s="71">
        <f>94+15</f>
        <v>109</v>
      </c>
      <c r="D23" s="33">
        <v>86</v>
      </c>
      <c r="E23" s="33">
        <v>90</v>
      </c>
      <c r="F23" s="33">
        <v>233</v>
      </c>
      <c r="G23" s="33">
        <v>411</v>
      </c>
      <c r="H23" s="33">
        <v>534</v>
      </c>
      <c r="I23" s="33">
        <v>604</v>
      </c>
      <c r="J23" s="33">
        <v>736</v>
      </c>
      <c r="K23" s="33">
        <v>560</v>
      </c>
      <c r="L23" s="33">
        <v>560</v>
      </c>
      <c r="M23" s="73">
        <v>777</v>
      </c>
      <c r="N23" s="73">
        <v>654</v>
      </c>
      <c r="O23" s="71">
        <v>516</v>
      </c>
      <c r="P23" s="71">
        <v>128</v>
      </c>
      <c r="Q23" s="71">
        <v>144</v>
      </c>
      <c r="R23" s="71">
        <v>108.8</v>
      </c>
      <c r="S23" s="71">
        <v>130.4</v>
      </c>
      <c r="T23" s="64">
        <v>220.86699999999999</v>
      </c>
      <c r="U23" s="64">
        <v>223</v>
      </c>
      <c r="V23" s="64">
        <v>298</v>
      </c>
      <c r="W23" s="64">
        <v>223</v>
      </c>
      <c r="X23" s="64">
        <v>208.53199999999998</v>
      </c>
      <c r="Y23" s="64">
        <v>174.08</v>
      </c>
      <c r="Z23" s="64">
        <v>116.46</v>
      </c>
      <c r="AA23" s="61">
        <v>139.24</v>
      </c>
    </row>
    <row r="24" spans="1:27" x14ac:dyDescent="0.2">
      <c r="A24" s="63" t="s">
        <v>236</v>
      </c>
      <c r="B24" s="75">
        <v>7200</v>
      </c>
      <c r="C24" s="71">
        <v>7494</v>
      </c>
      <c r="D24" s="33">
        <v>8127</v>
      </c>
      <c r="E24" s="33">
        <v>8495</v>
      </c>
      <c r="F24" s="33">
        <v>7224</v>
      </c>
      <c r="G24" s="33">
        <v>11069</v>
      </c>
      <c r="H24" s="33">
        <v>9733</v>
      </c>
      <c r="I24" s="33">
        <v>9214</v>
      </c>
      <c r="J24" s="73">
        <v>11507</v>
      </c>
      <c r="K24" s="73">
        <v>15737</v>
      </c>
      <c r="L24" s="73">
        <v>14981</v>
      </c>
      <c r="M24" s="73">
        <v>12063</v>
      </c>
      <c r="N24" s="73">
        <v>14338</v>
      </c>
      <c r="O24" s="71">
        <v>12552</v>
      </c>
      <c r="P24" s="71">
        <v>12283</v>
      </c>
      <c r="Q24" s="71">
        <v>13431</v>
      </c>
      <c r="R24" s="71">
        <v>15420.6</v>
      </c>
      <c r="S24" s="71">
        <v>14782.5</v>
      </c>
      <c r="T24" s="64">
        <v>16200.95</v>
      </c>
      <c r="U24" s="64">
        <v>12484</v>
      </c>
      <c r="V24" s="64">
        <v>8742</v>
      </c>
      <c r="W24" s="64">
        <v>8865</v>
      </c>
      <c r="X24" s="64">
        <v>9086.5610000000052</v>
      </c>
      <c r="Y24" s="64">
        <v>8800.7999999999993</v>
      </c>
      <c r="Z24" s="64">
        <v>6933.3</v>
      </c>
      <c r="AA24" s="61">
        <v>8409.5</v>
      </c>
    </row>
    <row r="25" spans="1:27" ht="30" customHeight="1" x14ac:dyDescent="0.2">
      <c r="A25" s="63" t="s">
        <v>238</v>
      </c>
      <c r="B25" s="75" t="s">
        <v>37</v>
      </c>
      <c r="C25" s="70" t="s">
        <v>37</v>
      </c>
      <c r="D25" s="38" t="s">
        <v>37</v>
      </c>
      <c r="E25" s="38" t="s">
        <v>37</v>
      </c>
      <c r="F25" s="38" t="s">
        <v>37</v>
      </c>
      <c r="G25" s="38">
        <v>1</v>
      </c>
      <c r="H25" s="38">
        <v>4</v>
      </c>
      <c r="I25" s="35">
        <v>3</v>
      </c>
      <c r="J25" s="35">
        <v>1</v>
      </c>
      <c r="K25" s="240">
        <v>0</v>
      </c>
      <c r="L25" s="240">
        <v>0</v>
      </c>
      <c r="M25" s="240">
        <v>0</v>
      </c>
      <c r="N25" s="240">
        <v>0</v>
      </c>
      <c r="O25" s="240">
        <v>0</v>
      </c>
      <c r="P25" s="240">
        <v>0</v>
      </c>
      <c r="Q25" s="240">
        <v>0</v>
      </c>
      <c r="R25" s="240">
        <v>0</v>
      </c>
      <c r="S25" s="240">
        <v>0</v>
      </c>
      <c r="T25" s="240">
        <v>0</v>
      </c>
      <c r="U25" s="240">
        <v>0</v>
      </c>
      <c r="V25" s="240">
        <v>0</v>
      </c>
      <c r="W25" s="240">
        <v>0</v>
      </c>
      <c r="X25" s="240">
        <v>0</v>
      </c>
      <c r="Y25" s="240">
        <v>0</v>
      </c>
      <c r="Z25" s="240">
        <v>0</v>
      </c>
      <c r="AA25" s="240">
        <v>0</v>
      </c>
    </row>
    <row r="26" spans="1:27" x14ac:dyDescent="0.2">
      <c r="A26" s="63" t="s">
        <v>239</v>
      </c>
      <c r="B26" s="69">
        <v>4486</v>
      </c>
      <c r="C26" s="70">
        <v>4401</v>
      </c>
      <c r="D26" s="33">
        <v>5140</v>
      </c>
      <c r="E26" s="33">
        <v>5217</v>
      </c>
      <c r="F26" s="33">
        <v>5899</v>
      </c>
      <c r="G26" s="33">
        <v>5470</v>
      </c>
      <c r="H26" s="33">
        <v>5842</v>
      </c>
      <c r="I26" s="33">
        <v>5319</v>
      </c>
      <c r="J26" s="73">
        <v>5188</v>
      </c>
      <c r="K26" s="73">
        <v>5439</v>
      </c>
      <c r="L26" s="73">
        <v>6004</v>
      </c>
      <c r="M26" s="35">
        <v>7050</v>
      </c>
      <c r="N26" s="35">
        <v>6336</v>
      </c>
      <c r="O26" s="35">
        <v>5591</v>
      </c>
      <c r="P26" s="35">
        <v>5846</v>
      </c>
      <c r="Q26" s="35">
        <v>6060</v>
      </c>
      <c r="R26" s="71">
        <v>5541.2</v>
      </c>
      <c r="S26" s="71">
        <v>5746</v>
      </c>
      <c r="T26" s="64">
        <v>6347.39</v>
      </c>
      <c r="U26" s="64">
        <v>5597</v>
      </c>
      <c r="V26" s="64">
        <v>5487</v>
      </c>
      <c r="W26" s="64">
        <v>6138</v>
      </c>
      <c r="X26" s="64">
        <v>5942.5769999999975</v>
      </c>
      <c r="Y26" s="64">
        <v>6646</v>
      </c>
      <c r="Z26" s="64">
        <v>5458.3</v>
      </c>
      <c r="AA26" s="61">
        <v>6122.7</v>
      </c>
    </row>
    <row r="27" spans="1:27" x14ac:dyDescent="0.2">
      <c r="A27" s="63" t="s">
        <v>240</v>
      </c>
      <c r="B27" s="240">
        <v>0</v>
      </c>
      <c r="C27" s="240">
        <v>0</v>
      </c>
      <c r="D27" s="240">
        <v>0</v>
      </c>
      <c r="E27" s="240">
        <v>0</v>
      </c>
      <c r="F27" s="240">
        <v>0</v>
      </c>
      <c r="G27" s="240">
        <v>0</v>
      </c>
      <c r="H27" s="240">
        <v>0</v>
      </c>
      <c r="I27" s="240">
        <v>0</v>
      </c>
      <c r="J27" s="240">
        <v>0</v>
      </c>
      <c r="K27" s="240">
        <v>0</v>
      </c>
      <c r="L27" s="240">
        <v>0</v>
      </c>
      <c r="M27" s="240">
        <v>0</v>
      </c>
      <c r="N27" s="240">
        <v>0</v>
      </c>
      <c r="O27" s="240">
        <v>0</v>
      </c>
      <c r="P27" s="240">
        <v>0</v>
      </c>
      <c r="Q27" s="240">
        <v>0</v>
      </c>
      <c r="R27" s="240">
        <v>0</v>
      </c>
      <c r="S27" s="240">
        <v>0</v>
      </c>
      <c r="T27" s="240">
        <v>0</v>
      </c>
      <c r="U27" s="240">
        <v>0</v>
      </c>
      <c r="V27" s="240">
        <v>0</v>
      </c>
      <c r="W27" s="240">
        <v>0</v>
      </c>
      <c r="X27" s="240">
        <v>0</v>
      </c>
      <c r="Y27" s="240">
        <v>0</v>
      </c>
      <c r="Z27" s="240">
        <v>0</v>
      </c>
      <c r="AA27" s="240">
        <v>0</v>
      </c>
    </row>
    <row r="28" spans="1:27" x14ac:dyDescent="0.2">
      <c r="A28" s="68" t="s">
        <v>241</v>
      </c>
      <c r="B28" s="240">
        <v>0</v>
      </c>
      <c r="C28" s="240">
        <v>0</v>
      </c>
      <c r="D28" s="240">
        <v>0</v>
      </c>
      <c r="E28" s="240">
        <v>0</v>
      </c>
      <c r="F28" s="240">
        <v>0</v>
      </c>
      <c r="G28" s="240">
        <v>0</v>
      </c>
      <c r="H28" s="240">
        <v>0</v>
      </c>
      <c r="I28" s="240">
        <v>0</v>
      </c>
      <c r="J28" s="240">
        <v>0</v>
      </c>
      <c r="K28" s="240">
        <v>0</v>
      </c>
      <c r="L28" s="240">
        <v>0</v>
      </c>
      <c r="M28" s="240">
        <v>0</v>
      </c>
      <c r="N28" s="240">
        <v>0</v>
      </c>
      <c r="O28" s="240">
        <v>0</v>
      </c>
      <c r="P28" s="240">
        <v>0</v>
      </c>
      <c r="Q28" s="240">
        <v>0</v>
      </c>
      <c r="R28" s="240">
        <v>0</v>
      </c>
      <c r="S28" s="240">
        <v>0</v>
      </c>
      <c r="T28" s="240">
        <v>0</v>
      </c>
      <c r="U28" s="240">
        <v>0</v>
      </c>
      <c r="V28" s="240">
        <v>0</v>
      </c>
      <c r="W28" s="240">
        <v>0</v>
      </c>
      <c r="X28" s="240">
        <v>0</v>
      </c>
      <c r="Y28" s="240">
        <v>0</v>
      </c>
      <c r="Z28" s="240">
        <v>0</v>
      </c>
      <c r="AA28" s="240">
        <v>0</v>
      </c>
    </row>
    <row r="29" spans="1:27" x14ac:dyDescent="0.2">
      <c r="A29" s="63" t="s">
        <v>242</v>
      </c>
      <c r="B29" s="69">
        <v>4486</v>
      </c>
      <c r="C29" s="70">
        <v>4401</v>
      </c>
      <c r="D29" s="33">
        <v>5140</v>
      </c>
      <c r="E29" s="33">
        <v>5217</v>
      </c>
      <c r="F29" s="33">
        <v>5899</v>
      </c>
      <c r="G29" s="33">
        <v>5471</v>
      </c>
      <c r="H29" s="33">
        <v>5846</v>
      </c>
      <c r="I29" s="33">
        <v>5322</v>
      </c>
      <c r="J29" s="73">
        <v>5189</v>
      </c>
      <c r="K29" s="73">
        <v>5439</v>
      </c>
      <c r="L29" s="73">
        <v>6004</v>
      </c>
      <c r="M29" s="35">
        <v>7050</v>
      </c>
      <c r="N29" s="35">
        <v>6336</v>
      </c>
      <c r="O29" s="35">
        <v>5591</v>
      </c>
      <c r="P29" s="35">
        <v>5846</v>
      </c>
      <c r="Q29" s="35">
        <v>6060</v>
      </c>
      <c r="R29" s="71">
        <v>5541.2</v>
      </c>
      <c r="S29" s="71">
        <v>5746</v>
      </c>
      <c r="T29" s="64">
        <v>6347.39</v>
      </c>
      <c r="U29" s="64">
        <v>5597</v>
      </c>
      <c r="V29" s="64">
        <v>5487</v>
      </c>
      <c r="W29" s="64">
        <v>6138</v>
      </c>
      <c r="X29" s="64">
        <v>5942.5769999999975</v>
      </c>
      <c r="Y29" s="64">
        <v>6646</v>
      </c>
      <c r="Z29" s="64">
        <v>5458.3</v>
      </c>
      <c r="AA29" s="61">
        <v>6122.7</v>
      </c>
    </row>
    <row r="30" spans="1:27" ht="31.5" customHeight="1" x14ac:dyDescent="0.2">
      <c r="A30" s="63" t="s">
        <v>243</v>
      </c>
      <c r="B30" s="69">
        <v>11239</v>
      </c>
      <c r="C30" s="71">
        <v>10243</v>
      </c>
      <c r="D30" s="33">
        <v>15965</v>
      </c>
      <c r="E30" s="33">
        <v>16792</v>
      </c>
      <c r="F30" s="33">
        <v>22623</v>
      </c>
      <c r="G30" s="33">
        <v>18213</v>
      </c>
      <c r="H30" s="33">
        <v>18588</v>
      </c>
      <c r="I30" s="33">
        <v>14299</v>
      </c>
      <c r="J30" s="73">
        <v>17775</v>
      </c>
      <c r="K30" s="73">
        <v>14375</v>
      </c>
      <c r="L30" s="73">
        <v>11100</v>
      </c>
      <c r="M30" s="73">
        <v>10413</v>
      </c>
      <c r="N30" s="73">
        <v>4594</v>
      </c>
      <c r="O30" s="71">
        <v>3026</v>
      </c>
      <c r="P30" s="71">
        <v>2998</v>
      </c>
      <c r="Q30" s="71">
        <v>2095</v>
      </c>
      <c r="R30" s="71">
        <v>1486.4</v>
      </c>
      <c r="S30" s="71">
        <v>824.2</v>
      </c>
      <c r="T30" s="64">
        <v>917.79200000000003</v>
      </c>
      <c r="U30" s="64">
        <v>3688</v>
      </c>
      <c r="V30" s="64">
        <v>4348</v>
      </c>
      <c r="W30" s="64">
        <v>4585</v>
      </c>
      <c r="X30" s="64">
        <v>3194.0199999999977</v>
      </c>
      <c r="Y30" s="64">
        <v>2777.5</v>
      </c>
      <c r="Z30" s="64">
        <v>2413.4</v>
      </c>
      <c r="AA30" s="61">
        <v>2474.4</v>
      </c>
    </row>
    <row r="31" spans="1:27" x14ac:dyDescent="0.2">
      <c r="A31" s="63" t="s">
        <v>244</v>
      </c>
      <c r="B31" s="69">
        <v>13</v>
      </c>
      <c r="C31" s="71">
        <v>13</v>
      </c>
      <c r="D31" s="33">
        <v>12</v>
      </c>
      <c r="E31" s="33">
        <v>16</v>
      </c>
      <c r="F31" s="33">
        <v>54</v>
      </c>
      <c r="G31" s="33">
        <v>58</v>
      </c>
      <c r="H31" s="33">
        <v>55</v>
      </c>
      <c r="I31" s="33">
        <v>18</v>
      </c>
      <c r="J31" s="33">
        <v>20</v>
      </c>
      <c r="K31" s="33">
        <v>15</v>
      </c>
      <c r="L31" s="33">
        <v>12</v>
      </c>
      <c r="M31" s="73">
        <v>10</v>
      </c>
      <c r="N31" s="73">
        <v>6</v>
      </c>
      <c r="O31" s="71">
        <v>12</v>
      </c>
      <c r="P31" s="71">
        <v>20</v>
      </c>
      <c r="Q31" s="71">
        <v>25</v>
      </c>
      <c r="R31" s="71">
        <v>14.8</v>
      </c>
      <c r="S31" s="71">
        <v>10.6</v>
      </c>
      <c r="T31" s="64">
        <v>12.401999999999999</v>
      </c>
      <c r="U31" s="64">
        <v>16</v>
      </c>
      <c r="V31" s="64">
        <v>9</v>
      </c>
      <c r="W31" s="64">
        <v>9</v>
      </c>
      <c r="X31" s="64">
        <v>15.103999999999999</v>
      </c>
      <c r="Y31" s="64">
        <v>9.1999999999999993</v>
      </c>
      <c r="Z31" s="64">
        <v>13.63</v>
      </c>
      <c r="AA31" s="61">
        <v>55.44</v>
      </c>
    </row>
    <row r="32" spans="1:27" x14ac:dyDescent="0.2">
      <c r="A32" s="63" t="s">
        <v>245</v>
      </c>
      <c r="B32" s="69">
        <v>103</v>
      </c>
      <c r="C32" s="71">
        <v>146</v>
      </c>
      <c r="D32" s="33">
        <v>102</v>
      </c>
      <c r="E32" s="33">
        <v>106</v>
      </c>
      <c r="F32" s="33">
        <v>100</v>
      </c>
      <c r="G32" s="33">
        <v>87</v>
      </c>
      <c r="H32" s="33">
        <v>131</v>
      </c>
      <c r="I32" s="33">
        <v>70</v>
      </c>
      <c r="J32" s="33">
        <v>116</v>
      </c>
      <c r="K32" s="33">
        <v>115</v>
      </c>
      <c r="L32" s="33">
        <v>115</v>
      </c>
      <c r="M32" s="73">
        <v>153</v>
      </c>
      <c r="N32" s="73">
        <v>161</v>
      </c>
      <c r="O32" s="71">
        <v>181</v>
      </c>
      <c r="P32" s="71">
        <v>213</v>
      </c>
      <c r="Q32" s="71">
        <v>211</v>
      </c>
      <c r="R32" s="71">
        <v>214.60000000000002</v>
      </c>
      <c r="S32" s="71">
        <v>207.6</v>
      </c>
      <c r="T32" s="64">
        <v>208.74199999999999</v>
      </c>
      <c r="U32" s="64">
        <v>234</v>
      </c>
      <c r="V32" s="64">
        <v>243</v>
      </c>
      <c r="W32" s="64">
        <v>242</v>
      </c>
      <c r="X32" s="64">
        <v>241.77500000000003</v>
      </c>
      <c r="Y32" s="64">
        <v>236.28</v>
      </c>
      <c r="Z32" s="64">
        <v>215.34</v>
      </c>
      <c r="AA32" s="61">
        <v>217.26</v>
      </c>
    </row>
    <row r="33" spans="1:27" x14ac:dyDescent="0.2">
      <c r="A33" s="68" t="s">
        <v>246</v>
      </c>
      <c r="B33" s="69">
        <v>44</v>
      </c>
      <c r="C33" s="71">
        <v>31</v>
      </c>
      <c r="D33" s="33">
        <v>23</v>
      </c>
      <c r="E33" s="33">
        <v>28</v>
      </c>
      <c r="F33" s="33">
        <v>21</v>
      </c>
      <c r="G33" s="33">
        <v>48</v>
      </c>
      <c r="H33" s="33">
        <v>38</v>
      </c>
      <c r="I33" s="33">
        <v>35</v>
      </c>
      <c r="J33" s="33">
        <v>23</v>
      </c>
      <c r="K33" s="33">
        <v>29</v>
      </c>
      <c r="L33" s="33">
        <v>21</v>
      </c>
      <c r="M33" s="73">
        <v>16</v>
      </c>
      <c r="N33" s="73">
        <v>29</v>
      </c>
      <c r="O33" s="71">
        <v>21</v>
      </c>
      <c r="P33" s="71">
        <v>14</v>
      </c>
      <c r="Q33" s="71">
        <v>13</v>
      </c>
      <c r="R33" s="71">
        <v>12.9</v>
      </c>
      <c r="S33" s="71">
        <v>11.4</v>
      </c>
      <c r="T33" s="64">
        <v>11.964</v>
      </c>
      <c r="U33" s="64">
        <v>7</v>
      </c>
      <c r="V33" s="64">
        <v>15</v>
      </c>
      <c r="W33" s="64">
        <v>16</v>
      </c>
      <c r="X33" s="64">
        <v>19.052999999999997</v>
      </c>
      <c r="Y33" s="64">
        <v>27.07</v>
      </c>
      <c r="Z33" s="64">
        <v>27.15</v>
      </c>
      <c r="AA33" s="61">
        <v>31.01</v>
      </c>
    </row>
    <row r="34" spans="1:27" x14ac:dyDescent="0.2">
      <c r="A34" s="63" t="s">
        <v>247</v>
      </c>
      <c r="B34" s="69">
        <v>11448</v>
      </c>
      <c r="C34" s="71">
        <v>10483</v>
      </c>
      <c r="D34" s="33">
        <v>16156</v>
      </c>
      <c r="E34" s="33">
        <v>16998</v>
      </c>
      <c r="F34" s="33">
        <v>22798</v>
      </c>
      <c r="G34" s="33">
        <v>18407</v>
      </c>
      <c r="H34" s="33">
        <v>18812</v>
      </c>
      <c r="I34" s="33">
        <v>14422</v>
      </c>
      <c r="J34" s="73">
        <f>SUM(J30:J33)</f>
        <v>17934</v>
      </c>
      <c r="K34" s="73">
        <v>14534</v>
      </c>
      <c r="L34" s="73">
        <v>11249</v>
      </c>
      <c r="M34" s="73">
        <v>10592</v>
      </c>
      <c r="N34" s="73">
        <v>4789</v>
      </c>
      <c r="O34" s="71">
        <v>3241</v>
      </c>
      <c r="P34" s="71">
        <v>3244</v>
      </c>
      <c r="Q34" s="71">
        <v>2344</v>
      </c>
      <c r="R34" s="71">
        <v>1728.7</v>
      </c>
      <c r="S34" s="71">
        <v>1053.9000000000001</v>
      </c>
      <c r="T34" s="64">
        <v>1150.9000000000001</v>
      </c>
      <c r="U34" s="64">
        <v>3945</v>
      </c>
      <c r="V34" s="64">
        <v>4615</v>
      </c>
      <c r="W34" s="64">
        <v>4852</v>
      </c>
      <c r="X34" s="64">
        <v>3469.951999999998</v>
      </c>
      <c r="Y34" s="64">
        <v>3050</v>
      </c>
      <c r="Z34" s="64">
        <v>2669.6</v>
      </c>
      <c r="AA34" s="61">
        <v>2778.1</v>
      </c>
    </row>
    <row r="35" spans="1:27" ht="38.25" customHeight="1" x14ac:dyDescent="0.2">
      <c r="A35" s="63" t="s">
        <v>248</v>
      </c>
      <c r="B35" s="69">
        <v>38139</v>
      </c>
      <c r="C35" s="71">
        <v>32035</v>
      </c>
      <c r="D35" s="33">
        <v>31055</v>
      </c>
      <c r="E35" s="33">
        <v>37643</v>
      </c>
      <c r="F35" s="33">
        <v>38204</v>
      </c>
      <c r="G35" s="33">
        <v>31166</v>
      </c>
      <c r="H35" s="33">
        <v>29376</v>
      </c>
      <c r="I35" s="33">
        <v>26360</v>
      </c>
      <c r="J35" s="73">
        <v>23939</v>
      </c>
      <c r="K35" s="73">
        <v>20494</v>
      </c>
      <c r="L35" s="73">
        <v>19417</v>
      </c>
      <c r="M35" s="73">
        <v>16537</v>
      </c>
      <c r="N35" s="73">
        <v>14507</v>
      </c>
      <c r="O35" s="71">
        <v>11217</v>
      </c>
      <c r="P35" s="71">
        <v>11202</v>
      </c>
      <c r="Q35" s="71">
        <v>10134</v>
      </c>
      <c r="R35" s="71">
        <v>11338.9</v>
      </c>
      <c r="S35" s="71">
        <v>6356.5</v>
      </c>
      <c r="T35" s="64">
        <v>7180.4049999999997</v>
      </c>
      <c r="U35" s="64">
        <v>6114</v>
      </c>
      <c r="V35" s="64">
        <v>6179</v>
      </c>
      <c r="W35" s="64">
        <v>5175</v>
      </c>
      <c r="X35" s="64">
        <v>5326.2819999999983</v>
      </c>
      <c r="Y35" s="64">
        <v>7367.9</v>
      </c>
      <c r="Z35" s="64">
        <v>6825.6</v>
      </c>
      <c r="AA35" s="61">
        <v>6190.7</v>
      </c>
    </row>
    <row r="36" spans="1:27" x14ac:dyDescent="0.2">
      <c r="A36" s="63" t="s">
        <v>249</v>
      </c>
      <c r="B36" s="69">
        <v>20</v>
      </c>
      <c r="C36" s="71">
        <v>44</v>
      </c>
      <c r="D36" s="33">
        <v>53</v>
      </c>
      <c r="E36" s="33">
        <v>36</v>
      </c>
      <c r="F36" s="240">
        <v>0</v>
      </c>
      <c r="G36" s="240">
        <v>0</v>
      </c>
      <c r="H36" s="240">
        <v>0</v>
      </c>
      <c r="I36" s="240">
        <v>0</v>
      </c>
      <c r="J36" s="240">
        <v>0</v>
      </c>
      <c r="K36" s="240">
        <v>0</v>
      </c>
      <c r="L36" s="240">
        <v>0</v>
      </c>
      <c r="M36" s="240">
        <v>0</v>
      </c>
      <c r="N36" s="240">
        <v>0</v>
      </c>
      <c r="O36" s="240">
        <v>0</v>
      </c>
      <c r="P36" s="35">
        <v>69</v>
      </c>
      <c r="Q36" s="35">
        <v>12</v>
      </c>
      <c r="R36" s="71">
        <v>57.2</v>
      </c>
      <c r="S36" s="71">
        <v>12.9</v>
      </c>
      <c r="T36" s="240">
        <v>0</v>
      </c>
      <c r="U36" s="37">
        <v>5</v>
      </c>
      <c r="V36" s="37">
        <v>4</v>
      </c>
      <c r="W36" s="37">
        <v>3</v>
      </c>
      <c r="X36" s="37">
        <v>2.649</v>
      </c>
      <c r="Y36" s="37">
        <v>3.22</v>
      </c>
      <c r="Z36" s="37">
        <v>3.47</v>
      </c>
      <c r="AA36" s="61">
        <v>3.62</v>
      </c>
    </row>
    <row r="37" spans="1:27" x14ac:dyDescent="0.2">
      <c r="A37" s="63" t="s">
        <v>250</v>
      </c>
      <c r="B37" s="240">
        <v>0</v>
      </c>
      <c r="C37" s="240">
        <v>0</v>
      </c>
      <c r="D37" s="240">
        <v>0</v>
      </c>
      <c r="E37" s="240">
        <v>0</v>
      </c>
      <c r="F37" s="240">
        <v>0</v>
      </c>
      <c r="G37" s="240">
        <v>0</v>
      </c>
      <c r="H37" s="240">
        <v>0</v>
      </c>
      <c r="I37" s="240">
        <v>0</v>
      </c>
      <c r="J37" s="240">
        <v>0</v>
      </c>
      <c r="K37" s="240">
        <v>0</v>
      </c>
      <c r="L37" s="240">
        <v>0</v>
      </c>
      <c r="M37" s="240">
        <v>0</v>
      </c>
      <c r="N37" s="240">
        <v>0</v>
      </c>
      <c r="O37" s="240">
        <v>0</v>
      </c>
      <c r="P37" s="240">
        <v>0</v>
      </c>
      <c r="Q37" s="240">
        <v>0</v>
      </c>
      <c r="R37" s="240">
        <v>0</v>
      </c>
      <c r="S37" s="240">
        <v>0</v>
      </c>
      <c r="T37" s="240">
        <v>0</v>
      </c>
      <c r="U37" s="240">
        <v>0</v>
      </c>
      <c r="V37" s="240">
        <v>0</v>
      </c>
      <c r="W37" s="240">
        <v>0</v>
      </c>
      <c r="X37" s="240">
        <v>0</v>
      </c>
      <c r="Y37" s="240">
        <v>0</v>
      </c>
      <c r="Z37" s="240">
        <v>0</v>
      </c>
      <c r="AA37" s="240">
        <v>0</v>
      </c>
    </row>
    <row r="38" spans="1:27" x14ac:dyDescent="0.2">
      <c r="A38" s="68" t="s">
        <v>251</v>
      </c>
      <c r="B38" s="69">
        <v>2</v>
      </c>
      <c r="C38" s="70">
        <v>2</v>
      </c>
      <c r="D38" s="38">
        <v>1</v>
      </c>
      <c r="E38" s="38">
        <v>1</v>
      </c>
      <c r="F38" s="240">
        <v>0</v>
      </c>
      <c r="G38" s="240">
        <v>0</v>
      </c>
      <c r="H38" s="240">
        <v>0</v>
      </c>
      <c r="I38" s="240">
        <v>0</v>
      </c>
      <c r="J38" s="240">
        <v>0</v>
      </c>
      <c r="K38" s="35">
        <v>47</v>
      </c>
      <c r="L38" s="35">
        <v>30</v>
      </c>
      <c r="M38" s="73">
        <v>36</v>
      </c>
      <c r="N38" s="73">
        <v>32</v>
      </c>
      <c r="O38" s="240">
        <v>0</v>
      </c>
      <c r="P38" s="240">
        <v>0</v>
      </c>
      <c r="Q38" s="35">
        <v>7</v>
      </c>
      <c r="R38" s="71">
        <v>2.1</v>
      </c>
      <c r="S38" s="71">
        <v>23.9</v>
      </c>
      <c r="T38" s="64">
        <v>4.5579999999999998</v>
      </c>
      <c r="U38" s="240">
        <v>0</v>
      </c>
      <c r="V38" s="240">
        <v>0</v>
      </c>
      <c r="W38" s="240">
        <v>0</v>
      </c>
      <c r="X38" s="240">
        <v>0</v>
      </c>
      <c r="Y38" s="76">
        <v>0.09</v>
      </c>
      <c r="Z38" s="76">
        <v>0.15</v>
      </c>
      <c r="AA38" s="252">
        <v>0.09</v>
      </c>
    </row>
    <row r="39" spans="1:27" x14ac:dyDescent="0.2">
      <c r="A39" s="63" t="s">
        <v>252</v>
      </c>
      <c r="B39" s="69">
        <v>38162</v>
      </c>
      <c r="C39" s="71">
        <v>32082</v>
      </c>
      <c r="D39" s="33">
        <v>31109</v>
      </c>
      <c r="E39" s="33">
        <v>37680</v>
      </c>
      <c r="F39" s="33">
        <v>38204</v>
      </c>
      <c r="G39" s="33">
        <v>31166</v>
      </c>
      <c r="H39" s="33">
        <v>29376</v>
      </c>
      <c r="I39" s="33">
        <v>26360</v>
      </c>
      <c r="J39" s="73">
        <v>23939</v>
      </c>
      <c r="K39" s="73">
        <v>20541</v>
      </c>
      <c r="L39" s="73">
        <v>19447</v>
      </c>
      <c r="M39" s="73">
        <v>16573</v>
      </c>
      <c r="N39" s="73">
        <v>14539</v>
      </c>
      <c r="O39" s="71">
        <v>11217</v>
      </c>
      <c r="P39" s="71">
        <v>11270</v>
      </c>
      <c r="Q39" s="71">
        <v>10153</v>
      </c>
      <c r="R39" s="71">
        <v>11398.2</v>
      </c>
      <c r="S39" s="71">
        <v>6393.6</v>
      </c>
      <c r="T39" s="64">
        <v>7184.9629999999997</v>
      </c>
      <c r="U39" s="64">
        <v>6120</v>
      </c>
      <c r="V39" s="64">
        <v>6183</v>
      </c>
      <c r="W39" s="64">
        <v>5179</v>
      </c>
      <c r="X39" s="64">
        <v>5328.9309999999987</v>
      </c>
      <c r="Y39" s="64">
        <v>7371.2</v>
      </c>
      <c r="Z39" s="64">
        <v>6829.2</v>
      </c>
      <c r="AA39" s="61">
        <v>6194.4</v>
      </c>
    </row>
    <row r="40" spans="1:27" ht="32.25" customHeight="1" x14ac:dyDescent="0.2">
      <c r="A40" s="63" t="s">
        <v>289</v>
      </c>
      <c r="B40" s="69">
        <v>4136</v>
      </c>
      <c r="C40" s="71">
        <v>3773</v>
      </c>
      <c r="D40" s="33">
        <v>4210</v>
      </c>
      <c r="E40" s="33">
        <v>2074</v>
      </c>
      <c r="F40" s="33">
        <v>2116</v>
      </c>
      <c r="G40" s="33">
        <v>1920</v>
      </c>
      <c r="H40" s="33">
        <v>2424</v>
      </c>
      <c r="I40" s="33">
        <v>3321</v>
      </c>
      <c r="J40" s="73">
        <v>2974</v>
      </c>
      <c r="K40" s="73">
        <v>3156</v>
      </c>
      <c r="L40" s="73">
        <v>3026</v>
      </c>
      <c r="M40" s="73">
        <v>3336</v>
      </c>
      <c r="N40" s="73">
        <v>2100</v>
      </c>
      <c r="O40" s="71">
        <v>2727</v>
      </c>
      <c r="P40" s="71">
        <v>3460</v>
      </c>
      <c r="Q40" s="71">
        <v>3821</v>
      </c>
      <c r="R40" s="71">
        <v>2407.8000000000002</v>
      </c>
      <c r="S40" s="71">
        <v>3177.7</v>
      </c>
      <c r="T40" s="64">
        <v>1337.11</v>
      </c>
      <c r="U40" s="64">
        <v>89</v>
      </c>
      <c r="V40" s="67">
        <v>213</v>
      </c>
      <c r="W40" s="67">
        <v>71</v>
      </c>
      <c r="X40" s="77">
        <v>34.555999999999997</v>
      </c>
      <c r="Y40" s="77">
        <v>19.77</v>
      </c>
      <c r="Z40" s="77">
        <v>26.39</v>
      </c>
      <c r="AA40" s="61">
        <v>29.69</v>
      </c>
    </row>
    <row r="41" spans="1:27" x14ac:dyDescent="0.2">
      <c r="A41" s="63" t="s">
        <v>290</v>
      </c>
      <c r="B41" s="69">
        <v>66</v>
      </c>
      <c r="C41" s="71">
        <v>94</v>
      </c>
      <c r="D41" s="33">
        <v>122</v>
      </c>
      <c r="E41" s="33">
        <v>133</v>
      </c>
      <c r="F41" s="33">
        <v>119</v>
      </c>
      <c r="G41" s="33">
        <v>115</v>
      </c>
      <c r="H41" s="33">
        <v>168</v>
      </c>
      <c r="I41" s="33">
        <v>110</v>
      </c>
      <c r="J41" s="33">
        <v>116</v>
      </c>
      <c r="K41" s="33">
        <v>86</v>
      </c>
      <c r="L41" s="33">
        <v>79</v>
      </c>
      <c r="M41" s="33">
        <v>70</v>
      </c>
      <c r="N41" s="33">
        <v>70</v>
      </c>
      <c r="O41" s="33">
        <v>73</v>
      </c>
      <c r="P41" s="33">
        <v>125</v>
      </c>
      <c r="Q41" s="33">
        <v>159</v>
      </c>
      <c r="R41" s="33">
        <v>143.5</v>
      </c>
      <c r="S41" s="33">
        <v>115.1</v>
      </c>
      <c r="T41" s="64">
        <v>174.24799999999999</v>
      </c>
      <c r="U41" s="64">
        <v>109</v>
      </c>
      <c r="V41" s="67">
        <v>108</v>
      </c>
      <c r="W41" s="67">
        <v>131</v>
      </c>
      <c r="X41" s="77">
        <v>105.40400000000002</v>
      </c>
      <c r="Y41" s="78">
        <v>745.08</v>
      </c>
      <c r="Z41" s="78">
        <v>125.85</v>
      </c>
      <c r="AA41" s="61">
        <v>62.59</v>
      </c>
    </row>
    <row r="42" spans="1:27" x14ac:dyDescent="0.2">
      <c r="A42" s="63" t="s">
        <v>291</v>
      </c>
      <c r="B42" s="69">
        <v>38</v>
      </c>
      <c r="C42" s="71">
        <v>40</v>
      </c>
      <c r="D42" s="33">
        <v>44</v>
      </c>
      <c r="E42" s="33">
        <v>46</v>
      </c>
      <c r="F42" s="33">
        <v>33</v>
      </c>
      <c r="G42" s="33">
        <v>14</v>
      </c>
      <c r="H42" s="240">
        <v>0</v>
      </c>
      <c r="I42" s="240">
        <v>0</v>
      </c>
      <c r="J42" s="240">
        <v>0</v>
      </c>
      <c r="K42" s="240">
        <v>0</v>
      </c>
      <c r="L42" s="240">
        <v>0</v>
      </c>
      <c r="M42" s="240">
        <v>0</v>
      </c>
      <c r="N42" s="240">
        <v>0</v>
      </c>
      <c r="O42" s="240">
        <v>0</v>
      </c>
      <c r="P42" s="240">
        <v>0</v>
      </c>
      <c r="Q42" s="240">
        <v>0</v>
      </c>
      <c r="R42" s="240">
        <v>0</v>
      </c>
      <c r="S42" s="240">
        <v>0</v>
      </c>
      <c r="T42" s="240">
        <v>0</v>
      </c>
      <c r="U42" s="240">
        <v>0</v>
      </c>
      <c r="V42" s="240">
        <v>0</v>
      </c>
      <c r="W42" s="240">
        <v>0</v>
      </c>
      <c r="X42" s="240">
        <v>0</v>
      </c>
      <c r="Y42" s="240">
        <v>0</v>
      </c>
      <c r="Z42" s="240">
        <v>0</v>
      </c>
      <c r="AA42" s="240">
        <v>0</v>
      </c>
    </row>
    <row r="43" spans="1:27" x14ac:dyDescent="0.2">
      <c r="A43" s="68" t="s">
        <v>292</v>
      </c>
      <c r="B43" s="69">
        <v>89</v>
      </c>
      <c r="C43" s="71">
        <v>63</v>
      </c>
      <c r="D43" s="33">
        <v>79</v>
      </c>
      <c r="E43" s="33">
        <v>83</v>
      </c>
      <c r="F43" s="33">
        <v>61</v>
      </c>
      <c r="G43" s="33">
        <v>96</v>
      </c>
      <c r="H43" s="33">
        <v>67</v>
      </c>
      <c r="I43" s="33">
        <v>70</v>
      </c>
      <c r="J43" s="33">
        <v>118</v>
      </c>
      <c r="K43" s="33">
        <v>84</v>
      </c>
      <c r="L43" s="33">
        <v>101</v>
      </c>
      <c r="M43" s="33">
        <v>97</v>
      </c>
      <c r="N43" s="33">
        <v>81</v>
      </c>
      <c r="O43" s="33">
        <v>64</v>
      </c>
      <c r="P43" s="33">
        <v>78</v>
      </c>
      <c r="Q43" s="33">
        <v>41</v>
      </c>
      <c r="R43" s="33">
        <v>76.2</v>
      </c>
      <c r="S43" s="33">
        <v>85.3</v>
      </c>
      <c r="T43" s="64">
        <v>79.632000000000005</v>
      </c>
      <c r="U43" s="64">
        <v>64</v>
      </c>
      <c r="V43" s="67">
        <v>74</v>
      </c>
      <c r="W43" s="67">
        <v>24</v>
      </c>
      <c r="X43" s="77">
        <v>134.72899999999998</v>
      </c>
      <c r="Y43" s="77">
        <v>164.21</v>
      </c>
      <c r="Z43" s="77">
        <v>269.16000000000003</v>
      </c>
      <c r="AA43" s="61">
        <v>331.64</v>
      </c>
    </row>
    <row r="44" spans="1:27" x14ac:dyDescent="0.2">
      <c r="A44" s="63" t="s">
        <v>293</v>
      </c>
      <c r="B44" s="69">
        <v>4328</v>
      </c>
      <c r="C44" s="71">
        <v>3971</v>
      </c>
      <c r="D44" s="33">
        <v>4456</v>
      </c>
      <c r="E44" s="33">
        <v>2336</v>
      </c>
      <c r="F44" s="33">
        <v>2329</v>
      </c>
      <c r="G44" s="33">
        <v>2145</v>
      </c>
      <c r="H44" s="33">
        <v>2658</v>
      </c>
      <c r="I44" s="33">
        <v>3501</v>
      </c>
      <c r="J44" s="73">
        <v>3208</v>
      </c>
      <c r="K44" s="73">
        <v>3325</v>
      </c>
      <c r="L44" s="73">
        <v>3206</v>
      </c>
      <c r="M44" s="73">
        <v>3502</v>
      </c>
      <c r="N44" s="73">
        <v>2252</v>
      </c>
      <c r="O44" s="71">
        <v>2864</v>
      </c>
      <c r="P44" s="71">
        <v>3663</v>
      </c>
      <c r="Q44" s="71">
        <v>4020</v>
      </c>
      <c r="R44" s="71">
        <v>2627.5</v>
      </c>
      <c r="S44" s="71">
        <v>3378.2</v>
      </c>
      <c r="T44" s="64">
        <v>1590.99</v>
      </c>
      <c r="U44" s="64">
        <v>262</v>
      </c>
      <c r="V44" s="67">
        <v>395</v>
      </c>
      <c r="W44" s="67">
        <v>227</v>
      </c>
      <c r="X44" s="77">
        <v>274.68899999999996</v>
      </c>
      <c r="Y44" s="77">
        <v>929.06</v>
      </c>
      <c r="Z44" s="77">
        <v>421.4</v>
      </c>
      <c r="AA44" s="61">
        <v>423.92</v>
      </c>
    </row>
    <row r="45" spans="1:27" ht="27" customHeight="1" x14ac:dyDescent="0.2">
      <c r="A45" s="63" t="s">
        <v>279</v>
      </c>
      <c r="B45" s="13" t="s">
        <v>427</v>
      </c>
      <c r="C45" s="13" t="s">
        <v>427</v>
      </c>
      <c r="D45" s="13" t="s">
        <v>427</v>
      </c>
      <c r="E45" s="71">
        <v>444</v>
      </c>
      <c r="F45" s="33">
        <v>568</v>
      </c>
      <c r="G45" s="33">
        <v>723</v>
      </c>
      <c r="H45" s="33">
        <v>735</v>
      </c>
      <c r="I45" s="33">
        <v>522</v>
      </c>
      <c r="J45" s="33">
        <v>298</v>
      </c>
      <c r="K45" s="33">
        <v>503</v>
      </c>
      <c r="L45" s="33">
        <v>532</v>
      </c>
      <c r="M45" s="33">
        <v>377</v>
      </c>
      <c r="N45" s="33">
        <v>440</v>
      </c>
      <c r="O45" s="33">
        <v>377</v>
      </c>
      <c r="P45" s="33">
        <v>453</v>
      </c>
      <c r="Q45" s="33">
        <v>390</v>
      </c>
      <c r="R45" s="71">
        <v>386.1</v>
      </c>
      <c r="S45" s="71">
        <v>363.6</v>
      </c>
      <c r="T45" s="64">
        <v>535.64099999999996</v>
      </c>
      <c r="U45" s="64">
        <v>735</v>
      </c>
      <c r="V45" s="64">
        <v>535</v>
      </c>
      <c r="W45" s="64">
        <v>560</v>
      </c>
      <c r="X45" s="64">
        <v>605.82699999999988</v>
      </c>
      <c r="Y45" s="64">
        <v>590.24</v>
      </c>
      <c r="Z45" s="64">
        <v>516.22</v>
      </c>
      <c r="AA45" s="61">
        <v>521.99</v>
      </c>
    </row>
    <row r="46" spans="1:27" x14ac:dyDescent="0.2">
      <c r="A46" s="63" t="s">
        <v>280</v>
      </c>
      <c r="B46" s="13" t="s">
        <v>427</v>
      </c>
      <c r="C46" s="13" t="s">
        <v>427</v>
      </c>
      <c r="D46" s="13" t="s">
        <v>427</v>
      </c>
      <c r="E46" s="71">
        <v>122</v>
      </c>
      <c r="F46" s="33">
        <v>151</v>
      </c>
      <c r="G46" s="33">
        <v>164</v>
      </c>
      <c r="H46" s="33">
        <v>179</v>
      </c>
      <c r="I46" s="33">
        <v>196</v>
      </c>
      <c r="J46" s="33">
        <v>145</v>
      </c>
      <c r="K46" s="33">
        <v>140</v>
      </c>
      <c r="L46" s="33">
        <v>102</v>
      </c>
      <c r="M46" s="33">
        <v>73</v>
      </c>
      <c r="N46" s="33">
        <v>101</v>
      </c>
      <c r="O46" s="33">
        <v>88</v>
      </c>
      <c r="P46" s="33">
        <v>144</v>
      </c>
      <c r="Q46" s="33">
        <v>158</v>
      </c>
      <c r="R46" s="33">
        <v>99.5</v>
      </c>
      <c r="S46" s="33">
        <v>53.1</v>
      </c>
      <c r="T46" s="64">
        <v>155.43199999999999</v>
      </c>
      <c r="U46" s="64">
        <v>97</v>
      </c>
      <c r="V46" s="64">
        <v>64</v>
      </c>
      <c r="W46" s="64">
        <v>32</v>
      </c>
      <c r="X46" s="64">
        <v>42.581000000000003</v>
      </c>
      <c r="Y46" s="64">
        <v>58.61</v>
      </c>
      <c r="Z46" s="64">
        <v>85.45</v>
      </c>
      <c r="AA46" s="61">
        <v>41.52</v>
      </c>
    </row>
    <row r="47" spans="1:27" x14ac:dyDescent="0.2">
      <c r="A47" s="63" t="s">
        <v>281</v>
      </c>
      <c r="B47" s="13" t="s">
        <v>427</v>
      </c>
      <c r="C47" s="13" t="s">
        <v>427</v>
      </c>
      <c r="D47" s="13" t="s">
        <v>427</v>
      </c>
      <c r="E47" s="240">
        <v>0</v>
      </c>
      <c r="F47" s="240">
        <v>0</v>
      </c>
      <c r="G47" s="240">
        <v>0</v>
      </c>
      <c r="H47" s="240">
        <v>0</v>
      </c>
      <c r="I47" s="240">
        <v>0</v>
      </c>
      <c r="J47" s="240">
        <v>0</v>
      </c>
      <c r="K47" s="240">
        <v>0</v>
      </c>
      <c r="L47" s="240">
        <v>0</v>
      </c>
      <c r="M47" s="240">
        <v>0</v>
      </c>
      <c r="N47" s="240">
        <v>0</v>
      </c>
      <c r="O47" s="240">
        <v>0</v>
      </c>
      <c r="P47" s="240">
        <v>0</v>
      </c>
      <c r="Q47" s="240">
        <v>0</v>
      </c>
      <c r="R47" s="240">
        <v>0</v>
      </c>
      <c r="S47" s="240">
        <v>0</v>
      </c>
      <c r="T47" s="240">
        <v>0</v>
      </c>
      <c r="U47" s="240">
        <v>0</v>
      </c>
      <c r="V47" s="240">
        <v>0</v>
      </c>
      <c r="W47" s="240">
        <v>0</v>
      </c>
      <c r="X47" s="240">
        <v>0</v>
      </c>
      <c r="Y47" s="240">
        <v>0</v>
      </c>
      <c r="Z47" s="240">
        <v>0</v>
      </c>
      <c r="AA47" s="240">
        <v>0</v>
      </c>
    </row>
    <row r="48" spans="1:27" x14ac:dyDescent="0.2">
      <c r="A48" s="68" t="s">
        <v>282</v>
      </c>
      <c r="B48" s="13" t="s">
        <v>427</v>
      </c>
      <c r="C48" s="13" t="s">
        <v>427</v>
      </c>
      <c r="D48" s="13" t="s">
        <v>427</v>
      </c>
      <c r="E48" s="38">
        <v>1644</v>
      </c>
      <c r="F48" s="38">
        <v>404</v>
      </c>
      <c r="G48" s="38">
        <v>452</v>
      </c>
      <c r="H48" s="38">
        <v>429</v>
      </c>
      <c r="I48" s="35">
        <v>333</v>
      </c>
      <c r="J48" s="35">
        <v>233</v>
      </c>
      <c r="K48" s="35">
        <v>286</v>
      </c>
      <c r="L48" s="35">
        <v>313</v>
      </c>
      <c r="M48" s="35">
        <v>340</v>
      </c>
      <c r="N48" s="35">
        <v>331</v>
      </c>
      <c r="O48" s="35">
        <v>331</v>
      </c>
      <c r="P48" s="35">
        <v>510</v>
      </c>
      <c r="Q48" s="35">
        <v>506</v>
      </c>
      <c r="R48" s="33">
        <v>538.20000000000005</v>
      </c>
      <c r="S48" s="33">
        <v>554.4</v>
      </c>
      <c r="T48" s="64">
        <v>685.75400000000002</v>
      </c>
      <c r="U48" s="64">
        <v>635</v>
      </c>
      <c r="V48" s="64">
        <v>549</v>
      </c>
      <c r="W48" s="64">
        <v>696</v>
      </c>
      <c r="X48" s="64">
        <v>482.82300000000032</v>
      </c>
      <c r="Y48" s="64">
        <v>440.99</v>
      </c>
      <c r="Z48" s="64">
        <v>374.15</v>
      </c>
      <c r="AA48" s="61">
        <v>402.48</v>
      </c>
    </row>
    <row r="49" spans="1:28" x14ac:dyDescent="0.2">
      <c r="A49" s="63" t="s">
        <v>283</v>
      </c>
      <c r="B49" s="13" t="s">
        <v>427</v>
      </c>
      <c r="C49" s="13" t="s">
        <v>427</v>
      </c>
      <c r="D49" s="13" t="s">
        <v>427</v>
      </c>
      <c r="E49" s="71">
        <v>2209</v>
      </c>
      <c r="F49" s="33">
        <v>1123</v>
      </c>
      <c r="G49" s="33">
        <v>1339</v>
      </c>
      <c r="H49" s="33">
        <v>1343</v>
      </c>
      <c r="I49" s="33">
        <v>1050</v>
      </c>
      <c r="J49" s="33">
        <v>676</v>
      </c>
      <c r="K49" s="33">
        <v>928</v>
      </c>
      <c r="L49" s="33">
        <v>947</v>
      </c>
      <c r="M49" s="33">
        <v>790</v>
      </c>
      <c r="N49" s="33">
        <v>871</v>
      </c>
      <c r="O49" s="33">
        <v>797</v>
      </c>
      <c r="P49" s="33">
        <v>1107</v>
      </c>
      <c r="Q49" s="33">
        <v>1054</v>
      </c>
      <c r="R49" s="71">
        <v>1023.7</v>
      </c>
      <c r="S49" s="71">
        <v>971.1</v>
      </c>
      <c r="T49" s="64">
        <v>1376.827</v>
      </c>
      <c r="U49" s="64">
        <v>1468</v>
      </c>
      <c r="V49" s="64">
        <v>1148</v>
      </c>
      <c r="W49" s="64">
        <v>1288</v>
      </c>
      <c r="X49" s="64">
        <v>1131.2310000000002</v>
      </c>
      <c r="Y49" s="64">
        <v>1089.8</v>
      </c>
      <c r="Z49" s="64">
        <v>975.82</v>
      </c>
      <c r="AA49" s="61">
        <v>965.98</v>
      </c>
    </row>
    <row r="50" spans="1:28" ht="36.75" customHeight="1" x14ac:dyDescent="0.2">
      <c r="A50" s="63" t="s">
        <v>253</v>
      </c>
      <c r="B50" s="69">
        <v>932</v>
      </c>
      <c r="C50" s="71">
        <v>888</v>
      </c>
      <c r="D50" s="33">
        <v>870</v>
      </c>
      <c r="E50" s="33">
        <v>988</v>
      </c>
      <c r="F50" s="33">
        <v>1572</v>
      </c>
      <c r="G50" s="33">
        <v>1801</v>
      </c>
      <c r="H50" s="33">
        <v>1720</v>
      </c>
      <c r="I50" s="33">
        <v>1615</v>
      </c>
      <c r="J50" s="73">
        <v>1962</v>
      </c>
      <c r="K50" s="73">
        <v>2073</v>
      </c>
      <c r="L50" s="73">
        <v>2209</v>
      </c>
      <c r="M50" s="73">
        <v>2214</v>
      </c>
      <c r="N50" s="73">
        <v>2184</v>
      </c>
      <c r="O50" s="71">
        <v>2065</v>
      </c>
      <c r="P50" s="71">
        <v>1957</v>
      </c>
      <c r="Q50" s="71">
        <v>1922</v>
      </c>
      <c r="R50" s="71">
        <v>2059.3000000000002</v>
      </c>
      <c r="S50" s="71">
        <v>1986.8</v>
      </c>
      <c r="T50" s="64">
        <v>1985.903</v>
      </c>
      <c r="U50" s="64">
        <v>2298</v>
      </c>
      <c r="V50" s="64">
        <v>2188</v>
      </c>
      <c r="W50" s="64">
        <v>2131</v>
      </c>
      <c r="X50" s="64">
        <v>2095.4630000000006</v>
      </c>
      <c r="Y50" s="64">
        <v>2203.9</v>
      </c>
      <c r="Z50" s="64">
        <v>1751.7</v>
      </c>
      <c r="AA50" s="61">
        <v>1706</v>
      </c>
    </row>
    <row r="51" spans="1:28" x14ac:dyDescent="0.2">
      <c r="A51" s="63" t="s">
        <v>254</v>
      </c>
      <c r="B51" s="69">
        <v>359</v>
      </c>
      <c r="C51" s="71">
        <v>350</v>
      </c>
      <c r="D51" s="33">
        <v>402</v>
      </c>
      <c r="E51" s="33">
        <v>346</v>
      </c>
      <c r="F51" s="33">
        <v>322</v>
      </c>
      <c r="G51" s="33">
        <v>380</v>
      </c>
      <c r="H51" s="33">
        <v>295</v>
      </c>
      <c r="I51" s="33">
        <v>269</v>
      </c>
      <c r="J51" s="33">
        <v>330</v>
      </c>
      <c r="K51" s="33">
        <v>394</v>
      </c>
      <c r="L51" s="33">
        <v>373</v>
      </c>
      <c r="M51" s="33">
        <v>371</v>
      </c>
      <c r="N51" s="33">
        <v>308</v>
      </c>
      <c r="O51" s="33">
        <v>331</v>
      </c>
      <c r="P51" s="33">
        <v>549</v>
      </c>
      <c r="Q51" s="33">
        <v>606</v>
      </c>
      <c r="R51" s="33">
        <v>439.1</v>
      </c>
      <c r="S51" s="33">
        <v>474.3</v>
      </c>
      <c r="T51" s="64">
        <v>487.08100000000002</v>
      </c>
      <c r="U51" s="64">
        <v>455</v>
      </c>
      <c r="V51" s="64">
        <v>367</v>
      </c>
      <c r="W51" s="64">
        <v>405</v>
      </c>
      <c r="X51" s="64">
        <v>518.51600000000064</v>
      </c>
      <c r="Y51" s="64">
        <v>498.32</v>
      </c>
      <c r="Z51" s="64">
        <v>343.98</v>
      </c>
      <c r="AA51" s="61">
        <v>463.25</v>
      </c>
    </row>
    <row r="52" spans="1:28" x14ac:dyDescent="0.2">
      <c r="A52" s="63" t="s">
        <v>255</v>
      </c>
      <c r="B52" s="69">
        <v>74</v>
      </c>
      <c r="C52" s="71">
        <v>77</v>
      </c>
      <c r="D52" s="33">
        <v>92</v>
      </c>
      <c r="E52" s="33">
        <v>89</v>
      </c>
      <c r="F52" s="33">
        <v>110</v>
      </c>
      <c r="G52" s="33">
        <v>239</v>
      </c>
      <c r="H52" s="33">
        <v>262</v>
      </c>
      <c r="I52" s="33">
        <v>272</v>
      </c>
      <c r="J52" s="33">
        <v>309</v>
      </c>
      <c r="K52" s="33">
        <v>354</v>
      </c>
      <c r="L52" s="33">
        <v>317</v>
      </c>
      <c r="M52" s="33">
        <v>334</v>
      </c>
      <c r="N52" s="33">
        <v>355</v>
      </c>
      <c r="O52" s="33">
        <v>345</v>
      </c>
      <c r="P52" s="33">
        <v>365</v>
      </c>
      <c r="Q52" s="33">
        <v>405</v>
      </c>
      <c r="R52" s="33">
        <v>467.79999999999995</v>
      </c>
      <c r="S52" s="33">
        <v>473.79999999999995</v>
      </c>
      <c r="T52" s="64">
        <v>429.947</v>
      </c>
      <c r="U52" s="64">
        <v>408</v>
      </c>
      <c r="V52" s="64">
        <v>409</v>
      </c>
      <c r="W52" s="64">
        <v>505</v>
      </c>
      <c r="X52" s="64">
        <v>485.84900000000027</v>
      </c>
      <c r="Y52" s="64">
        <v>415.95</v>
      </c>
      <c r="Z52" s="64">
        <v>382.85</v>
      </c>
      <c r="AA52" s="61">
        <v>480.05</v>
      </c>
    </row>
    <row r="53" spans="1:28" x14ac:dyDescent="0.2">
      <c r="A53" s="68" t="s">
        <v>256</v>
      </c>
      <c r="B53" s="69">
        <v>2628</v>
      </c>
      <c r="C53" s="69">
        <v>2698</v>
      </c>
      <c r="D53" s="69">
        <v>2423</v>
      </c>
      <c r="E53" s="69">
        <v>1945</v>
      </c>
      <c r="F53" s="33">
        <v>1373</v>
      </c>
      <c r="G53" s="33">
        <v>1426</v>
      </c>
      <c r="H53" s="33">
        <v>1368</v>
      </c>
      <c r="I53" s="33">
        <v>1077</v>
      </c>
      <c r="J53" s="73">
        <v>1287</v>
      </c>
      <c r="K53" s="73">
        <v>1790</v>
      </c>
      <c r="L53" s="73">
        <v>1765</v>
      </c>
      <c r="M53" s="73">
        <v>2213</v>
      </c>
      <c r="N53" s="73">
        <v>1986</v>
      </c>
      <c r="O53" s="71">
        <v>1829</v>
      </c>
      <c r="P53" s="71">
        <v>1293</v>
      </c>
      <c r="Q53" s="71">
        <v>1231</v>
      </c>
      <c r="R53" s="71">
        <v>1526.9</v>
      </c>
      <c r="S53" s="71">
        <v>1328.6</v>
      </c>
      <c r="T53" s="64">
        <v>1328.222</v>
      </c>
      <c r="U53" s="64">
        <v>1215</v>
      </c>
      <c r="V53" s="64">
        <v>806</v>
      </c>
      <c r="W53" s="64">
        <v>1018</v>
      </c>
      <c r="X53" s="64">
        <v>1037.8909999999998</v>
      </c>
      <c r="Y53" s="64">
        <v>1076.4000000000001</v>
      </c>
      <c r="Z53" s="64">
        <v>908.03</v>
      </c>
      <c r="AA53" s="61">
        <v>913.81</v>
      </c>
    </row>
    <row r="54" spans="1:28" x14ac:dyDescent="0.2">
      <c r="A54" s="63" t="s">
        <v>257</v>
      </c>
      <c r="B54" s="69">
        <v>3992</v>
      </c>
      <c r="C54" s="71">
        <v>4013</v>
      </c>
      <c r="D54" s="33">
        <v>3786</v>
      </c>
      <c r="E54" s="33">
        <v>3368</v>
      </c>
      <c r="F54" s="33">
        <v>3377</v>
      </c>
      <c r="G54" s="33">
        <v>3845</v>
      </c>
      <c r="H54" s="33">
        <v>3645</v>
      </c>
      <c r="I54" s="33">
        <v>3233</v>
      </c>
      <c r="J54" s="33">
        <v>3888</v>
      </c>
      <c r="K54" s="33">
        <v>4609</v>
      </c>
      <c r="L54" s="33">
        <v>4663</v>
      </c>
      <c r="M54" s="33">
        <v>5131</v>
      </c>
      <c r="N54" s="33">
        <v>4833</v>
      </c>
      <c r="O54" s="33">
        <v>4570</v>
      </c>
      <c r="P54" s="33">
        <v>4164</v>
      </c>
      <c r="Q54" s="33">
        <v>4165</v>
      </c>
      <c r="R54" s="33">
        <v>4493.1000000000004</v>
      </c>
      <c r="S54" s="33">
        <v>4263.5</v>
      </c>
      <c r="T54" s="64">
        <v>4231.1530000000002</v>
      </c>
      <c r="U54" s="64">
        <v>4376</v>
      </c>
      <c r="V54" s="64">
        <v>3770</v>
      </c>
      <c r="W54" s="64">
        <v>4058</v>
      </c>
      <c r="X54" s="64">
        <v>4137.7190000000019</v>
      </c>
      <c r="Y54" s="64">
        <v>4194.5</v>
      </c>
      <c r="Z54" s="64">
        <v>3386.5</v>
      </c>
      <c r="AA54" s="61">
        <v>3563.1</v>
      </c>
    </row>
    <row r="55" spans="1:28" ht="31.5" customHeight="1" x14ac:dyDescent="0.2">
      <c r="A55" s="63" t="s">
        <v>284</v>
      </c>
      <c r="B55" s="13" t="s">
        <v>427</v>
      </c>
      <c r="C55" s="13" t="s">
        <v>427</v>
      </c>
      <c r="D55" s="13" t="s">
        <v>427</v>
      </c>
      <c r="E55" s="13" t="s">
        <v>427</v>
      </c>
      <c r="F55" s="33">
        <v>411</v>
      </c>
      <c r="G55" s="33">
        <v>493</v>
      </c>
      <c r="H55" s="35">
        <v>512</v>
      </c>
      <c r="I55" s="35">
        <v>477</v>
      </c>
      <c r="J55" s="67">
        <v>494</v>
      </c>
      <c r="K55" s="67">
        <v>664</v>
      </c>
      <c r="L55" s="67">
        <v>594</v>
      </c>
      <c r="M55" s="67">
        <v>530</v>
      </c>
      <c r="N55" s="67">
        <v>501</v>
      </c>
      <c r="O55" s="74">
        <v>451</v>
      </c>
      <c r="P55" s="74">
        <v>493</v>
      </c>
      <c r="Q55" s="74">
        <v>571</v>
      </c>
      <c r="R55" s="78">
        <v>466.6</v>
      </c>
      <c r="S55" s="78">
        <v>378.7</v>
      </c>
      <c r="T55" s="64">
        <v>182.93299999999999</v>
      </c>
      <c r="U55" s="64">
        <v>157</v>
      </c>
      <c r="V55" s="67">
        <v>147</v>
      </c>
      <c r="W55" s="67">
        <v>145</v>
      </c>
      <c r="X55" s="77">
        <v>179.50099999999998</v>
      </c>
      <c r="Y55" s="77">
        <v>156.08000000000001</v>
      </c>
      <c r="Z55" s="77">
        <v>108.73</v>
      </c>
      <c r="AA55" s="61">
        <v>132.53</v>
      </c>
    </row>
    <row r="56" spans="1:28" x14ac:dyDescent="0.2">
      <c r="A56" s="63" t="s">
        <v>285</v>
      </c>
      <c r="B56" s="13" t="s">
        <v>427</v>
      </c>
      <c r="C56" s="13" t="s">
        <v>427</v>
      </c>
      <c r="D56" s="13" t="s">
        <v>427</v>
      </c>
      <c r="E56" s="13" t="s">
        <v>427</v>
      </c>
      <c r="F56" s="33">
        <v>294</v>
      </c>
      <c r="G56" s="33">
        <v>282</v>
      </c>
      <c r="H56" s="33">
        <v>358</v>
      </c>
      <c r="I56" s="33">
        <v>315</v>
      </c>
      <c r="J56" s="33">
        <v>352</v>
      </c>
      <c r="K56" s="33">
        <v>335</v>
      </c>
      <c r="L56" s="33">
        <v>317</v>
      </c>
      <c r="M56" s="33">
        <v>333</v>
      </c>
      <c r="N56" s="33">
        <v>373</v>
      </c>
      <c r="O56" s="33">
        <v>300</v>
      </c>
      <c r="P56" s="33">
        <v>412</v>
      </c>
      <c r="Q56" s="33">
        <v>277</v>
      </c>
      <c r="R56" s="33">
        <v>293.89999999999998</v>
      </c>
      <c r="S56" s="33">
        <v>369.3</v>
      </c>
      <c r="T56" s="64">
        <v>259.30200000000002</v>
      </c>
      <c r="U56" s="64">
        <v>310</v>
      </c>
      <c r="V56" s="67">
        <v>304</v>
      </c>
      <c r="W56" s="67">
        <v>330</v>
      </c>
      <c r="X56" s="77">
        <v>354.48100000000045</v>
      </c>
      <c r="Y56" s="77">
        <v>285.18</v>
      </c>
      <c r="Z56" s="77">
        <v>275.45</v>
      </c>
      <c r="AA56" s="61">
        <v>283.57</v>
      </c>
    </row>
    <row r="57" spans="1:28" x14ac:dyDescent="0.2">
      <c r="A57" s="63" t="s">
        <v>286</v>
      </c>
      <c r="B57" s="13" t="s">
        <v>427</v>
      </c>
      <c r="C57" s="13" t="s">
        <v>427</v>
      </c>
      <c r="D57" s="13" t="s">
        <v>427</v>
      </c>
      <c r="E57" s="13" t="s">
        <v>427</v>
      </c>
      <c r="F57" s="240">
        <v>0</v>
      </c>
      <c r="G57" s="240">
        <v>0</v>
      </c>
      <c r="H57" s="240">
        <v>0</v>
      </c>
      <c r="I57" s="240">
        <v>0</v>
      </c>
      <c r="J57" s="240">
        <v>0</v>
      </c>
      <c r="K57" s="240">
        <v>0</v>
      </c>
      <c r="L57" s="240">
        <v>0</v>
      </c>
      <c r="M57" s="240">
        <v>0</v>
      </c>
      <c r="N57" s="240">
        <v>0</v>
      </c>
      <c r="O57" s="240">
        <v>0</v>
      </c>
      <c r="P57" s="240">
        <v>0</v>
      </c>
      <c r="Q57" s="240">
        <v>0</v>
      </c>
      <c r="R57" s="240">
        <v>0</v>
      </c>
      <c r="S57" s="240">
        <v>0</v>
      </c>
      <c r="T57" s="240">
        <v>0</v>
      </c>
      <c r="U57" s="240">
        <v>0</v>
      </c>
      <c r="V57" s="240">
        <v>0</v>
      </c>
      <c r="W57" s="240">
        <v>0</v>
      </c>
      <c r="X57" s="240">
        <v>0</v>
      </c>
      <c r="Y57" s="240">
        <v>0</v>
      </c>
      <c r="Z57" s="240">
        <v>0</v>
      </c>
      <c r="AA57" s="240">
        <v>0</v>
      </c>
    </row>
    <row r="58" spans="1:28" x14ac:dyDescent="0.2">
      <c r="A58" s="68" t="s">
        <v>287</v>
      </c>
      <c r="B58" s="13" t="s">
        <v>427</v>
      </c>
      <c r="C58" s="13" t="s">
        <v>427</v>
      </c>
      <c r="D58" s="13" t="s">
        <v>427</v>
      </c>
      <c r="E58" s="13" t="s">
        <v>427</v>
      </c>
      <c r="F58" s="80">
        <v>342</v>
      </c>
      <c r="G58" s="81">
        <v>326</v>
      </c>
      <c r="H58" s="81">
        <v>233</v>
      </c>
      <c r="I58" s="81">
        <v>225</v>
      </c>
      <c r="J58" s="81">
        <v>212</v>
      </c>
      <c r="K58" s="81">
        <v>223</v>
      </c>
      <c r="L58" s="81">
        <v>291</v>
      </c>
      <c r="M58" s="81">
        <v>172</v>
      </c>
      <c r="N58" s="81">
        <v>104</v>
      </c>
      <c r="O58" s="81">
        <v>59</v>
      </c>
      <c r="P58" s="81">
        <v>57</v>
      </c>
      <c r="Q58" s="81">
        <v>81</v>
      </c>
      <c r="R58" s="82">
        <v>81.5</v>
      </c>
      <c r="S58" s="82">
        <v>67.3</v>
      </c>
      <c r="T58" s="64">
        <v>74.97</v>
      </c>
      <c r="U58" s="64">
        <v>48</v>
      </c>
      <c r="V58" s="67">
        <v>82</v>
      </c>
      <c r="W58" s="67">
        <v>92</v>
      </c>
      <c r="X58" s="77">
        <v>73.572000000000003</v>
      </c>
      <c r="Y58" s="77">
        <v>62.19</v>
      </c>
      <c r="Z58" s="77">
        <v>46.31</v>
      </c>
      <c r="AA58" s="61">
        <v>35.44</v>
      </c>
    </row>
    <row r="59" spans="1:28" x14ac:dyDescent="0.2">
      <c r="A59" s="67" t="s">
        <v>288</v>
      </c>
      <c r="B59" s="13" t="s">
        <v>427</v>
      </c>
      <c r="C59" s="13" t="s">
        <v>427</v>
      </c>
      <c r="D59" s="13" t="s">
        <v>427</v>
      </c>
      <c r="E59" s="13" t="s">
        <v>427</v>
      </c>
      <c r="F59" s="33">
        <v>1047</v>
      </c>
      <c r="G59" s="33">
        <v>1101</v>
      </c>
      <c r="H59" s="33">
        <v>1103</v>
      </c>
      <c r="I59" s="33">
        <v>1016</v>
      </c>
      <c r="J59" s="73">
        <v>1058</v>
      </c>
      <c r="K59" s="73">
        <v>1222</v>
      </c>
      <c r="L59" s="73">
        <v>1202</v>
      </c>
      <c r="M59" s="73">
        <v>1035</v>
      </c>
      <c r="N59" s="73">
        <v>978</v>
      </c>
      <c r="O59" s="71">
        <v>810</v>
      </c>
      <c r="P59" s="71">
        <v>962</v>
      </c>
      <c r="Q59" s="71">
        <v>929</v>
      </c>
      <c r="R59" s="71">
        <v>842</v>
      </c>
      <c r="S59" s="71">
        <v>815.4</v>
      </c>
      <c r="T59" s="64">
        <v>517.20500000000004</v>
      </c>
      <c r="U59" s="64">
        <v>515</v>
      </c>
      <c r="V59" s="67">
        <v>534</v>
      </c>
      <c r="W59" s="67">
        <v>566</v>
      </c>
      <c r="X59" s="77">
        <v>607.55400000000043</v>
      </c>
      <c r="Y59" s="77">
        <v>503.45</v>
      </c>
      <c r="Z59" s="77">
        <v>430.49</v>
      </c>
      <c r="AA59" s="61">
        <v>451.54</v>
      </c>
    </row>
    <row r="60" spans="1:28" ht="29.25" customHeight="1" x14ac:dyDescent="0.2">
      <c r="A60" s="63" t="s">
        <v>263</v>
      </c>
      <c r="B60" s="69">
        <v>42705</v>
      </c>
      <c r="C60" s="71">
        <v>39915</v>
      </c>
      <c r="D60" s="33">
        <v>40351</v>
      </c>
      <c r="E60" s="33">
        <v>42583</v>
      </c>
      <c r="F60" s="33">
        <v>38790</v>
      </c>
      <c r="G60" s="33">
        <v>38444</v>
      </c>
      <c r="H60" s="33">
        <v>38240</v>
      </c>
      <c r="I60" s="33">
        <v>34297</v>
      </c>
      <c r="J60" s="73">
        <v>30756</v>
      </c>
      <c r="K60" s="73">
        <v>29090</v>
      </c>
      <c r="L60" s="73">
        <v>26220</v>
      </c>
      <c r="M60" s="73">
        <v>31578</v>
      </c>
      <c r="N60" s="73">
        <v>33941</v>
      </c>
      <c r="O60" s="71">
        <v>31913</v>
      </c>
      <c r="P60" s="71">
        <v>29432</v>
      </c>
      <c r="Q60" s="71">
        <v>23353</v>
      </c>
      <c r="R60" s="71">
        <v>20738.7</v>
      </c>
      <c r="S60" s="71">
        <v>22109</v>
      </c>
      <c r="T60" s="64">
        <v>20362.567999999999</v>
      </c>
      <c r="U60" s="64">
        <v>23183</v>
      </c>
      <c r="V60" s="64">
        <v>23323</v>
      </c>
      <c r="W60" s="64">
        <v>23556</v>
      </c>
      <c r="X60" s="64">
        <v>22778.308999999994</v>
      </c>
      <c r="Y60" s="64">
        <v>21194</v>
      </c>
      <c r="Z60" s="64">
        <v>19065</v>
      </c>
      <c r="AA60" s="61">
        <v>15917</v>
      </c>
    </row>
    <row r="61" spans="1:28" x14ac:dyDescent="0.2">
      <c r="A61" s="63" t="s">
        <v>264</v>
      </c>
      <c r="B61" s="69">
        <v>1222</v>
      </c>
      <c r="C61" s="71">
        <v>1221</v>
      </c>
      <c r="D61" s="33">
        <v>1473</v>
      </c>
      <c r="E61" s="33">
        <v>1270</v>
      </c>
      <c r="F61" s="33">
        <v>1137</v>
      </c>
      <c r="G61" s="33">
        <v>1221</v>
      </c>
      <c r="H61" s="33">
        <v>1182</v>
      </c>
      <c r="I61" s="33">
        <v>1418</v>
      </c>
      <c r="J61" s="33">
        <v>980</v>
      </c>
      <c r="K61" s="33">
        <v>1596</v>
      </c>
      <c r="L61" s="33">
        <v>2264</v>
      </c>
      <c r="M61" s="33">
        <v>2051</v>
      </c>
      <c r="N61" s="33">
        <v>1994</v>
      </c>
      <c r="O61" s="33">
        <v>1840</v>
      </c>
      <c r="P61" s="33">
        <v>1904</v>
      </c>
      <c r="Q61" s="33">
        <v>1392</v>
      </c>
      <c r="R61" s="33">
        <v>1283.3</v>
      </c>
      <c r="S61" s="33">
        <v>1125.4000000000001</v>
      </c>
      <c r="T61" s="64">
        <v>1056.461</v>
      </c>
      <c r="U61" s="64">
        <v>958</v>
      </c>
      <c r="V61" s="64">
        <v>963</v>
      </c>
      <c r="W61" s="64">
        <v>979</v>
      </c>
      <c r="X61" s="64">
        <v>1138.4960000000001</v>
      </c>
      <c r="Y61" s="64">
        <v>1362.1</v>
      </c>
      <c r="Z61" s="64">
        <v>1317.4</v>
      </c>
      <c r="AA61" s="61">
        <v>1355.8</v>
      </c>
    </row>
    <row r="62" spans="1:28" x14ac:dyDescent="0.2">
      <c r="A62" s="63" t="s">
        <v>265</v>
      </c>
      <c r="B62" s="69">
        <v>860</v>
      </c>
      <c r="C62" s="71">
        <v>943</v>
      </c>
      <c r="D62" s="33">
        <v>903</v>
      </c>
      <c r="E62" s="33">
        <v>990</v>
      </c>
      <c r="F62" s="33">
        <v>606</v>
      </c>
      <c r="G62" s="33">
        <v>835</v>
      </c>
      <c r="H62" s="33">
        <v>1688</v>
      </c>
      <c r="I62" s="33">
        <v>2078</v>
      </c>
      <c r="J62" s="73">
        <v>2388</v>
      </c>
      <c r="K62" s="73">
        <v>2361</v>
      </c>
      <c r="L62" s="73">
        <v>2407</v>
      </c>
      <c r="M62" s="73">
        <v>2582</v>
      </c>
      <c r="N62" s="73">
        <v>2627</v>
      </c>
      <c r="O62" s="71">
        <v>2494</v>
      </c>
      <c r="P62" s="71">
        <v>2751</v>
      </c>
      <c r="Q62" s="71">
        <v>2666</v>
      </c>
      <c r="R62" s="71">
        <v>2798.4</v>
      </c>
      <c r="S62" s="71">
        <v>2858.1</v>
      </c>
      <c r="T62" s="64">
        <v>2833.5190000000002</v>
      </c>
      <c r="U62" s="64">
        <v>2643</v>
      </c>
      <c r="V62" s="64">
        <v>2792</v>
      </c>
      <c r="W62" s="64">
        <v>2737</v>
      </c>
      <c r="X62" s="64">
        <v>2538.2770000000005</v>
      </c>
      <c r="Y62" s="64">
        <v>2431.8000000000002</v>
      </c>
      <c r="Z62" s="64">
        <v>2158.1</v>
      </c>
      <c r="AA62" s="61">
        <v>2183.8000000000002</v>
      </c>
    </row>
    <row r="63" spans="1:28" x14ac:dyDescent="0.2">
      <c r="A63" s="68" t="s">
        <v>266</v>
      </c>
      <c r="B63" s="69">
        <v>796</v>
      </c>
      <c r="C63" s="69">
        <v>1023</v>
      </c>
      <c r="D63" s="69">
        <v>1674</v>
      </c>
      <c r="E63" s="69">
        <v>554</v>
      </c>
      <c r="F63" s="33">
        <v>610</v>
      </c>
      <c r="G63" s="33">
        <v>1107</v>
      </c>
      <c r="H63" s="33">
        <v>1091</v>
      </c>
      <c r="I63" s="33">
        <v>958</v>
      </c>
      <c r="J63" s="33">
        <v>769</v>
      </c>
      <c r="K63" s="33">
        <v>1171</v>
      </c>
      <c r="L63" s="33">
        <v>663</v>
      </c>
      <c r="M63" s="33">
        <v>470</v>
      </c>
      <c r="N63" s="33">
        <v>492</v>
      </c>
      <c r="O63" s="33">
        <v>442</v>
      </c>
      <c r="P63" s="33">
        <v>249</v>
      </c>
      <c r="Q63" s="33">
        <v>466</v>
      </c>
      <c r="R63" s="33">
        <v>511.9</v>
      </c>
      <c r="S63" s="33">
        <v>272.60000000000002</v>
      </c>
      <c r="T63" s="64">
        <v>355.423</v>
      </c>
      <c r="U63" s="64">
        <v>290</v>
      </c>
      <c r="V63" s="64">
        <v>361</v>
      </c>
      <c r="W63" s="64">
        <v>272</v>
      </c>
      <c r="X63" s="64">
        <v>132.28499999999997</v>
      </c>
      <c r="Y63" s="64">
        <v>232.58</v>
      </c>
      <c r="Z63" s="64">
        <v>491.43</v>
      </c>
      <c r="AA63" s="61">
        <v>320.75</v>
      </c>
    </row>
    <row r="64" spans="1:28" x14ac:dyDescent="0.2">
      <c r="A64" s="67" t="s">
        <v>267</v>
      </c>
      <c r="B64" s="69">
        <v>45583</v>
      </c>
      <c r="C64" s="71">
        <v>43102</v>
      </c>
      <c r="D64" s="33">
        <v>44400</v>
      </c>
      <c r="E64" s="33">
        <v>45396</v>
      </c>
      <c r="F64" s="33">
        <v>41143</v>
      </c>
      <c r="G64" s="33">
        <v>41607</v>
      </c>
      <c r="H64" s="33">
        <v>42202</v>
      </c>
      <c r="I64" s="33">
        <v>38752</v>
      </c>
      <c r="J64" s="33">
        <v>34892</v>
      </c>
      <c r="K64" s="33">
        <v>34218</v>
      </c>
      <c r="L64" s="33">
        <v>31556</v>
      </c>
      <c r="M64" s="33">
        <v>36681</v>
      </c>
      <c r="N64" s="33">
        <v>39054</v>
      </c>
      <c r="O64" s="33">
        <v>36690</v>
      </c>
      <c r="P64" s="33">
        <v>34335</v>
      </c>
      <c r="Q64" s="33">
        <v>27878</v>
      </c>
      <c r="R64" s="33">
        <v>25332.400000000001</v>
      </c>
      <c r="S64" s="33">
        <v>26365.1</v>
      </c>
      <c r="T64" s="64">
        <v>24607.971000000001</v>
      </c>
      <c r="U64" s="64">
        <v>27074</v>
      </c>
      <c r="V64" s="64">
        <v>27439</v>
      </c>
      <c r="W64" s="64">
        <v>27544</v>
      </c>
      <c r="X64" s="64">
        <v>26587.366999999998</v>
      </c>
      <c r="Y64" s="64">
        <v>25221</v>
      </c>
      <c r="Z64" s="64">
        <v>23032</v>
      </c>
      <c r="AA64" s="61">
        <v>19777</v>
      </c>
      <c r="AB64" s="291"/>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zoomScaleNormal="100" workbookViewId="0">
      <pane xSplit="1" topLeftCell="B1" activePane="topRight" state="frozen"/>
      <selection activeCell="B8" sqref="B8"/>
      <selection pane="topRight" activeCell="B8" sqref="B8"/>
    </sheetView>
  </sheetViews>
  <sheetFormatPr defaultRowHeight="15" x14ac:dyDescent="0.2"/>
  <cols>
    <col min="1" max="1" width="36.6640625" style="6" customWidth="1"/>
    <col min="2" max="9" width="9.88671875" style="6" customWidth="1"/>
    <col min="10" max="16384" width="8.88671875" style="6"/>
  </cols>
  <sheetData>
    <row r="1" spans="1:16" s="5" customFormat="1" ht="15.75" x14ac:dyDescent="0.25">
      <c r="A1" s="1" t="s">
        <v>858</v>
      </c>
      <c r="B1" s="1"/>
      <c r="C1" s="1"/>
      <c r="D1" s="1"/>
      <c r="E1" s="1"/>
      <c r="F1" s="2"/>
      <c r="G1" s="3"/>
      <c r="H1" s="4"/>
      <c r="I1" s="4"/>
    </row>
    <row r="2" spans="1:16" s="5" customFormat="1" ht="15.75" x14ac:dyDescent="0.25">
      <c r="A2" s="2" t="s">
        <v>5</v>
      </c>
      <c r="B2" s="2"/>
      <c r="C2" s="2"/>
      <c r="D2" s="2"/>
      <c r="E2" s="2"/>
      <c r="F2" s="2"/>
      <c r="G2" s="3"/>
      <c r="H2" s="4"/>
      <c r="I2" s="4"/>
    </row>
    <row r="3" spans="1:16" s="5" customFormat="1" ht="15.75" x14ac:dyDescent="0.25">
      <c r="A3" s="5" t="s">
        <v>69</v>
      </c>
      <c r="F3" s="2"/>
      <c r="G3" s="3"/>
      <c r="H3" s="4"/>
      <c r="I3" s="4"/>
      <c r="J3" s="260"/>
      <c r="K3" s="260"/>
      <c r="L3" s="260"/>
      <c r="M3" s="260"/>
      <c r="N3" s="260"/>
      <c r="O3" s="260"/>
      <c r="P3" s="260"/>
    </row>
    <row r="4" spans="1:16" s="260" customFormat="1" ht="47.25" x14ac:dyDescent="0.25">
      <c r="A4" s="259" t="s">
        <v>335</v>
      </c>
      <c r="B4" s="260" t="s">
        <v>301</v>
      </c>
      <c r="C4" s="260" t="s">
        <v>300</v>
      </c>
      <c r="D4" s="260" t="s">
        <v>305</v>
      </c>
      <c r="E4" s="260" t="s">
        <v>302</v>
      </c>
      <c r="F4" s="260" t="s">
        <v>303</v>
      </c>
      <c r="G4" s="260" t="s">
        <v>304</v>
      </c>
      <c r="H4" s="260" t="s">
        <v>306</v>
      </c>
      <c r="J4" s="6"/>
      <c r="K4" s="6"/>
      <c r="L4" s="6"/>
      <c r="M4" s="6"/>
      <c r="N4" s="6"/>
      <c r="O4" s="6"/>
      <c r="P4" s="6"/>
    </row>
    <row r="5" spans="1:16" x14ac:dyDescent="0.2">
      <c r="A5" s="63" t="s">
        <v>294</v>
      </c>
      <c r="B5" s="83">
        <v>0</v>
      </c>
      <c r="C5" s="83">
        <v>0</v>
      </c>
      <c r="D5" s="83">
        <v>0</v>
      </c>
      <c r="E5" s="83">
        <v>1357.54</v>
      </c>
      <c r="F5" s="83">
        <v>1258.04</v>
      </c>
      <c r="G5" s="83">
        <v>2615.59</v>
      </c>
      <c r="H5" s="83">
        <f>G5+D5</f>
        <v>2615.59</v>
      </c>
      <c r="I5" s="83"/>
    </row>
    <row r="6" spans="1:16" x14ac:dyDescent="0.2">
      <c r="A6" s="63" t="s">
        <v>295</v>
      </c>
      <c r="B6" s="83">
        <v>0</v>
      </c>
      <c r="C6" s="83">
        <v>0</v>
      </c>
      <c r="D6" s="83">
        <v>0</v>
      </c>
      <c r="E6" s="83">
        <v>1208.8699999999999</v>
      </c>
      <c r="F6" s="83">
        <v>1486.2</v>
      </c>
      <c r="G6" s="83">
        <v>2695.07</v>
      </c>
      <c r="H6" s="83">
        <f t="shared" ref="H6:H15" si="0">G6+D6</f>
        <v>2695.07</v>
      </c>
      <c r="I6" s="83"/>
    </row>
    <row r="7" spans="1:16" x14ac:dyDescent="0.2">
      <c r="A7" s="63" t="s">
        <v>227</v>
      </c>
      <c r="B7" s="83">
        <v>4401.29</v>
      </c>
      <c r="C7" s="83">
        <v>1003.4</v>
      </c>
      <c r="D7" s="83">
        <v>5404.69</v>
      </c>
      <c r="E7" s="83">
        <v>717.97</v>
      </c>
      <c r="F7" s="83">
        <v>810.6</v>
      </c>
      <c r="G7" s="83">
        <v>1528.57</v>
      </c>
      <c r="H7" s="83">
        <f t="shared" si="0"/>
        <v>6933.2599999999993</v>
      </c>
      <c r="I7" s="83"/>
    </row>
    <row r="8" spans="1:16" x14ac:dyDescent="0.2">
      <c r="A8" s="68" t="s">
        <v>228</v>
      </c>
      <c r="B8" s="83">
        <v>0</v>
      </c>
      <c r="C8" s="83">
        <v>3466.9</v>
      </c>
      <c r="D8" s="83">
        <v>3466.9</v>
      </c>
      <c r="E8" s="83">
        <v>0</v>
      </c>
      <c r="F8" s="83">
        <v>1991.35</v>
      </c>
      <c r="G8" s="83">
        <v>1991.35</v>
      </c>
      <c r="H8" s="83">
        <f t="shared" si="0"/>
        <v>5458.25</v>
      </c>
      <c r="I8" s="83"/>
    </row>
    <row r="9" spans="1:16" x14ac:dyDescent="0.2">
      <c r="A9" s="67" t="s">
        <v>229</v>
      </c>
      <c r="B9" s="83">
        <v>4.9400000000000004</v>
      </c>
      <c r="C9" s="83">
        <v>2284.23</v>
      </c>
      <c r="D9" s="83">
        <v>2289.17</v>
      </c>
      <c r="E9" s="83">
        <v>188.86</v>
      </c>
      <c r="F9" s="83">
        <v>191.53</v>
      </c>
      <c r="G9" s="83">
        <v>380.39</v>
      </c>
      <c r="H9" s="83">
        <f t="shared" si="0"/>
        <v>2669.56</v>
      </c>
      <c r="I9" s="83"/>
    </row>
    <row r="10" spans="1:16" x14ac:dyDescent="0.2">
      <c r="A10" s="63" t="s">
        <v>230</v>
      </c>
      <c r="B10" s="83">
        <v>2.04</v>
      </c>
      <c r="C10" s="83">
        <v>5531.9</v>
      </c>
      <c r="D10" s="83">
        <v>5533.94</v>
      </c>
      <c r="E10" s="83">
        <v>0.1</v>
      </c>
      <c r="F10" s="83">
        <v>1295.21</v>
      </c>
      <c r="G10" s="83">
        <v>1295.31</v>
      </c>
      <c r="H10" s="83">
        <f t="shared" si="0"/>
        <v>6829.25</v>
      </c>
      <c r="I10" s="83"/>
    </row>
    <row r="11" spans="1:16" x14ac:dyDescent="0.2">
      <c r="A11" s="63" t="s">
        <v>231</v>
      </c>
      <c r="B11" s="83">
        <v>171.73</v>
      </c>
      <c r="C11" s="83">
        <v>13.45</v>
      </c>
      <c r="D11" s="83">
        <v>185.19</v>
      </c>
      <c r="E11" s="83">
        <v>81.819999999999993</v>
      </c>
      <c r="F11" s="83">
        <v>154.38</v>
      </c>
      <c r="G11" s="83">
        <v>236.21</v>
      </c>
      <c r="H11" s="83">
        <f t="shared" si="0"/>
        <v>421.4</v>
      </c>
      <c r="I11" s="83"/>
    </row>
    <row r="12" spans="1:16" x14ac:dyDescent="0.2">
      <c r="A12" s="63" t="s">
        <v>296</v>
      </c>
      <c r="B12" s="83">
        <v>19.600000000000001</v>
      </c>
      <c r="C12" s="83">
        <v>48.45</v>
      </c>
      <c r="D12" s="83">
        <v>68.05</v>
      </c>
      <c r="E12" s="83">
        <v>562.79999999999995</v>
      </c>
      <c r="F12" s="83">
        <v>344.97</v>
      </c>
      <c r="G12" s="83">
        <v>907.77</v>
      </c>
      <c r="H12" s="83">
        <f t="shared" si="0"/>
        <v>975.81999999999994</v>
      </c>
      <c r="I12" s="83"/>
    </row>
    <row r="13" spans="1:16" x14ac:dyDescent="0.2">
      <c r="A13" s="68" t="s">
        <v>232</v>
      </c>
      <c r="B13" s="83">
        <v>303.79000000000002</v>
      </c>
      <c r="C13" s="83">
        <v>352.5</v>
      </c>
      <c r="D13" s="83">
        <v>656.29</v>
      </c>
      <c r="E13" s="83">
        <v>1357.13</v>
      </c>
      <c r="F13" s="83">
        <v>1373.11</v>
      </c>
      <c r="G13" s="83">
        <v>2730.24</v>
      </c>
      <c r="H13" s="83">
        <f t="shared" si="0"/>
        <v>3386.5299999999997</v>
      </c>
      <c r="I13" s="83"/>
    </row>
    <row r="14" spans="1:16" x14ac:dyDescent="0.2">
      <c r="A14" s="67" t="s">
        <v>297</v>
      </c>
      <c r="B14" s="83">
        <v>363.8</v>
      </c>
      <c r="C14" s="83">
        <v>20.59</v>
      </c>
      <c r="D14" s="83">
        <v>384.39</v>
      </c>
      <c r="E14" s="83">
        <v>43.93</v>
      </c>
      <c r="F14" s="83">
        <v>2.17</v>
      </c>
      <c r="G14" s="83">
        <v>46.1</v>
      </c>
      <c r="H14" s="83">
        <f t="shared" si="0"/>
        <v>430.49</v>
      </c>
      <c r="I14" s="83"/>
    </row>
    <row r="15" spans="1:16" x14ac:dyDescent="0.2">
      <c r="A15" s="63" t="s">
        <v>299</v>
      </c>
      <c r="B15" s="83">
        <v>3714.08</v>
      </c>
      <c r="C15" s="83">
        <v>17195.830000000002</v>
      </c>
      <c r="D15" s="83">
        <v>20909.91</v>
      </c>
      <c r="E15" s="83">
        <v>552.26</v>
      </c>
      <c r="F15" s="83">
        <v>1569.67</v>
      </c>
      <c r="G15" s="83">
        <v>2121.9299999999998</v>
      </c>
      <c r="H15" s="83">
        <f t="shared" si="0"/>
        <v>23031.84</v>
      </c>
      <c r="I15" s="83"/>
    </row>
    <row r="16" spans="1:16" x14ac:dyDescent="0.2">
      <c r="A16" s="63" t="s">
        <v>298</v>
      </c>
      <c r="B16" s="299">
        <f t="shared" ref="B16:G16" si="1">SUM(B5:B15)</f>
        <v>8981.27</v>
      </c>
      <c r="C16" s="299">
        <f t="shared" si="1"/>
        <v>29917.250000000004</v>
      </c>
      <c r="D16" s="299">
        <f t="shared" si="1"/>
        <v>38898.53</v>
      </c>
      <c r="E16" s="299">
        <f t="shared" si="1"/>
        <v>6071.2800000000007</v>
      </c>
      <c r="F16" s="299">
        <f t="shared" si="1"/>
        <v>10477.23</v>
      </c>
      <c r="G16" s="299">
        <f t="shared" si="1"/>
        <v>16548.53</v>
      </c>
      <c r="H16" s="299">
        <f>SUM(H5:H15)</f>
        <v>55447.06</v>
      </c>
      <c r="I16" s="299"/>
    </row>
    <row r="18" spans="8:8" x14ac:dyDescent="0.2">
      <c r="H18" s="300"/>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2"/>
  <sheetViews>
    <sheetView zoomScaleNormal="100" workbookViewId="0">
      <selection activeCell="B8" sqref="B8"/>
    </sheetView>
  </sheetViews>
  <sheetFormatPr defaultRowHeight="15" x14ac:dyDescent="0.2"/>
  <cols>
    <col min="1" max="1" width="36.6640625" style="6" customWidth="1"/>
    <col min="2" max="8" width="9.88671875" style="6" customWidth="1"/>
    <col min="9" max="16384" width="8.88671875" style="6"/>
  </cols>
  <sheetData>
    <row r="1" spans="1:8" s="5" customFormat="1" ht="15.75" x14ac:dyDescent="0.25">
      <c r="A1" s="1" t="s">
        <v>859</v>
      </c>
      <c r="B1" s="1"/>
      <c r="C1" s="1"/>
      <c r="D1" s="1"/>
      <c r="E1" s="1"/>
      <c r="F1" s="2"/>
      <c r="G1" s="3"/>
      <c r="H1" s="4"/>
    </row>
    <row r="2" spans="1:8" s="5" customFormat="1" ht="15.75" x14ac:dyDescent="0.25">
      <c r="A2" s="2" t="s">
        <v>5</v>
      </c>
      <c r="B2" s="2"/>
      <c r="C2" s="2"/>
      <c r="D2" s="2"/>
      <c r="E2" s="2"/>
      <c r="F2" s="2"/>
      <c r="G2" s="3"/>
      <c r="H2" s="4"/>
    </row>
    <row r="3" spans="1:8" s="5" customFormat="1" ht="15.75" x14ac:dyDescent="0.25">
      <c r="A3" s="5" t="s">
        <v>69</v>
      </c>
      <c r="F3" s="2"/>
      <c r="G3" s="3"/>
      <c r="H3" s="4"/>
    </row>
    <row r="4" spans="1:8" s="260" customFormat="1" ht="47.25" x14ac:dyDescent="0.25">
      <c r="A4" s="259" t="s">
        <v>335</v>
      </c>
      <c r="B4" s="295" t="s">
        <v>301</v>
      </c>
      <c r="C4" s="295" t="s">
        <v>300</v>
      </c>
      <c r="D4" s="295" t="s">
        <v>305</v>
      </c>
      <c r="E4" s="295" t="s">
        <v>302</v>
      </c>
      <c r="F4" s="295" t="s">
        <v>303</v>
      </c>
      <c r="G4" s="295" t="s">
        <v>304</v>
      </c>
      <c r="H4" s="295" t="s">
        <v>306</v>
      </c>
    </row>
    <row r="5" spans="1:8" x14ac:dyDescent="0.2">
      <c r="A5" s="63" t="s">
        <v>294</v>
      </c>
      <c r="B5" s="83">
        <v>0</v>
      </c>
      <c r="C5" s="83">
        <v>0</v>
      </c>
      <c r="D5" s="83">
        <v>0</v>
      </c>
      <c r="E5" s="83">
        <v>1398.49</v>
      </c>
      <c r="F5" s="83">
        <v>1330.03</v>
      </c>
      <c r="G5" s="83">
        <v>2728.52</v>
      </c>
      <c r="H5" s="83">
        <f>G5+D5</f>
        <v>2728.52</v>
      </c>
    </row>
    <row r="6" spans="1:8" x14ac:dyDescent="0.2">
      <c r="A6" s="63" t="s">
        <v>295</v>
      </c>
      <c r="B6" s="83">
        <v>0</v>
      </c>
      <c r="C6" s="83">
        <v>0</v>
      </c>
      <c r="D6" s="83">
        <v>0</v>
      </c>
      <c r="E6" s="83">
        <v>1474.1</v>
      </c>
      <c r="F6" s="83">
        <v>1654.93</v>
      </c>
      <c r="G6" s="83">
        <v>3129.03</v>
      </c>
      <c r="H6" s="83">
        <f t="shared" ref="H6:H15" si="0">G6+D6</f>
        <v>3129.03</v>
      </c>
    </row>
    <row r="7" spans="1:8" x14ac:dyDescent="0.2">
      <c r="A7" s="63" t="s">
        <v>227</v>
      </c>
      <c r="B7" s="83">
        <v>5636.33</v>
      </c>
      <c r="C7" s="83">
        <v>672.88</v>
      </c>
      <c r="D7" s="83">
        <v>6309.21</v>
      </c>
      <c r="E7" s="83">
        <v>958.47</v>
      </c>
      <c r="F7" s="83">
        <v>1141.78</v>
      </c>
      <c r="G7" s="83">
        <v>2100.25</v>
      </c>
      <c r="H7" s="83">
        <f t="shared" si="0"/>
        <v>8409.4599999999991</v>
      </c>
    </row>
    <row r="8" spans="1:8" x14ac:dyDescent="0.2">
      <c r="A8" s="68" t="s">
        <v>228</v>
      </c>
      <c r="B8" s="83">
        <v>0</v>
      </c>
      <c r="C8" s="83">
        <v>3289.11</v>
      </c>
      <c r="D8" s="83">
        <v>3289.11</v>
      </c>
      <c r="E8" s="83">
        <v>0</v>
      </c>
      <c r="F8" s="83">
        <v>2833.63</v>
      </c>
      <c r="G8" s="83">
        <v>2833.63</v>
      </c>
      <c r="H8" s="83">
        <f t="shared" si="0"/>
        <v>6122.74</v>
      </c>
    </row>
    <row r="9" spans="1:8" x14ac:dyDescent="0.2">
      <c r="A9" s="67" t="s">
        <v>229</v>
      </c>
      <c r="B9" s="83">
        <v>2.4900000000000002</v>
      </c>
      <c r="C9" s="83">
        <v>2342.5300000000002</v>
      </c>
      <c r="D9" s="83">
        <v>2345.0100000000002</v>
      </c>
      <c r="E9" s="83">
        <v>247.34</v>
      </c>
      <c r="F9" s="83">
        <v>185.76</v>
      </c>
      <c r="G9" s="83">
        <v>433.11</v>
      </c>
      <c r="H9" s="83">
        <f t="shared" si="0"/>
        <v>2778.1200000000003</v>
      </c>
    </row>
    <row r="10" spans="1:8" x14ac:dyDescent="0.2">
      <c r="A10" s="63" t="s">
        <v>230</v>
      </c>
      <c r="B10" s="83">
        <v>0.08</v>
      </c>
      <c r="C10" s="83">
        <v>4937.8</v>
      </c>
      <c r="D10" s="83">
        <v>4937.88</v>
      </c>
      <c r="E10" s="83">
        <v>2.2200000000000002</v>
      </c>
      <c r="F10" s="83">
        <v>1254.31</v>
      </c>
      <c r="G10" s="83">
        <v>1256.52</v>
      </c>
      <c r="H10" s="83">
        <f t="shared" si="0"/>
        <v>6194.4</v>
      </c>
    </row>
    <row r="11" spans="1:8" x14ac:dyDescent="0.2">
      <c r="A11" s="63" t="s">
        <v>231</v>
      </c>
      <c r="B11" s="83">
        <v>200.49</v>
      </c>
      <c r="C11" s="83">
        <v>54.12</v>
      </c>
      <c r="D11" s="83">
        <v>254.62</v>
      </c>
      <c r="E11" s="83">
        <v>42.78</v>
      </c>
      <c r="F11" s="83">
        <v>126.53</v>
      </c>
      <c r="G11" s="83">
        <v>169.31</v>
      </c>
      <c r="H11" s="83">
        <f t="shared" si="0"/>
        <v>423.93</v>
      </c>
    </row>
    <row r="12" spans="1:8" x14ac:dyDescent="0.2">
      <c r="A12" s="63" t="s">
        <v>296</v>
      </c>
      <c r="B12" s="83">
        <v>21.52</v>
      </c>
      <c r="C12" s="83">
        <v>21.78</v>
      </c>
      <c r="D12" s="83">
        <v>43.3</v>
      </c>
      <c r="E12" s="83">
        <v>615.76</v>
      </c>
      <c r="F12" s="83">
        <v>306.91000000000003</v>
      </c>
      <c r="G12" s="83">
        <v>922.68</v>
      </c>
      <c r="H12" s="83">
        <f t="shared" si="0"/>
        <v>965.9799999999999</v>
      </c>
    </row>
    <row r="13" spans="1:8" x14ac:dyDescent="0.2">
      <c r="A13" s="68" t="s">
        <v>232</v>
      </c>
      <c r="B13" s="83">
        <v>488.86</v>
      </c>
      <c r="C13" s="83">
        <v>468.53</v>
      </c>
      <c r="D13" s="83">
        <v>957.38</v>
      </c>
      <c r="E13" s="83">
        <v>1213.6400000000001</v>
      </c>
      <c r="F13" s="83">
        <v>1392.1</v>
      </c>
      <c r="G13" s="83">
        <v>2605.7399999999998</v>
      </c>
      <c r="H13" s="83">
        <f t="shared" si="0"/>
        <v>3563.12</v>
      </c>
    </row>
    <row r="14" spans="1:8" x14ac:dyDescent="0.2">
      <c r="A14" s="67" t="s">
        <v>297</v>
      </c>
      <c r="B14" s="83">
        <v>331.39</v>
      </c>
      <c r="C14" s="83">
        <v>7.96</v>
      </c>
      <c r="D14" s="83">
        <v>339.34999999999997</v>
      </c>
      <c r="E14" s="83">
        <v>99.29</v>
      </c>
      <c r="F14" s="83">
        <v>12.9</v>
      </c>
      <c r="G14" s="83">
        <v>112.19</v>
      </c>
      <c r="H14" s="83">
        <f t="shared" si="0"/>
        <v>451.53999999999996</v>
      </c>
    </row>
    <row r="15" spans="1:8" x14ac:dyDescent="0.2">
      <c r="A15" s="63" t="s">
        <v>299</v>
      </c>
      <c r="B15" s="83">
        <v>4070.5899999999997</v>
      </c>
      <c r="C15" s="83">
        <v>14273.29</v>
      </c>
      <c r="D15" s="83">
        <v>18343.86</v>
      </c>
      <c r="E15" s="83">
        <v>402.36</v>
      </c>
      <c r="F15" s="83">
        <v>1031.18</v>
      </c>
      <c r="G15" s="83">
        <v>1433.54</v>
      </c>
      <c r="H15" s="83">
        <f t="shared" si="0"/>
        <v>19777.400000000001</v>
      </c>
    </row>
    <row r="16" spans="1:8" x14ac:dyDescent="0.2">
      <c r="A16" s="63" t="s">
        <v>298</v>
      </c>
      <c r="B16" s="299">
        <f t="shared" ref="B16:G16" si="1">SUM(B5:B15)</f>
        <v>10751.75</v>
      </c>
      <c r="C16" s="299">
        <f t="shared" si="1"/>
        <v>26068</v>
      </c>
      <c r="D16" s="299">
        <f t="shared" si="1"/>
        <v>36819.72</v>
      </c>
      <c r="E16" s="299">
        <f t="shared" si="1"/>
        <v>6454.4500000000007</v>
      </c>
      <c r="F16" s="299">
        <f t="shared" si="1"/>
        <v>11270.060000000001</v>
      </c>
      <c r="G16" s="299">
        <f t="shared" si="1"/>
        <v>17724.52</v>
      </c>
      <c r="H16" s="299">
        <f>SUM(H5:H15)</f>
        <v>54544.24</v>
      </c>
    </row>
    <row r="19" spans="1:14" x14ac:dyDescent="0.2">
      <c r="A19" s="260"/>
      <c r="G19" s="260"/>
      <c r="H19" s="260"/>
      <c r="I19" s="260"/>
      <c r="J19" s="260"/>
      <c r="K19" s="260"/>
      <c r="L19" s="260"/>
      <c r="M19" s="260"/>
    </row>
    <row r="21" spans="1:14" x14ac:dyDescent="0.2">
      <c r="G21" s="291"/>
      <c r="H21" s="291"/>
      <c r="I21" s="291"/>
      <c r="J21" s="291"/>
      <c r="K21" s="291"/>
      <c r="L21" s="291"/>
      <c r="M21" s="291"/>
      <c r="N21" s="300"/>
    </row>
    <row r="22" spans="1:14" x14ac:dyDescent="0.2">
      <c r="G22" s="291"/>
      <c r="H22" s="291"/>
      <c r="I22" s="291"/>
      <c r="J22" s="291"/>
      <c r="K22" s="291"/>
      <c r="L22" s="291"/>
      <c r="M22" s="291"/>
      <c r="N22" s="300"/>
    </row>
    <row r="23" spans="1:14" x14ac:dyDescent="0.2">
      <c r="G23" s="291"/>
      <c r="H23" s="291"/>
      <c r="I23" s="291"/>
      <c r="J23" s="291"/>
      <c r="K23" s="291"/>
      <c r="L23" s="291"/>
      <c r="M23" s="291"/>
      <c r="N23" s="300"/>
    </row>
    <row r="24" spans="1:14" x14ac:dyDescent="0.2">
      <c r="G24" s="291"/>
      <c r="H24" s="291"/>
      <c r="I24" s="291"/>
      <c r="J24" s="291"/>
      <c r="K24" s="291"/>
      <c r="L24" s="291"/>
      <c r="M24" s="291"/>
      <c r="N24" s="300"/>
    </row>
    <row r="25" spans="1:14" x14ac:dyDescent="0.2">
      <c r="G25" s="291"/>
      <c r="H25" s="291"/>
      <c r="I25" s="291"/>
      <c r="J25" s="291"/>
      <c r="K25" s="291"/>
      <c r="L25" s="291"/>
      <c r="M25" s="291"/>
      <c r="N25" s="300"/>
    </row>
    <row r="26" spans="1:14" x14ac:dyDescent="0.2">
      <c r="G26" s="291"/>
      <c r="H26" s="291"/>
      <c r="I26" s="291"/>
      <c r="J26" s="291"/>
      <c r="K26" s="291"/>
      <c r="L26" s="291"/>
      <c r="M26" s="291"/>
      <c r="N26" s="300"/>
    </row>
    <row r="27" spans="1:14" x14ac:dyDescent="0.2">
      <c r="G27" s="291"/>
      <c r="H27" s="291"/>
      <c r="I27" s="291"/>
      <c r="J27" s="291"/>
      <c r="K27" s="291"/>
      <c r="L27" s="291"/>
      <c r="M27" s="291"/>
      <c r="N27" s="300"/>
    </row>
    <row r="28" spans="1:14" x14ac:dyDescent="0.2">
      <c r="G28" s="291"/>
      <c r="H28" s="291"/>
      <c r="I28" s="291"/>
      <c r="J28" s="291"/>
      <c r="K28" s="291"/>
      <c r="L28" s="291"/>
      <c r="M28" s="291"/>
      <c r="N28" s="300"/>
    </row>
    <row r="29" spans="1:14" x14ac:dyDescent="0.2">
      <c r="G29" s="291"/>
      <c r="H29" s="291"/>
      <c r="I29" s="291"/>
      <c r="J29" s="291"/>
      <c r="K29" s="291"/>
      <c r="L29" s="291"/>
      <c r="M29" s="291"/>
      <c r="N29" s="300"/>
    </row>
    <row r="30" spans="1:14" x14ac:dyDescent="0.2">
      <c r="G30" s="291"/>
      <c r="H30" s="291"/>
      <c r="I30" s="291"/>
      <c r="J30" s="291"/>
      <c r="K30" s="291"/>
      <c r="L30" s="291"/>
      <c r="M30" s="291"/>
      <c r="N30" s="300"/>
    </row>
    <row r="31" spans="1:14" x14ac:dyDescent="0.2">
      <c r="G31" s="291"/>
      <c r="H31" s="291"/>
      <c r="I31" s="291"/>
      <c r="J31" s="291"/>
      <c r="K31" s="291"/>
      <c r="L31" s="291"/>
      <c r="M31" s="291"/>
      <c r="N31" s="300"/>
    </row>
    <row r="32" spans="1:14" x14ac:dyDescent="0.2">
      <c r="G32" s="291"/>
      <c r="H32" s="291"/>
      <c r="I32" s="291"/>
      <c r="J32" s="291"/>
      <c r="K32" s="291"/>
      <c r="L32" s="291"/>
      <c r="M32" s="291"/>
      <c r="N32" s="300"/>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1"/>
  <sheetViews>
    <sheetView zoomScale="84" zoomScaleNormal="84" workbookViewId="0">
      <pane xSplit="1" ySplit="4" topLeftCell="D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42.5546875" style="6" customWidth="1"/>
    <col min="2" max="8" width="9.88671875" style="6" customWidth="1"/>
    <col min="9" max="10" width="8.88671875" style="6"/>
    <col min="11" max="11" width="33.44140625" style="6" customWidth="1"/>
    <col min="12" max="16384" width="8.88671875" style="6"/>
  </cols>
  <sheetData>
    <row r="1" spans="1:21" s="5" customFormat="1" ht="15.75" x14ac:dyDescent="0.25">
      <c r="A1" s="1" t="s">
        <v>860</v>
      </c>
      <c r="B1" s="1"/>
      <c r="C1" s="1"/>
      <c r="D1" s="1"/>
      <c r="E1" s="1"/>
      <c r="F1" s="2"/>
      <c r="G1" s="3"/>
      <c r="H1" s="4"/>
    </row>
    <row r="2" spans="1:21" s="5" customFormat="1" ht="15.75" x14ac:dyDescent="0.25">
      <c r="A2" s="2" t="s">
        <v>5</v>
      </c>
      <c r="B2" s="2"/>
      <c r="C2" s="2"/>
      <c r="D2" s="2"/>
      <c r="E2" s="2"/>
      <c r="F2" s="2"/>
      <c r="G2" s="3"/>
      <c r="H2" s="4"/>
    </row>
    <row r="3" spans="1:21" s="5" customFormat="1" ht="15.75" x14ac:dyDescent="0.25">
      <c r="A3" s="5" t="s">
        <v>69</v>
      </c>
      <c r="F3" s="2"/>
      <c r="G3" s="3"/>
      <c r="H3" s="4"/>
      <c r="K3" s="260"/>
      <c r="L3" s="6"/>
      <c r="M3" s="6"/>
      <c r="N3" s="6"/>
      <c r="O3" s="6"/>
      <c r="P3" s="6"/>
      <c r="Q3" s="6"/>
      <c r="R3" s="6"/>
      <c r="S3" s="6"/>
      <c r="T3" s="6"/>
      <c r="U3" s="260"/>
    </row>
    <row r="4" spans="1:21" s="260" customFormat="1" ht="47.25" x14ac:dyDescent="0.25">
      <c r="A4" s="259" t="s">
        <v>334</v>
      </c>
      <c r="B4" s="295" t="s">
        <v>301</v>
      </c>
      <c r="C4" s="295" t="s">
        <v>300</v>
      </c>
      <c r="D4" s="295" t="s">
        <v>305</v>
      </c>
      <c r="E4" s="295" t="s">
        <v>302</v>
      </c>
      <c r="F4" s="295" t="s">
        <v>303</v>
      </c>
      <c r="G4" s="295" t="s">
        <v>304</v>
      </c>
      <c r="H4" s="295" t="s">
        <v>306</v>
      </c>
      <c r="K4" s="6"/>
      <c r="L4" s="6"/>
      <c r="M4" s="6"/>
      <c r="N4" s="6"/>
      <c r="O4" s="6"/>
      <c r="P4" s="6"/>
      <c r="Q4" s="6"/>
      <c r="R4" s="6"/>
      <c r="S4" s="6"/>
      <c r="T4" s="6"/>
      <c r="U4" s="6"/>
    </row>
    <row r="5" spans="1:21" x14ac:dyDescent="0.2">
      <c r="A5" s="296" t="s">
        <v>307</v>
      </c>
      <c r="B5" s="237">
        <v>663.01</v>
      </c>
      <c r="C5" s="237">
        <v>1683.67</v>
      </c>
      <c r="D5" s="237">
        <v>2346.67</v>
      </c>
      <c r="E5" s="237">
        <v>0</v>
      </c>
      <c r="F5" s="237">
        <v>66.739999999999995</v>
      </c>
      <c r="G5" s="238">
        <v>66.739999999999995</v>
      </c>
      <c r="H5" s="297">
        <f>D5+G5</f>
        <v>2413.41</v>
      </c>
    </row>
    <row r="6" spans="1:21" x14ac:dyDescent="0.2">
      <c r="A6" s="296" t="s">
        <v>308</v>
      </c>
      <c r="B6" s="237">
        <v>4791.53</v>
      </c>
      <c r="C6" s="237">
        <v>16680.29</v>
      </c>
      <c r="D6" s="237">
        <v>21471.82</v>
      </c>
      <c r="E6" s="237">
        <v>478.21</v>
      </c>
      <c r="F6" s="237">
        <v>1965.31</v>
      </c>
      <c r="G6" s="238">
        <v>2443.52</v>
      </c>
      <c r="H6" s="297">
        <f t="shared" ref="H6:H29" si="0">D6+G6</f>
        <v>23915.34</v>
      </c>
    </row>
    <row r="7" spans="1:21" x14ac:dyDescent="0.2">
      <c r="A7" s="296" t="s">
        <v>309</v>
      </c>
      <c r="B7" s="237">
        <v>1754.3</v>
      </c>
      <c r="C7" s="237">
        <v>1641.29</v>
      </c>
      <c r="D7" s="237">
        <v>3395.59</v>
      </c>
      <c r="E7" s="237">
        <v>1440.81</v>
      </c>
      <c r="F7" s="237">
        <v>1576.25</v>
      </c>
      <c r="G7" s="238">
        <v>3017.07</v>
      </c>
      <c r="H7" s="297">
        <f t="shared" si="0"/>
        <v>6412.66</v>
      </c>
    </row>
    <row r="8" spans="1:21" x14ac:dyDescent="0.2">
      <c r="A8" s="296" t="s">
        <v>310</v>
      </c>
      <c r="B8" s="237">
        <v>463.81</v>
      </c>
      <c r="C8" s="237">
        <v>81.099999999999994</v>
      </c>
      <c r="D8" s="237">
        <v>544.91</v>
      </c>
      <c r="E8" s="237">
        <v>117.28</v>
      </c>
      <c r="F8" s="237">
        <v>431.1</v>
      </c>
      <c r="G8" s="238">
        <v>548.38</v>
      </c>
      <c r="H8" s="297">
        <f t="shared" si="0"/>
        <v>1093.29</v>
      </c>
    </row>
    <row r="9" spans="1:21" x14ac:dyDescent="0.2">
      <c r="A9" s="296" t="s">
        <v>316</v>
      </c>
      <c r="B9" s="237">
        <f>SUBTOTAL(109,B5:B8)</f>
        <v>7672.6500000000005</v>
      </c>
      <c r="C9" s="237">
        <f t="shared" ref="C9:G9" si="1">SUBTOTAL(109,C5:C8)</f>
        <v>20086.349999999999</v>
      </c>
      <c r="D9" s="237">
        <f t="shared" si="1"/>
        <v>27758.989999999998</v>
      </c>
      <c r="E9" s="237">
        <f t="shared" si="1"/>
        <v>2036.3</v>
      </c>
      <c r="F9" s="237">
        <f t="shared" si="1"/>
        <v>4039.4</v>
      </c>
      <c r="G9" s="237">
        <f t="shared" si="1"/>
        <v>6075.71</v>
      </c>
      <c r="H9" s="297">
        <f>D9+G9</f>
        <v>33834.699999999997</v>
      </c>
    </row>
    <row r="10" spans="1:21" ht="47.25" customHeight="1" x14ac:dyDescent="0.2">
      <c r="A10" s="296" t="s">
        <v>311</v>
      </c>
      <c r="B10" s="237">
        <v>216.81</v>
      </c>
      <c r="C10" s="237">
        <v>495.1</v>
      </c>
      <c r="D10" s="237">
        <v>711.91</v>
      </c>
      <c r="E10" s="237">
        <v>0</v>
      </c>
      <c r="F10" s="237">
        <v>105.89</v>
      </c>
      <c r="G10" s="238">
        <v>105.89</v>
      </c>
      <c r="H10" s="297">
        <f t="shared" si="0"/>
        <v>817.8</v>
      </c>
    </row>
    <row r="11" spans="1:21" x14ac:dyDescent="0.2">
      <c r="A11" s="296" t="s">
        <v>312</v>
      </c>
      <c r="B11" s="237">
        <v>0.21</v>
      </c>
      <c r="C11" s="237">
        <v>0</v>
      </c>
      <c r="D11" s="237">
        <v>0.21</v>
      </c>
      <c r="E11" s="237">
        <v>1.1299999999999999</v>
      </c>
      <c r="F11" s="237">
        <v>0</v>
      </c>
      <c r="G11" s="238">
        <v>1.1299999999999999</v>
      </c>
      <c r="H11" s="297">
        <f t="shared" si="0"/>
        <v>1.3399999999999999</v>
      </c>
    </row>
    <row r="12" spans="1:21" ht="30" x14ac:dyDescent="0.2">
      <c r="A12" s="296" t="s">
        <v>313</v>
      </c>
      <c r="B12" s="237">
        <v>558.91999999999996</v>
      </c>
      <c r="C12" s="237">
        <v>15.76</v>
      </c>
      <c r="D12" s="237">
        <v>574.67999999999995</v>
      </c>
      <c r="E12" s="237">
        <v>113.78</v>
      </c>
      <c r="F12" s="237">
        <v>57.41</v>
      </c>
      <c r="G12" s="238">
        <v>171.2</v>
      </c>
      <c r="H12" s="297">
        <f t="shared" si="0"/>
        <v>745.87999999999988</v>
      </c>
    </row>
    <row r="13" spans="1:21" x14ac:dyDescent="0.2">
      <c r="A13" s="296" t="s">
        <v>314</v>
      </c>
      <c r="B13" s="237">
        <v>888.52</v>
      </c>
      <c r="C13" s="237">
        <v>3353.9</v>
      </c>
      <c r="D13" s="237">
        <v>4242.41</v>
      </c>
      <c r="E13" s="237">
        <v>540.54999999999995</v>
      </c>
      <c r="F13" s="237">
        <v>2873.29</v>
      </c>
      <c r="G13" s="238">
        <v>3413.84</v>
      </c>
      <c r="H13" s="297">
        <f t="shared" si="0"/>
        <v>7656.25</v>
      </c>
    </row>
    <row r="14" spans="1:21" x14ac:dyDescent="0.2">
      <c r="A14" s="67" t="s">
        <v>315</v>
      </c>
      <c r="B14" s="238">
        <f>SUM(B10:B13)</f>
        <v>1664.46</v>
      </c>
      <c r="C14" s="238">
        <f t="shared" ref="C14:G14" si="2">SUM(C10:C13)</f>
        <v>3864.76</v>
      </c>
      <c r="D14" s="238">
        <f t="shared" si="2"/>
        <v>5529.21</v>
      </c>
      <c r="E14" s="238">
        <f t="shared" si="2"/>
        <v>655.45999999999992</v>
      </c>
      <c r="F14" s="238">
        <f t="shared" si="2"/>
        <v>3036.59</v>
      </c>
      <c r="G14" s="238">
        <f t="shared" si="2"/>
        <v>3692.06</v>
      </c>
      <c r="H14" s="297">
        <f>D14+G14</f>
        <v>9221.27</v>
      </c>
    </row>
    <row r="15" spans="1:21" ht="36" customHeight="1" x14ac:dyDescent="0.2">
      <c r="A15" s="296" t="s">
        <v>317</v>
      </c>
      <c r="B15" s="237">
        <v>263.2</v>
      </c>
      <c r="C15" s="237">
        <v>354.25</v>
      </c>
      <c r="D15" s="237">
        <v>617.45000000000005</v>
      </c>
      <c r="E15" s="237">
        <v>31.7</v>
      </c>
      <c r="F15" s="237">
        <v>35.36</v>
      </c>
      <c r="G15" s="238">
        <v>67.05</v>
      </c>
      <c r="H15" s="297">
        <f t="shared" si="0"/>
        <v>684.5</v>
      </c>
    </row>
    <row r="16" spans="1:21" x14ac:dyDescent="0.2">
      <c r="A16" s="296" t="s">
        <v>318</v>
      </c>
      <c r="B16" s="237">
        <v>394.78</v>
      </c>
      <c r="C16" s="237">
        <v>987.32</v>
      </c>
      <c r="D16" s="237">
        <v>1382.11</v>
      </c>
      <c r="E16" s="237">
        <v>38.1</v>
      </c>
      <c r="F16" s="237">
        <v>119.34</v>
      </c>
      <c r="G16" s="238">
        <v>157.44</v>
      </c>
      <c r="H16" s="297">
        <f t="shared" si="0"/>
        <v>1539.55</v>
      </c>
    </row>
    <row r="17" spans="1:8" x14ac:dyDescent="0.2">
      <c r="A17" s="296" t="s">
        <v>319</v>
      </c>
      <c r="B17" s="237">
        <v>41.64</v>
      </c>
      <c r="C17" s="237">
        <v>99.91</v>
      </c>
      <c r="D17" s="237">
        <v>141.55000000000001</v>
      </c>
      <c r="E17" s="237">
        <v>0.55000000000000004</v>
      </c>
      <c r="F17" s="237">
        <v>0</v>
      </c>
      <c r="G17" s="238">
        <v>0.55000000000000004</v>
      </c>
      <c r="H17" s="297">
        <f t="shared" si="0"/>
        <v>142.10000000000002</v>
      </c>
    </row>
    <row r="18" spans="1:8" x14ac:dyDescent="0.2">
      <c r="A18" s="296" t="s">
        <v>320</v>
      </c>
      <c r="B18" s="237">
        <v>203.08</v>
      </c>
      <c r="C18" s="237">
        <v>243.23</v>
      </c>
      <c r="D18" s="237">
        <v>446.32</v>
      </c>
      <c r="E18" s="237">
        <v>4.21</v>
      </c>
      <c r="F18" s="237">
        <v>30.13</v>
      </c>
      <c r="G18" s="238">
        <v>34.35</v>
      </c>
      <c r="H18" s="297">
        <f t="shared" si="0"/>
        <v>480.67</v>
      </c>
    </row>
    <row r="19" spans="1:8" x14ac:dyDescent="0.2">
      <c r="A19" s="67" t="s">
        <v>321</v>
      </c>
      <c r="B19" s="237">
        <f>SUM(B15:B18)</f>
        <v>902.7</v>
      </c>
      <c r="C19" s="237">
        <f t="shared" ref="C19:G19" si="3">SUM(C15:C18)</f>
        <v>1684.7100000000003</v>
      </c>
      <c r="D19" s="237">
        <f t="shared" si="3"/>
        <v>2587.4300000000003</v>
      </c>
      <c r="E19" s="237">
        <f t="shared" si="3"/>
        <v>74.559999999999988</v>
      </c>
      <c r="F19" s="237">
        <f t="shared" si="3"/>
        <v>184.82999999999998</v>
      </c>
      <c r="G19" s="237">
        <f t="shared" si="3"/>
        <v>259.39000000000004</v>
      </c>
      <c r="H19" s="297">
        <f>D19+G19</f>
        <v>2846.82</v>
      </c>
    </row>
    <row r="20" spans="1:8" ht="69" customHeight="1" x14ac:dyDescent="0.2">
      <c r="A20" s="296" t="s">
        <v>322</v>
      </c>
      <c r="B20" s="237">
        <v>0.19</v>
      </c>
      <c r="C20" s="237">
        <v>0.06</v>
      </c>
      <c r="D20" s="237">
        <v>0.25</v>
      </c>
      <c r="E20" s="237">
        <v>1500.3</v>
      </c>
      <c r="F20" s="237">
        <v>1602.42</v>
      </c>
      <c r="G20" s="238">
        <v>3102.72</v>
      </c>
      <c r="H20" s="297">
        <f t="shared" si="0"/>
        <v>3102.97</v>
      </c>
    </row>
    <row r="21" spans="1:8" ht="30" x14ac:dyDescent="0.2">
      <c r="A21" s="296" t="s">
        <v>323</v>
      </c>
      <c r="B21" s="237">
        <v>0.09</v>
      </c>
      <c r="C21" s="239">
        <v>0.08</v>
      </c>
      <c r="D21" s="237">
        <v>0.16</v>
      </c>
      <c r="E21" s="239">
        <v>3.47</v>
      </c>
      <c r="F21" s="237">
        <v>4.32</v>
      </c>
      <c r="G21" s="238">
        <v>7.79</v>
      </c>
      <c r="H21" s="297">
        <f t="shared" si="0"/>
        <v>7.95</v>
      </c>
    </row>
    <row r="22" spans="1:8" x14ac:dyDescent="0.2">
      <c r="A22" s="296" t="s">
        <v>324</v>
      </c>
      <c r="B22" s="237">
        <f>SUM(B20:B21)</f>
        <v>0.28000000000000003</v>
      </c>
      <c r="C22" s="237">
        <f t="shared" ref="C22:G22" si="4">SUM(C20:C21)</f>
        <v>0.14000000000000001</v>
      </c>
      <c r="D22" s="237">
        <f t="shared" si="4"/>
        <v>0.41000000000000003</v>
      </c>
      <c r="E22" s="237">
        <f t="shared" si="4"/>
        <v>1503.77</v>
      </c>
      <c r="F22" s="237">
        <f t="shared" si="4"/>
        <v>1606.74</v>
      </c>
      <c r="G22" s="237">
        <f t="shared" si="4"/>
        <v>3110.5099999999998</v>
      </c>
      <c r="H22" s="297">
        <f>D22+G22</f>
        <v>3110.9199999999996</v>
      </c>
    </row>
    <row r="23" spans="1:8" ht="67.5" customHeight="1" x14ac:dyDescent="0.2">
      <c r="A23" s="296" t="s">
        <v>325</v>
      </c>
      <c r="B23" s="239">
        <v>8.41</v>
      </c>
      <c r="C23" s="239">
        <v>10.94</v>
      </c>
      <c r="D23" s="237">
        <v>19.350000000000001</v>
      </c>
      <c r="E23" s="239">
        <v>1647.92</v>
      </c>
      <c r="F23" s="239">
        <v>1643.53</v>
      </c>
      <c r="G23" s="238">
        <v>3291.45</v>
      </c>
      <c r="H23" s="297">
        <f t="shared" si="0"/>
        <v>3310.7999999999997</v>
      </c>
    </row>
    <row r="24" spans="1:8" ht="45" x14ac:dyDescent="0.2">
      <c r="A24" s="296" t="s">
        <v>326</v>
      </c>
      <c r="B24" s="237">
        <v>0</v>
      </c>
      <c r="C24" s="237">
        <v>0</v>
      </c>
      <c r="D24" s="237">
        <v>0</v>
      </c>
      <c r="E24" s="239">
        <v>0.13</v>
      </c>
      <c r="F24" s="239">
        <v>1.95</v>
      </c>
      <c r="G24" s="238">
        <v>2.08</v>
      </c>
      <c r="H24" s="297">
        <f t="shared" si="0"/>
        <v>2.08</v>
      </c>
    </row>
    <row r="25" spans="1:8" ht="45" customHeight="1" x14ac:dyDescent="0.2">
      <c r="A25" s="296" t="s">
        <v>327</v>
      </c>
      <c r="B25" s="237">
        <v>5.43</v>
      </c>
      <c r="C25" s="237">
        <v>6.06</v>
      </c>
      <c r="D25" s="237">
        <v>11.49</v>
      </c>
      <c r="E25" s="239">
        <v>17.510000000000002</v>
      </c>
      <c r="F25" s="239">
        <v>14.15</v>
      </c>
      <c r="G25" s="238">
        <v>31.66</v>
      </c>
      <c r="H25" s="297">
        <f t="shared" si="0"/>
        <v>43.15</v>
      </c>
    </row>
    <row r="26" spans="1:8" x14ac:dyDescent="0.2">
      <c r="A26" s="67" t="s">
        <v>328</v>
      </c>
      <c r="B26" s="237">
        <f t="shared" ref="B26:G26" si="5">SUM(B23:B25)</f>
        <v>13.84</v>
      </c>
      <c r="C26" s="237">
        <f t="shared" si="5"/>
        <v>17</v>
      </c>
      <c r="D26" s="237">
        <f t="shared" si="5"/>
        <v>30.840000000000003</v>
      </c>
      <c r="E26" s="237">
        <f t="shared" si="5"/>
        <v>1665.5600000000002</v>
      </c>
      <c r="F26" s="237">
        <f t="shared" si="5"/>
        <v>1659.63</v>
      </c>
      <c r="G26" s="237">
        <f t="shared" si="5"/>
        <v>3325.1899999999996</v>
      </c>
      <c r="H26" s="297">
        <f>D26+G26</f>
        <v>3356.0299999999997</v>
      </c>
    </row>
    <row r="27" spans="1:8" ht="44.25" customHeight="1" x14ac:dyDescent="0.2">
      <c r="A27" s="296" t="s">
        <v>329</v>
      </c>
      <c r="B27" s="239">
        <v>170.56</v>
      </c>
      <c r="C27" s="239">
        <v>39.33</v>
      </c>
      <c r="D27" s="237">
        <v>209.89</v>
      </c>
      <c r="E27" s="239">
        <v>9.43</v>
      </c>
      <c r="F27" s="239">
        <v>0</v>
      </c>
      <c r="G27" s="238">
        <v>9.43</v>
      </c>
      <c r="H27" s="297">
        <f t="shared" si="0"/>
        <v>219.32</v>
      </c>
    </row>
    <row r="28" spans="1:8" x14ac:dyDescent="0.2">
      <c r="A28" s="296" t="s">
        <v>330</v>
      </c>
      <c r="B28" s="239">
        <v>68.39</v>
      </c>
      <c r="C28" s="239">
        <v>195.74</v>
      </c>
      <c r="D28" s="237">
        <v>264.13</v>
      </c>
      <c r="E28" s="239">
        <v>9.6300000000000008</v>
      </c>
      <c r="F28" s="239">
        <v>3.17</v>
      </c>
      <c r="G28" s="238">
        <v>12.79</v>
      </c>
      <c r="H28" s="297">
        <f t="shared" si="0"/>
        <v>276.92</v>
      </c>
    </row>
    <row r="29" spans="1:8" ht="30" x14ac:dyDescent="0.2">
      <c r="A29" s="296" t="s">
        <v>331</v>
      </c>
      <c r="B29" s="239">
        <v>258.87</v>
      </c>
      <c r="C29" s="239">
        <v>179.95</v>
      </c>
      <c r="D29" s="237">
        <v>438.82</v>
      </c>
      <c r="E29" s="239">
        <v>499.73</v>
      </c>
      <c r="F29" s="239">
        <v>739.67</v>
      </c>
      <c r="G29" s="238">
        <v>1239.4100000000001</v>
      </c>
      <c r="H29" s="297">
        <f t="shared" si="0"/>
        <v>1678.23</v>
      </c>
    </row>
    <row r="30" spans="1:8" x14ac:dyDescent="0.2">
      <c r="A30" s="67" t="s">
        <v>332</v>
      </c>
      <c r="B30" s="238">
        <f>SUM(B27:B29)</f>
        <v>497.82</v>
      </c>
      <c r="C30" s="238">
        <f t="shared" ref="C30:G30" si="6">SUM(C27:C29)</f>
        <v>415.02</v>
      </c>
      <c r="D30" s="238">
        <f t="shared" si="6"/>
        <v>912.83999999999992</v>
      </c>
      <c r="E30" s="238">
        <f t="shared" si="6"/>
        <v>518.79</v>
      </c>
      <c r="F30" s="238">
        <f t="shared" si="6"/>
        <v>742.83999999999992</v>
      </c>
      <c r="G30" s="238">
        <f t="shared" si="6"/>
        <v>1261.6300000000001</v>
      </c>
      <c r="H30" s="297">
        <f>D30+G30</f>
        <v>2174.4700000000003</v>
      </c>
    </row>
    <row r="31" spans="1:8" ht="49.5" customHeight="1" x14ac:dyDescent="0.2">
      <c r="A31" s="67" t="s">
        <v>333</v>
      </c>
      <c r="B31" s="298">
        <f t="shared" ref="B31:G31" si="7">B9+B14+B19+B22+B26+B30</f>
        <v>10751.750000000002</v>
      </c>
      <c r="C31" s="298">
        <f t="shared" si="7"/>
        <v>26067.98</v>
      </c>
      <c r="D31" s="298">
        <f t="shared" si="7"/>
        <v>36819.719999999994</v>
      </c>
      <c r="E31" s="298">
        <f t="shared" si="7"/>
        <v>6454.4400000000005</v>
      </c>
      <c r="F31" s="298">
        <f t="shared" si="7"/>
        <v>11270.029999999999</v>
      </c>
      <c r="G31" s="298">
        <f t="shared" si="7"/>
        <v>17724.490000000002</v>
      </c>
      <c r="H31" s="73">
        <f>H30+H26+H22+H19+H14+H9</f>
        <v>54544.21</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76"/>
  <sheetViews>
    <sheetView zoomScaleNormal="100" workbookViewId="0">
      <pane xSplit="1" topLeftCell="D1" activePane="topRight" state="frozen"/>
      <selection activeCell="B8" sqref="B8"/>
      <selection pane="topRight" activeCell="B8" sqref="B8"/>
    </sheetView>
  </sheetViews>
  <sheetFormatPr defaultRowHeight="15" x14ac:dyDescent="0.2"/>
  <cols>
    <col min="1" max="1" width="42.5546875" style="6" customWidth="1"/>
    <col min="2" max="8" width="9.88671875" style="6" customWidth="1"/>
    <col min="9" max="10" width="8.88671875" style="6"/>
    <col min="11" max="11" width="10.109375" style="6" customWidth="1"/>
    <col min="12" max="12" width="10.77734375" style="6" customWidth="1"/>
    <col min="13" max="13" width="10.109375" style="6" customWidth="1"/>
    <col min="14" max="16384" width="8.88671875" style="6"/>
  </cols>
  <sheetData>
    <row r="1" spans="1:19" s="5" customFormat="1" ht="15.75" x14ac:dyDescent="0.25">
      <c r="A1" s="1" t="s">
        <v>868</v>
      </c>
      <c r="B1" s="1"/>
      <c r="C1" s="1"/>
      <c r="D1" s="1"/>
      <c r="E1" s="1"/>
      <c r="F1" s="2"/>
      <c r="G1" s="3"/>
      <c r="H1" s="4"/>
    </row>
    <row r="2" spans="1:19" s="5" customFormat="1" ht="15.75" x14ac:dyDescent="0.25">
      <c r="A2" s="2" t="s">
        <v>5</v>
      </c>
      <c r="B2" s="2"/>
      <c r="C2" s="2"/>
      <c r="D2" s="2"/>
      <c r="E2" s="2"/>
      <c r="F2" s="2"/>
      <c r="G2" s="3"/>
      <c r="H2" s="4"/>
    </row>
    <row r="3" spans="1:19" s="5" customFormat="1" ht="15.75" x14ac:dyDescent="0.25">
      <c r="A3" s="5" t="s">
        <v>69</v>
      </c>
      <c r="F3" s="2"/>
      <c r="G3" s="3"/>
      <c r="H3" s="4"/>
    </row>
    <row r="4" spans="1:19" s="260" customFormat="1" ht="94.5" x14ac:dyDescent="0.25">
      <c r="A4" s="259" t="s">
        <v>336</v>
      </c>
      <c r="B4" s="292" t="s">
        <v>337</v>
      </c>
      <c r="C4" s="292" t="s">
        <v>338</v>
      </c>
      <c r="D4" s="292" t="s">
        <v>339</v>
      </c>
      <c r="E4" s="292" t="s">
        <v>340</v>
      </c>
      <c r="F4" s="292" t="s">
        <v>341</v>
      </c>
      <c r="G4" s="292" t="s">
        <v>342</v>
      </c>
      <c r="H4" s="292" t="s">
        <v>343</v>
      </c>
      <c r="I4" s="292" t="s">
        <v>344</v>
      </c>
      <c r="J4" s="292" t="s">
        <v>345</v>
      </c>
      <c r="K4" s="292" t="s">
        <v>409</v>
      </c>
      <c r="L4" s="292" t="s">
        <v>410</v>
      </c>
      <c r="M4" s="292" t="s">
        <v>411</v>
      </c>
      <c r="N4" s="292" t="s">
        <v>412</v>
      </c>
      <c r="O4" s="292" t="s">
        <v>414</v>
      </c>
      <c r="P4" s="292" t="s">
        <v>413</v>
      </c>
      <c r="Q4" s="292" t="s">
        <v>415</v>
      </c>
      <c r="R4" s="292" t="s">
        <v>416</v>
      </c>
      <c r="S4" s="292" t="s">
        <v>306</v>
      </c>
    </row>
    <row r="5" spans="1:19" x14ac:dyDescent="0.2">
      <c r="A5" s="84" t="s">
        <v>346</v>
      </c>
      <c r="B5" s="241">
        <v>244.97</v>
      </c>
      <c r="C5" s="241">
        <v>1712.95</v>
      </c>
      <c r="D5" s="242">
        <v>1957.92</v>
      </c>
      <c r="E5" s="241">
        <v>51.459800000000001</v>
      </c>
      <c r="F5" s="241">
        <v>256.48700000000002</v>
      </c>
      <c r="G5" s="242">
        <v>307.947</v>
      </c>
      <c r="H5" s="241">
        <v>3.8885000000000001</v>
      </c>
      <c r="I5" s="241">
        <v>39.927900000000001</v>
      </c>
      <c r="J5" s="242">
        <v>43.816400000000002</v>
      </c>
      <c r="K5" s="241">
        <v>217.49299999999999</v>
      </c>
      <c r="L5" s="241">
        <v>575.27200000000005</v>
      </c>
      <c r="M5" s="242">
        <v>792.76599999999996</v>
      </c>
      <c r="N5" s="241">
        <v>0</v>
      </c>
      <c r="O5" s="241">
        <v>0</v>
      </c>
      <c r="P5" s="242">
        <v>0</v>
      </c>
      <c r="Q5" s="293">
        <f>SUM(B5,E5,H5,K5,N5)</f>
        <v>517.81130000000007</v>
      </c>
      <c r="R5" s="293">
        <f>SUM(C5,F5,I5,L5,O5)</f>
        <v>2584.6369</v>
      </c>
      <c r="S5" s="293">
        <f>Q5+R5</f>
        <v>3102.4481999999998</v>
      </c>
    </row>
    <row r="6" spans="1:19" x14ac:dyDescent="0.2">
      <c r="A6" s="84" t="s">
        <v>347</v>
      </c>
      <c r="B6" s="241">
        <v>0</v>
      </c>
      <c r="C6" s="241">
        <v>0</v>
      </c>
      <c r="D6" s="242">
        <v>0</v>
      </c>
      <c r="E6" s="241">
        <v>0</v>
      </c>
      <c r="F6" s="241">
        <v>0</v>
      </c>
      <c r="G6" s="242">
        <v>0</v>
      </c>
      <c r="H6" s="241">
        <v>0</v>
      </c>
      <c r="I6" s="241">
        <v>0</v>
      </c>
      <c r="J6" s="242">
        <v>0</v>
      </c>
      <c r="K6" s="241">
        <v>2.0500000000000001E-2</v>
      </c>
      <c r="L6" s="241">
        <v>0</v>
      </c>
      <c r="M6" s="242">
        <v>2.0500000000000001E-2</v>
      </c>
      <c r="N6" s="241">
        <v>0</v>
      </c>
      <c r="O6" s="241">
        <v>0</v>
      </c>
      <c r="P6" s="242">
        <v>0</v>
      </c>
      <c r="Q6" s="293">
        <f t="shared" ref="Q6:Q61" si="0">SUM(B6,E6,H6,K6,N6)</f>
        <v>2.0500000000000001E-2</v>
      </c>
      <c r="R6" s="293">
        <f t="shared" ref="R6:R61" si="1">SUM(C6,F6,I6,L6,O6)</f>
        <v>0</v>
      </c>
      <c r="S6" s="293">
        <f t="shared" ref="S6:S24" si="2">Q6+R6</f>
        <v>2.0500000000000001E-2</v>
      </c>
    </row>
    <row r="7" spans="1:19" x14ac:dyDescent="0.2">
      <c r="A7" s="84" t="s">
        <v>348</v>
      </c>
      <c r="B7" s="241">
        <v>0</v>
      </c>
      <c r="C7" s="241">
        <v>0</v>
      </c>
      <c r="D7" s="242">
        <v>0</v>
      </c>
      <c r="E7" s="241">
        <v>0</v>
      </c>
      <c r="F7" s="241">
        <v>0</v>
      </c>
      <c r="G7" s="242">
        <v>0</v>
      </c>
      <c r="H7" s="241">
        <v>0</v>
      </c>
      <c r="I7" s="241">
        <v>0</v>
      </c>
      <c r="J7" s="242">
        <v>0</v>
      </c>
      <c r="K7" s="241">
        <v>0.56489999999999996</v>
      </c>
      <c r="L7" s="241">
        <v>0</v>
      </c>
      <c r="M7" s="242">
        <v>0.56489999999999996</v>
      </c>
      <c r="N7" s="241">
        <v>0</v>
      </c>
      <c r="O7" s="241">
        <v>0</v>
      </c>
      <c r="P7" s="242">
        <v>0</v>
      </c>
      <c r="Q7" s="293">
        <f t="shared" si="0"/>
        <v>0.56489999999999996</v>
      </c>
      <c r="R7" s="293">
        <f t="shared" si="1"/>
        <v>0</v>
      </c>
      <c r="S7" s="293">
        <f t="shared" si="2"/>
        <v>0.56489999999999996</v>
      </c>
    </row>
    <row r="8" spans="1:19" x14ac:dyDescent="0.2">
      <c r="A8" s="84" t="s">
        <v>349</v>
      </c>
      <c r="B8" s="241">
        <v>331.30399999999997</v>
      </c>
      <c r="C8" s="241">
        <v>307.83</v>
      </c>
      <c r="D8" s="242">
        <v>639.13400000000001</v>
      </c>
      <c r="E8" s="241">
        <v>10.072100000000001</v>
      </c>
      <c r="F8" s="241">
        <v>1.3246</v>
      </c>
      <c r="G8" s="242">
        <v>11.396699999999999</v>
      </c>
      <c r="H8" s="241">
        <v>12.248100000000001</v>
      </c>
      <c r="I8" s="241">
        <v>5.1059999999999999</v>
      </c>
      <c r="J8" s="242">
        <v>17.354099999999999</v>
      </c>
      <c r="K8" s="241">
        <v>0</v>
      </c>
      <c r="L8" s="241">
        <v>0.12509999999999999</v>
      </c>
      <c r="M8" s="242">
        <v>0.12509999999999999</v>
      </c>
      <c r="N8" s="241">
        <v>0</v>
      </c>
      <c r="O8" s="241">
        <v>0</v>
      </c>
      <c r="P8" s="242">
        <v>0</v>
      </c>
      <c r="Q8" s="293">
        <f t="shared" si="0"/>
        <v>353.62419999999997</v>
      </c>
      <c r="R8" s="293">
        <f>SUM(C8,F8,I8,L8,O8)</f>
        <v>314.38569999999993</v>
      </c>
      <c r="S8" s="293">
        <f t="shared" si="2"/>
        <v>668.0098999999999</v>
      </c>
    </row>
    <row r="9" spans="1:19" x14ac:dyDescent="0.2">
      <c r="A9" s="84" t="s">
        <v>350</v>
      </c>
      <c r="B9" s="241">
        <v>15.298999999999999</v>
      </c>
      <c r="C9" s="241">
        <v>0</v>
      </c>
      <c r="D9" s="242">
        <v>15.298999999999999</v>
      </c>
      <c r="E9" s="241">
        <v>0</v>
      </c>
      <c r="F9" s="241">
        <v>0</v>
      </c>
      <c r="G9" s="242">
        <v>0</v>
      </c>
      <c r="H9" s="241">
        <v>0</v>
      </c>
      <c r="I9" s="241">
        <v>0</v>
      </c>
      <c r="J9" s="242">
        <v>0</v>
      </c>
      <c r="K9" s="241">
        <v>0</v>
      </c>
      <c r="L9" s="241">
        <v>0</v>
      </c>
      <c r="M9" s="242">
        <v>0</v>
      </c>
      <c r="N9" s="241">
        <v>0</v>
      </c>
      <c r="O9" s="241">
        <v>0</v>
      </c>
      <c r="P9" s="242">
        <v>0</v>
      </c>
      <c r="Q9" s="293">
        <f t="shared" si="0"/>
        <v>15.298999999999999</v>
      </c>
      <c r="R9" s="293">
        <f t="shared" si="1"/>
        <v>0</v>
      </c>
      <c r="S9" s="293">
        <f t="shared" si="2"/>
        <v>15.298999999999999</v>
      </c>
    </row>
    <row r="10" spans="1:19" x14ac:dyDescent="0.2">
      <c r="A10" s="84" t="s">
        <v>351</v>
      </c>
      <c r="B10" s="241">
        <v>38.107700000000001</v>
      </c>
      <c r="C10" s="241">
        <v>3.0009999999999999</v>
      </c>
      <c r="D10" s="242">
        <v>41.108699999999999</v>
      </c>
      <c r="E10" s="241">
        <v>48.509099999999997</v>
      </c>
      <c r="F10" s="241">
        <v>0</v>
      </c>
      <c r="G10" s="242">
        <v>48.509099999999997</v>
      </c>
      <c r="H10" s="241">
        <v>37.901899999999998</v>
      </c>
      <c r="I10" s="241">
        <v>0</v>
      </c>
      <c r="J10" s="242">
        <v>37.901899999999998</v>
      </c>
      <c r="K10" s="241">
        <v>0</v>
      </c>
      <c r="L10" s="241">
        <v>0</v>
      </c>
      <c r="M10" s="242">
        <v>0</v>
      </c>
      <c r="N10" s="241">
        <v>0</v>
      </c>
      <c r="O10" s="241">
        <v>0</v>
      </c>
      <c r="P10" s="242">
        <v>0</v>
      </c>
      <c r="Q10" s="293">
        <f t="shared" si="0"/>
        <v>124.5187</v>
      </c>
      <c r="R10" s="293">
        <f t="shared" si="1"/>
        <v>3.0009999999999999</v>
      </c>
      <c r="S10" s="293">
        <f t="shared" si="2"/>
        <v>127.5197</v>
      </c>
    </row>
    <row r="11" spans="1:19" x14ac:dyDescent="0.2">
      <c r="A11" s="84" t="s">
        <v>352</v>
      </c>
      <c r="B11" s="241">
        <v>6.7035999999999998</v>
      </c>
      <c r="C11" s="241">
        <v>967.24800000000005</v>
      </c>
      <c r="D11" s="242">
        <v>973.952</v>
      </c>
      <c r="E11" s="241">
        <v>71.508399999999995</v>
      </c>
      <c r="F11" s="241">
        <v>46.766100000000002</v>
      </c>
      <c r="G11" s="242">
        <v>118.27500000000001</v>
      </c>
      <c r="H11" s="241">
        <v>0.29849999999999999</v>
      </c>
      <c r="I11" s="241">
        <v>1.994</v>
      </c>
      <c r="J11" s="242">
        <v>2.2924000000000002</v>
      </c>
      <c r="K11" s="241">
        <v>0.28939999999999999</v>
      </c>
      <c r="L11" s="241">
        <v>83.349599999999995</v>
      </c>
      <c r="M11" s="242">
        <v>83.638900000000007</v>
      </c>
      <c r="N11" s="241">
        <v>0</v>
      </c>
      <c r="O11" s="241">
        <v>0</v>
      </c>
      <c r="P11" s="242">
        <v>0</v>
      </c>
      <c r="Q11" s="293">
        <f t="shared" si="0"/>
        <v>78.799899999999994</v>
      </c>
      <c r="R11" s="293">
        <f t="shared" si="1"/>
        <v>1099.3577</v>
      </c>
      <c r="S11" s="293">
        <f t="shared" si="2"/>
        <v>1178.1576</v>
      </c>
    </row>
    <row r="12" spans="1:19" x14ac:dyDescent="0.2">
      <c r="A12" s="84" t="s">
        <v>353</v>
      </c>
      <c r="B12" s="241">
        <v>60.501600000000003</v>
      </c>
      <c r="C12" s="241">
        <v>1821.69</v>
      </c>
      <c r="D12" s="242">
        <v>1882.19</v>
      </c>
      <c r="E12" s="241">
        <v>157.86699999999999</v>
      </c>
      <c r="F12" s="241">
        <v>1456.75</v>
      </c>
      <c r="G12" s="242">
        <v>1614.62</v>
      </c>
      <c r="H12" s="241">
        <v>30.6889</v>
      </c>
      <c r="I12" s="241">
        <v>163.21600000000001</v>
      </c>
      <c r="J12" s="242">
        <v>193.905</v>
      </c>
      <c r="K12" s="241">
        <v>0.17660000000000001</v>
      </c>
      <c r="L12" s="241">
        <v>28.1173</v>
      </c>
      <c r="M12" s="242">
        <v>28.294</v>
      </c>
      <c r="N12" s="241">
        <v>0</v>
      </c>
      <c r="O12" s="241">
        <v>0</v>
      </c>
      <c r="P12" s="242">
        <v>0</v>
      </c>
      <c r="Q12" s="293">
        <f t="shared" si="0"/>
        <v>249.23409999999998</v>
      </c>
      <c r="R12" s="293">
        <f t="shared" si="1"/>
        <v>3469.7732999999998</v>
      </c>
      <c r="S12" s="293">
        <f t="shared" si="2"/>
        <v>3719.0074</v>
      </c>
    </row>
    <row r="13" spans="1:19" x14ac:dyDescent="0.2">
      <c r="A13" s="84" t="s">
        <v>354</v>
      </c>
      <c r="B13" s="241">
        <v>48.699300000000001</v>
      </c>
      <c r="C13" s="241">
        <v>0</v>
      </c>
      <c r="D13" s="242">
        <v>48.699300000000001</v>
      </c>
      <c r="E13" s="241">
        <v>32.758000000000003</v>
      </c>
      <c r="F13" s="241">
        <v>0</v>
      </c>
      <c r="G13" s="242">
        <v>32.758000000000003</v>
      </c>
      <c r="H13" s="241">
        <v>0</v>
      </c>
      <c r="I13" s="241">
        <v>0</v>
      </c>
      <c r="J13" s="242">
        <v>0</v>
      </c>
      <c r="K13" s="241">
        <v>0.156</v>
      </c>
      <c r="L13" s="241">
        <v>0</v>
      </c>
      <c r="M13" s="242">
        <v>0.156</v>
      </c>
      <c r="N13" s="241">
        <v>0</v>
      </c>
      <c r="O13" s="241">
        <v>0</v>
      </c>
      <c r="P13" s="242">
        <v>0</v>
      </c>
      <c r="Q13" s="293">
        <f t="shared" si="0"/>
        <v>81.61330000000001</v>
      </c>
      <c r="R13" s="293">
        <f t="shared" si="1"/>
        <v>0</v>
      </c>
      <c r="S13" s="293">
        <f t="shared" si="2"/>
        <v>81.61330000000001</v>
      </c>
    </row>
    <row r="14" spans="1:19" x14ac:dyDescent="0.2">
      <c r="A14" s="84" t="s">
        <v>355</v>
      </c>
      <c r="B14" s="241">
        <v>3</v>
      </c>
      <c r="C14" s="241">
        <v>0</v>
      </c>
      <c r="D14" s="242">
        <v>3</v>
      </c>
      <c r="E14" s="241">
        <v>89.435000000000002</v>
      </c>
      <c r="F14" s="241">
        <v>0</v>
      </c>
      <c r="G14" s="242">
        <v>89.435000000000002</v>
      </c>
      <c r="H14" s="241">
        <v>0</v>
      </c>
      <c r="I14" s="241">
        <v>0</v>
      </c>
      <c r="J14" s="242">
        <v>0</v>
      </c>
      <c r="K14" s="241">
        <v>2.1899999999999999E-2</v>
      </c>
      <c r="L14" s="241">
        <v>0.55589999999999995</v>
      </c>
      <c r="M14" s="242">
        <v>0.57769999999999999</v>
      </c>
      <c r="N14" s="241">
        <v>0</v>
      </c>
      <c r="O14" s="241">
        <v>0</v>
      </c>
      <c r="P14" s="242">
        <v>0</v>
      </c>
      <c r="Q14" s="293">
        <f t="shared" si="0"/>
        <v>92.456900000000005</v>
      </c>
      <c r="R14" s="293">
        <f t="shared" si="1"/>
        <v>0.55589999999999995</v>
      </c>
      <c r="S14" s="293">
        <f t="shared" si="2"/>
        <v>93.012799999999999</v>
      </c>
    </row>
    <row r="15" spans="1:19" x14ac:dyDescent="0.2">
      <c r="A15" s="84" t="s">
        <v>356</v>
      </c>
      <c r="B15" s="241">
        <v>4.6893000000000002</v>
      </c>
      <c r="C15" s="241">
        <v>523.82799999999997</v>
      </c>
      <c r="D15" s="242">
        <v>528.51700000000005</v>
      </c>
      <c r="E15" s="241">
        <v>0</v>
      </c>
      <c r="F15" s="241">
        <v>0</v>
      </c>
      <c r="G15" s="242">
        <v>0</v>
      </c>
      <c r="H15" s="241">
        <v>0.53100000000000003</v>
      </c>
      <c r="I15" s="241">
        <v>0</v>
      </c>
      <c r="J15" s="242">
        <v>0.53100000000000003</v>
      </c>
      <c r="K15" s="241">
        <v>0.58889999999999998</v>
      </c>
      <c r="L15" s="241">
        <v>0</v>
      </c>
      <c r="M15" s="242">
        <v>0.58889999999999998</v>
      </c>
      <c r="N15" s="241">
        <v>0</v>
      </c>
      <c r="O15" s="241">
        <v>0</v>
      </c>
      <c r="P15" s="242">
        <v>0</v>
      </c>
      <c r="Q15" s="293">
        <f t="shared" si="0"/>
        <v>5.8091999999999997</v>
      </c>
      <c r="R15" s="293">
        <f t="shared" si="1"/>
        <v>523.82799999999997</v>
      </c>
      <c r="S15" s="293">
        <f t="shared" si="2"/>
        <v>529.63720000000001</v>
      </c>
    </row>
    <row r="16" spans="1:19" x14ac:dyDescent="0.2">
      <c r="A16" s="84" t="s">
        <v>357</v>
      </c>
      <c r="B16" s="241">
        <v>8.3398000000000003</v>
      </c>
      <c r="C16" s="241">
        <v>0</v>
      </c>
      <c r="D16" s="242">
        <v>8.3398000000000003</v>
      </c>
      <c r="E16" s="241">
        <v>87.674999999999997</v>
      </c>
      <c r="F16" s="241">
        <v>11.2469</v>
      </c>
      <c r="G16" s="242">
        <v>98.921800000000005</v>
      </c>
      <c r="H16" s="241">
        <v>28.378</v>
      </c>
      <c r="I16" s="241">
        <v>0.71799999999999997</v>
      </c>
      <c r="J16" s="242">
        <v>29.096</v>
      </c>
      <c r="K16" s="241">
        <v>0</v>
      </c>
      <c r="L16" s="241">
        <v>0</v>
      </c>
      <c r="M16" s="242">
        <v>0</v>
      </c>
      <c r="N16" s="241">
        <v>0</v>
      </c>
      <c r="O16" s="241">
        <v>0</v>
      </c>
      <c r="P16" s="242">
        <v>0</v>
      </c>
      <c r="Q16" s="293">
        <f t="shared" si="0"/>
        <v>124.39279999999999</v>
      </c>
      <c r="R16" s="293">
        <f t="shared" si="1"/>
        <v>11.9649</v>
      </c>
      <c r="S16" s="293">
        <f t="shared" si="2"/>
        <v>136.35769999999999</v>
      </c>
    </row>
    <row r="17" spans="1:19" x14ac:dyDescent="0.2">
      <c r="A17" s="84" t="s">
        <v>358</v>
      </c>
      <c r="B17" s="241">
        <v>7.6494999999999997</v>
      </c>
      <c r="C17" s="241">
        <v>10.991300000000001</v>
      </c>
      <c r="D17" s="242">
        <v>18.640799999999999</v>
      </c>
      <c r="E17" s="241">
        <v>12.4063</v>
      </c>
      <c r="F17" s="241">
        <v>0</v>
      </c>
      <c r="G17" s="242">
        <v>12.4063</v>
      </c>
      <c r="H17" s="241">
        <v>0.1235</v>
      </c>
      <c r="I17" s="241">
        <v>4.8895999999999997</v>
      </c>
      <c r="J17" s="242">
        <v>5.0132000000000003</v>
      </c>
      <c r="K17" s="241">
        <v>0</v>
      </c>
      <c r="L17" s="241">
        <v>0</v>
      </c>
      <c r="M17" s="242">
        <v>0</v>
      </c>
      <c r="N17" s="241">
        <v>0</v>
      </c>
      <c r="O17" s="241">
        <v>0</v>
      </c>
      <c r="P17" s="242">
        <v>0</v>
      </c>
      <c r="Q17" s="293">
        <f t="shared" si="0"/>
        <v>20.179299999999998</v>
      </c>
      <c r="R17" s="293">
        <f t="shared" si="1"/>
        <v>15.8809</v>
      </c>
      <c r="S17" s="293">
        <f t="shared" si="2"/>
        <v>36.060199999999995</v>
      </c>
    </row>
    <row r="18" spans="1:19" x14ac:dyDescent="0.2">
      <c r="A18" s="6" t="s">
        <v>862</v>
      </c>
      <c r="B18" s="241">
        <v>0</v>
      </c>
      <c r="C18" s="241">
        <v>13.220800000000001</v>
      </c>
      <c r="D18" s="242">
        <v>13.220800000000001</v>
      </c>
      <c r="E18" s="241">
        <v>0</v>
      </c>
      <c r="F18" s="241">
        <v>0</v>
      </c>
      <c r="G18" s="242">
        <v>0</v>
      </c>
      <c r="H18" s="241">
        <v>0</v>
      </c>
      <c r="I18" s="241">
        <v>0</v>
      </c>
      <c r="J18" s="242">
        <v>0</v>
      </c>
      <c r="K18" s="241">
        <v>0</v>
      </c>
      <c r="L18" s="241">
        <v>0</v>
      </c>
      <c r="M18" s="242">
        <v>0</v>
      </c>
      <c r="N18" s="241">
        <v>0</v>
      </c>
      <c r="O18" s="241">
        <v>0</v>
      </c>
      <c r="P18" s="242">
        <v>0</v>
      </c>
      <c r="Q18" s="293">
        <f t="shared" ref="Q18" si="3">SUM(B18,E18,H18,K18,N18)</f>
        <v>0</v>
      </c>
      <c r="R18" s="293">
        <f t="shared" ref="R18" si="4">SUM(C18,F18,I18,L18,O18)</f>
        <v>13.220800000000001</v>
      </c>
      <c r="S18" s="293">
        <f t="shared" ref="S18" si="5">Q18+R18</f>
        <v>13.220800000000001</v>
      </c>
    </row>
    <row r="19" spans="1:19" x14ac:dyDescent="0.2">
      <c r="A19" s="84" t="s">
        <v>359</v>
      </c>
      <c r="B19" s="241">
        <v>1053.55</v>
      </c>
      <c r="C19" s="241">
        <v>6238.66</v>
      </c>
      <c r="D19" s="242">
        <v>7292.21</v>
      </c>
      <c r="E19" s="241">
        <v>58.804000000000002</v>
      </c>
      <c r="F19" s="241">
        <v>1408.19</v>
      </c>
      <c r="G19" s="242">
        <v>1467</v>
      </c>
      <c r="H19" s="241">
        <v>3.0741999999999998</v>
      </c>
      <c r="I19" s="241">
        <v>1.0443</v>
      </c>
      <c r="J19" s="242">
        <v>4.1184000000000003</v>
      </c>
      <c r="K19" s="241">
        <v>573.01</v>
      </c>
      <c r="L19" s="241">
        <v>854.99900000000002</v>
      </c>
      <c r="M19" s="242">
        <v>1428.01</v>
      </c>
      <c r="N19" s="241">
        <v>0</v>
      </c>
      <c r="O19" s="241">
        <v>0</v>
      </c>
      <c r="P19" s="242">
        <v>0</v>
      </c>
      <c r="Q19" s="293">
        <f t="shared" si="0"/>
        <v>1688.4382000000001</v>
      </c>
      <c r="R19" s="293">
        <f t="shared" si="1"/>
        <v>8502.8932999999997</v>
      </c>
      <c r="S19" s="293">
        <f t="shared" si="2"/>
        <v>10191.3315</v>
      </c>
    </row>
    <row r="20" spans="1:19" x14ac:dyDescent="0.2">
      <c r="A20" s="84" t="s">
        <v>360</v>
      </c>
      <c r="B20" s="241">
        <v>45.529499999999999</v>
      </c>
      <c r="C20" s="241">
        <v>78.576899999999995</v>
      </c>
      <c r="D20" s="242">
        <v>124.10599999999999</v>
      </c>
      <c r="E20" s="241">
        <v>3.8731</v>
      </c>
      <c r="F20" s="241">
        <v>270.36799999999999</v>
      </c>
      <c r="G20" s="242">
        <v>274.24099999999999</v>
      </c>
      <c r="H20" s="241">
        <v>0.28370000000000001</v>
      </c>
      <c r="I20" s="241">
        <v>4.82E-2</v>
      </c>
      <c r="J20" s="242">
        <v>0.33189999999999997</v>
      </c>
      <c r="K20" s="241">
        <v>7.2300000000000003E-2</v>
      </c>
      <c r="L20" s="241">
        <v>0</v>
      </c>
      <c r="M20" s="242">
        <v>7.2300000000000003E-2</v>
      </c>
      <c r="N20" s="241">
        <v>0</v>
      </c>
      <c r="O20" s="241">
        <v>0</v>
      </c>
      <c r="P20" s="242">
        <v>0</v>
      </c>
      <c r="Q20" s="293">
        <f t="shared" si="0"/>
        <v>49.758600000000001</v>
      </c>
      <c r="R20" s="293">
        <f t="shared" si="1"/>
        <v>348.99309999999997</v>
      </c>
      <c r="S20" s="293">
        <f t="shared" si="2"/>
        <v>398.75169999999997</v>
      </c>
    </row>
    <row r="21" spans="1:19" x14ac:dyDescent="0.2">
      <c r="A21" s="84" t="s">
        <v>361</v>
      </c>
      <c r="B21" s="241">
        <v>40.755000000000003</v>
      </c>
      <c r="C21" s="241">
        <v>182.899</v>
      </c>
      <c r="D21" s="242">
        <v>223.654</v>
      </c>
      <c r="E21" s="241">
        <v>25.9864</v>
      </c>
      <c r="F21" s="241">
        <v>96.987899999999996</v>
      </c>
      <c r="G21" s="242">
        <v>122.974</v>
      </c>
      <c r="H21" s="241">
        <v>0</v>
      </c>
      <c r="I21" s="241">
        <v>0</v>
      </c>
      <c r="J21" s="242">
        <v>0</v>
      </c>
      <c r="K21" s="241">
        <v>1.3585</v>
      </c>
      <c r="L21" s="241">
        <v>0</v>
      </c>
      <c r="M21" s="242">
        <v>1.3585</v>
      </c>
      <c r="N21" s="241">
        <v>0</v>
      </c>
      <c r="O21" s="241">
        <v>0</v>
      </c>
      <c r="P21" s="242">
        <v>0</v>
      </c>
      <c r="Q21" s="293">
        <f t="shared" si="0"/>
        <v>68.099900000000005</v>
      </c>
      <c r="R21" s="293">
        <f t="shared" si="1"/>
        <v>279.88689999999997</v>
      </c>
      <c r="S21" s="293">
        <f t="shared" si="2"/>
        <v>347.98679999999996</v>
      </c>
    </row>
    <row r="22" spans="1:19" x14ac:dyDescent="0.2">
      <c r="A22" s="84" t="s">
        <v>362</v>
      </c>
      <c r="B22" s="241">
        <v>0</v>
      </c>
      <c r="C22" s="241">
        <v>0</v>
      </c>
      <c r="D22" s="242">
        <v>0</v>
      </c>
      <c r="E22" s="241">
        <v>16.465699999999998</v>
      </c>
      <c r="F22" s="241">
        <v>0</v>
      </c>
      <c r="G22" s="242">
        <v>16.465699999999998</v>
      </c>
      <c r="H22" s="241">
        <v>0</v>
      </c>
      <c r="I22" s="241">
        <v>0.64790000000000003</v>
      </c>
      <c r="J22" s="242">
        <v>0.64790000000000003</v>
      </c>
      <c r="K22" s="241">
        <v>0</v>
      </c>
      <c r="L22" s="241">
        <v>0</v>
      </c>
      <c r="M22" s="242">
        <v>0</v>
      </c>
      <c r="N22" s="241">
        <v>0</v>
      </c>
      <c r="O22" s="241">
        <v>0</v>
      </c>
      <c r="P22" s="242">
        <v>0</v>
      </c>
      <c r="Q22" s="293">
        <f t="shared" si="0"/>
        <v>16.465699999999998</v>
      </c>
      <c r="R22" s="293">
        <f t="shared" si="1"/>
        <v>0.64790000000000003</v>
      </c>
      <c r="S22" s="293">
        <f t="shared" si="2"/>
        <v>17.113599999999998</v>
      </c>
    </row>
    <row r="23" spans="1:19" x14ac:dyDescent="0.2">
      <c r="A23" s="84" t="s">
        <v>363</v>
      </c>
      <c r="B23" s="241">
        <v>8.3956999999999997</v>
      </c>
      <c r="C23" s="241">
        <v>947.44399999999996</v>
      </c>
      <c r="D23" s="242">
        <v>955.84</v>
      </c>
      <c r="E23" s="241">
        <v>517.30499999999995</v>
      </c>
      <c r="F23" s="241">
        <v>299.267</v>
      </c>
      <c r="G23" s="242">
        <v>816.57299999999998</v>
      </c>
      <c r="H23" s="241">
        <v>34.522100000000002</v>
      </c>
      <c r="I23" s="241">
        <v>37.9863</v>
      </c>
      <c r="J23" s="242">
        <v>72.508399999999995</v>
      </c>
      <c r="K23" s="241">
        <v>80.971199999999996</v>
      </c>
      <c r="L23" s="241">
        <v>56.912300000000002</v>
      </c>
      <c r="M23" s="242">
        <v>137.88399999999999</v>
      </c>
      <c r="N23" s="241">
        <v>0</v>
      </c>
      <c r="O23" s="241">
        <v>0</v>
      </c>
      <c r="P23" s="242">
        <v>0</v>
      </c>
      <c r="Q23" s="293">
        <f t="shared" si="0"/>
        <v>641.19399999999996</v>
      </c>
      <c r="R23" s="293">
        <f t="shared" si="1"/>
        <v>1341.6096</v>
      </c>
      <c r="S23" s="293">
        <f t="shared" si="2"/>
        <v>1982.8036</v>
      </c>
    </row>
    <row r="24" spans="1:19" x14ac:dyDescent="0.2">
      <c r="A24" s="84" t="s">
        <v>364</v>
      </c>
      <c r="B24" s="241">
        <v>164.41</v>
      </c>
      <c r="C24" s="241">
        <v>179.40799999999999</v>
      </c>
      <c r="D24" s="242">
        <v>343.81700000000001</v>
      </c>
      <c r="E24" s="241">
        <v>3.7216</v>
      </c>
      <c r="F24" s="241">
        <v>1.1613</v>
      </c>
      <c r="G24" s="242">
        <v>4.8829000000000002</v>
      </c>
      <c r="H24" s="241">
        <v>35.471299999999999</v>
      </c>
      <c r="I24" s="241">
        <v>0</v>
      </c>
      <c r="J24" s="242">
        <v>35.471299999999999</v>
      </c>
      <c r="K24" s="241">
        <v>0</v>
      </c>
      <c r="L24" s="241">
        <v>0</v>
      </c>
      <c r="M24" s="242">
        <v>0</v>
      </c>
      <c r="N24" s="241">
        <v>0</v>
      </c>
      <c r="O24" s="241">
        <v>0</v>
      </c>
      <c r="P24" s="242">
        <v>0</v>
      </c>
      <c r="Q24" s="293">
        <f t="shared" si="0"/>
        <v>203.60289999999998</v>
      </c>
      <c r="R24" s="293">
        <f t="shared" si="1"/>
        <v>180.5693</v>
      </c>
      <c r="S24" s="293">
        <f t="shared" si="2"/>
        <v>384.17219999999998</v>
      </c>
    </row>
    <row r="25" spans="1:19" x14ac:dyDescent="0.2">
      <c r="A25" s="2" t="s">
        <v>408</v>
      </c>
      <c r="B25" s="242">
        <f t="shared" ref="B25:P25" si="6">SUM(B5:B24)</f>
        <v>2081.904</v>
      </c>
      <c r="C25" s="242">
        <f t="shared" si="6"/>
        <v>12987.746999999998</v>
      </c>
      <c r="D25" s="242">
        <f t="shared" si="6"/>
        <v>15069.648400000002</v>
      </c>
      <c r="E25" s="242">
        <f t="shared" si="6"/>
        <v>1187.8464999999999</v>
      </c>
      <c r="F25" s="242">
        <f t="shared" si="6"/>
        <v>3848.5488000000005</v>
      </c>
      <c r="G25" s="242">
        <f t="shared" si="6"/>
        <v>5036.4054999999998</v>
      </c>
      <c r="H25" s="242">
        <f t="shared" si="6"/>
        <v>187.40969999999999</v>
      </c>
      <c r="I25" s="242">
        <f t="shared" si="6"/>
        <v>255.57819999999998</v>
      </c>
      <c r="J25" s="242">
        <f t="shared" si="6"/>
        <v>442.98790000000002</v>
      </c>
      <c r="K25" s="242">
        <f t="shared" si="6"/>
        <v>874.72320000000002</v>
      </c>
      <c r="L25" s="242">
        <f t="shared" si="6"/>
        <v>1599.3312000000001</v>
      </c>
      <c r="M25" s="242">
        <f t="shared" si="6"/>
        <v>2474.0567999999994</v>
      </c>
      <c r="N25" s="242">
        <f t="shared" si="6"/>
        <v>0</v>
      </c>
      <c r="O25" s="242">
        <f t="shared" si="6"/>
        <v>0</v>
      </c>
      <c r="P25" s="242">
        <f t="shared" si="6"/>
        <v>0</v>
      </c>
      <c r="Q25" s="293">
        <f t="shared" si="0"/>
        <v>4331.8834000000006</v>
      </c>
      <c r="R25" s="293">
        <f t="shared" si="1"/>
        <v>18691.2052</v>
      </c>
      <c r="S25" s="242">
        <f>SUM(S5:S24)</f>
        <v>23023.088599999999</v>
      </c>
    </row>
    <row r="26" spans="1:19" ht="41.25" customHeight="1" x14ac:dyDescent="0.2">
      <c r="A26" s="2" t="s">
        <v>775</v>
      </c>
      <c r="B26" s="242">
        <v>0</v>
      </c>
      <c r="C26" s="242">
        <v>0</v>
      </c>
      <c r="D26" s="242">
        <v>0</v>
      </c>
      <c r="E26" s="242">
        <v>0</v>
      </c>
      <c r="F26" s="242">
        <v>0</v>
      </c>
      <c r="G26" s="242">
        <v>0</v>
      </c>
      <c r="H26" s="242">
        <v>0</v>
      </c>
      <c r="I26" s="242">
        <v>2.4731999999999998</v>
      </c>
      <c r="J26" s="242">
        <v>2.4731999999999998</v>
      </c>
      <c r="K26" s="242">
        <v>0</v>
      </c>
      <c r="L26" s="242">
        <v>0</v>
      </c>
      <c r="M26" s="242">
        <v>0</v>
      </c>
      <c r="N26" s="242">
        <v>0</v>
      </c>
      <c r="O26" s="242">
        <v>0</v>
      </c>
      <c r="P26" s="242">
        <v>0</v>
      </c>
      <c r="Q26" s="293">
        <f>SUM(B26,E26,H26,K26,N26)</f>
        <v>0</v>
      </c>
      <c r="R26" s="293">
        <f>SUM(C26,F26,I26,L26,O26)</f>
        <v>2.4731999999999998</v>
      </c>
      <c r="S26" s="293">
        <f t="shared" ref="S26:S69" si="7">Q26+R26</f>
        <v>2.4731999999999998</v>
      </c>
    </row>
    <row r="27" spans="1:19" ht="15.75" customHeight="1" x14ac:dyDescent="0.2">
      <c r="A27" s="84" t="s">
        <v>366</v>
      </c>
      <c r="B27" s="241">
        <v>10.050000000000001</v>
      </c>
      <c r="C27" s="241">
        <v>281.80799999999999</v>
      </c>
      <c r="D27" s="242">
        <v>291.858</v>
      </c>
      <c r="E27" s="241">
        <v>0</v>
      </c>
      <c r="F27" s="241">
        <v>0</v>
      </c>
      <c r="G27" s="242">
        <v>0</v>
      </c>
      <c r="H27" s="241">
        <v>0</v>
      </c>
      <c r="I27" s="241">
        <v>5.8900000000000001E-2</v>
      </c>
      <c r="J27" s="242">
        <v>5.8900000000000001E-2</v>
      </c>
      <c r="K27" s="241">
        <v>7.2599999999999998E-2</v>
      </c>
      <c r="L27" s="241">
        <v>0</v>
      </c>
      <c r="M27" s="242">
        <v>7.2599999999999998E-2</v>
      </c>
      <c r="N27" s="241">
        <v>0</v>
      </c>
      <c r="O27" s="241">
        <v>0</v>
      </c>
      <c r="P27" s="242">
        <v>0</v>
      </c>
      <c r="Q27" s="293">
        <f t="shared" si="0"/>
        <v>10.1226</v>
      </c>
      <c r="R27" s="293">
        <f t="shared" si="1"/>
        <v>281.86689999999999</v>
      </c>
      <c r="S27" s="293">
        <f t="shared" si="7"/>
        <v>291.98949999999996</v>
      </c>
    </row>
    <row r="28" spans="1:19" x14ac:dyDescent="0.2">
      <c r="A28" s="84" t="s">
        <v>367</v>
      </c>
      <c r="B28" s="241">
        <v>0</v>
      </c>
      <c r="C28" s="241">
        <v>0</v>
      </c>
      <c r="D28" s="242">
        <v>0</v>
      </c>
      <c r="E28" s="241">
        <v>0</v>
      </c>
      <c r="F28" s="241">
        <v>0</v>
      </c>
      <c r="G28" s="242">
        <v>0</v>
      </c>
      <c r="H28" s="241">
        <v>0</v>
      </c>
      <c r="I28" s="241">
        <v>0</v>
      </c>
      <c r="J28" s="242">
        <v>0</v>
      </c>
      <c r="K28" s="241">
        <v>4.9299999999999997E-2</v>
      </c>
      <c r="L28" s="241">
        <v>0</v>
      </c>
      <c r="M28" s="242">
        <v>4.9299999999999997E-2</v>
      </c>
      <c r="N28" s="241">
        <v>0</v>
      </c>
      <c r="O28" s="241">
        <v>0</v>
      </c>
      <c r="P28" s="242">
        <v>0</v>
      </c>
      <c r="Q28" s="293">
        <f t="shared" si="0"/>
        <v>4.9299999999999997E-2</v>
      </c>
      <c r="R28" s="293">
        <f t="shared" si="1"/>
        <v>0</v>
      </c>
      <c r="S28" s="293">
        <f t="shared" si="7"/>
        <v>4.9299999999999997E-2</v>
      </c>
    </row>
    <row r="29" spans="1:19" x14ac:dyDescent="0.2">
      <c r="A29" s="84" t="s">
        <v>368</v>
      </c>
      <c r="B29" s="241">
        <v>15.484400000000001</v>
      </c>
      <c r="C29" s="241">
        <v>0</v>
      </c>
      <c r="D29" s="242">
        <v>15.484400000000001</v>
      </c>
      <c r="E29" s="241">
        <v>5.3718000000000004</v>
      </c>
      <c r="F29" s="241">
        <v>0</v>
      </c>
      <c r="G29" s="242">
        <v>5.3718000000000004</v>
      </c>
      <c r="H29" s="241">
        <v>0</v>
      </c>
      <c r="I29" s="241">
        <v>30.196899999999999</v>
      </c>
      <c r="J29" s="242">
        <v>30.196899999999999</v>
      </c>
      <c r="K29" s="241">
        <v>0</v>
      </c>
      <c r="L29" s="241">
        <v>0</v>
      </c>
      <c r="M29" s="242">
        <v>0</v>
      </c>
      <c r="N29" s="241">
        <v>0</v>
      </c>
      <c r="O29" s="241">
        <v>0</v>
      </c>
      <c r="P29" s="242">
        <v>0</v>
      </c>
      <c r="Q29" s="293">
        <f t="shared" si="0"/>
        <v>20.856200000000001</v>
      </c>
      <c r="R29" s="293">
        <f t="shared" si="1"/>
        <v>30.196899999999999</v>
      </c>
      <c r="S29" s="293">
        <f t="shared" si="7"/>
        <v>51.053100000000001</v>
      </c>
    </row>
    <row r="30" spans="1:19" x14ac:dyDescent="0.2">
      <c r="A30" s="84" t="s">
        <v>369</v>
      </c>
      <c r="B30" s="241">
        <v>0</v>
      </c>
      <c r="C30" s="241">
        <v>0</v>
      </c>
      <c r="D30" s="242">
        <v>0</v>
      </c>
      <c r="E30" s="241">
        <v>0</v>
      </c>
      <c r="F30" s="241">
        <v>0</v>
      </c>
      <c r="G30" s="242">
        <v>0</v>
      </c>
      <c r="H30" s="241">
        <v>0</v>
      </c>
      <c r="I30" s="241">
        <v>0</v>
      </c>
      <c r="J30" s="242">
        <v>0</v>
      </c>
      <c r="K30" s="241">
        <v>0.75919999999999999</v>
      </c>
      <c r="L30" s="241">
        <v>0</v>
      </c>
      <c r="M30" s="242">
        <v>0.75919999999999999</v>
      </c>
      <c r="N30" s="241">
        <v>0</v>
      </c>
      <c r="O30" s="241">
        <v>0</v>
      </c>
      <c r="P30" s="242">
        <v>0</v>
      </c>
      <c r="Q30" s="293">
        <f t="shared" si="0"/>
        <v>0.75919999999999999</v>
      </c>
      <c r="R30" s="293">
        <f t="shared" si="1"/>
        <v>0</v>
      </c>
      <c r="S30" s="293">
        <f t="shared" si="7"/>
        <v>0.75919999999999999</v>
      </c>
    </row>
    <row r="31" spans="1:19" x14ac:dyDescent="0.2">
      <c r="A31" s="84" t="s">
        <v>370</v>
      </c>
      <c r="B31" s="241">
        <v>0</v>
      </c>
      <c r="C31" s="241">
        <v>12.591200000000001</v>
      </c>
      <c r="D31" s="242">
        <v>12.591200000000001</v>
      </c>
      <c r="E31" s="241">
        <v>35.406199999999998</v>
      </c>
      <c r="F31" s="241">
        <v>0</v>
      </c>
      <c r="G31" s="242">
        <v>35.406199999999998</v>
      </c>
      <c r="H31" s="241">
        <v>0</v>
      </c>
      <c r="I31" s="241">
        <v>0</v>
      </c>
      <c r="J31" s="242">
        <v>0</v>
      </c>
      <c r="K31" s="241">
        <v>6.7100000000000007E-2</v>
      </c>
      <c r="L31" s="241">
        <v>0</v>
      </c>
      <c r="M31" s="242">
        <v>6.7100000000000007E-2</v>
      </c>
      <c r="N31" s="241">
        <v>0</v>
      </c>
      <c r="O31" s="241">
        <v>0</v>
      </c>
      <c r="P31" s="242">
        <v>0</v>
      </c>
      <c r="Q31" s="293">
        <f t="shared" si="0"/>
        <v>35.473300000000002</v>
      </c>
      <c r="R31" s="293">
        <f t="shared" si="1"/>
        <v>12.591200000000001</v>
      </c>
      <c r="S31" s="293">
        <f t="shared" si="7"/>
        <v>48.064500000000002</v>
      </c>
    </row>
    <row r="32" spans="1:19" x14ac:dyDescent="0.2">
      <c r="A32" s="84" t="s">
        <v>371</v>
      </c>
      <c r="B32" s="241">
        <v>1779.67</v>
      </c>
      <c r="C32" s="241">
        <v>382.88299999999998</v>
      </c>
      <c r="D32" s="242">
        <v>2162.56</v>
      </c>
      <c r="E32" s="241">
        <v>203.89400000000001</v>
      </c>
      <c r="F32" s="241">
        <v>16.2013</v>
      </c>
      <c r="G32" s="242">
        <v>220.095</v>
      </c>
      <c r="H32" s="241">
        <v>34.764099999999999</v>
      </c>
      <c r="I32" s="241">
        <v>109.983</v>
      </c>
      <c r="J32" s="242">
        <v>144.74700000000001</v>
      </c>
      <c r="K32" s="241">
        <v>2.1113</v>
      </c>
      <c r="L32" s="241">
        <v>16.114599999999999</v>
      </c>
      <c r="M32" s="242">
        <v>18.225899999999999</v>
      </c>
      <c r="N32" s="241">
        <v>14.106999999999999</v>
      </c>
      <c r="O32" s="241">
        <v>17.164999999999999</v>
      </c>
      <c r="P32" s="242">
        <v>31.271999999999998</v>
      </c>
      <c r="Q32" s="293">
        <f t="shared" si="0"/>
        <v>2034.5464000000002</v>
      </c>
      <c r="R32" s="293">
        <f t="shared" si="1"/>
        <v>542.34690000000001</v>
      </c>
      <c r="S32" s="293">
        <f t="shared" si="7"/>
        <v>2576.8933000000002</v>
      </c>
    </row>
    <row r="33" spans="1:19" x14ac:dyDescent="0.2">
      <c r="A33" s="84" t="s">
        <v>372</v>
      </c>
      <c r="B33" s="241">
        <v>986.27200000000005</v>
      </c>
      <c r="C33" s="241">
        <v>166.99700000000001</v>
      </c>
      <c r="D33" s="242">
        <v>1153.27</v>
      </c>
      <c r="E33" s="241">
        <v>23.619399999999999</v>
      </c>
      <c r="F33" s="241">
        <v>0</v>
      </c>
      <c r="G33" s="242">
        <v>23.619399999999999</v>
      </c>
      <c r="H33" s="241">
        <v>7.3829000000000002</v>
      </c>
      <c r="I33" s="241">
        <v>0.21970000000000001</v>
      </c>
      <c r="J33" s="242">
        <v>7.6025</v>
      </c>
      <c r="K33" s="241">
        <v>0.40479999999999999</v>
      </c>
      <c r="L33" s="241">
        <v>0</v>
      </c>
      <c r="M33" s="242">
        <v>0.40479999999999999</v>
      </c>
      <c r="N33" s="241">
        <v>0</v>
      </c>
      <c r="O33" s="241">
        <v>0</v>
      </c>
      <c r="P33" s="242">
        <v>0</v>
      </c>
      <c r="Q33" s="293">
        <f t="shared" si="0"/>
        <v>1017.6791000000001</v>
      </c>
      <c r="R33" s="293">
        <f t="shared" si="1"/>
        <v>167.2167</v>
      </c>
      <c r="S33" s="293">
        <f t="shared" si="7"/>
        <v>1184.8958</v>
      </c>
    </row>
    <row r="34" spans="1:19" x14ac:dyDescent="0.2">
      <c r="A34" s="84" t="s">
        <v>373</v>
      </c>
      <c r="B34" s="241">
        <v>0</v>
      </c>
      <c r="C34" s="241">
        <v>0</v>
      </c>
      <c r="D34" s="242">
        <v>0</v>
      </c>
      <c r="E34" s="241">
        <v>19.3246</v>
      </c>
      <c r="F34" s="241">
        <v>0</v>
      </c>
      <c r="G34" s="242">
        <v>19.3246</v>
      </c>
      <c r="H34" s="241">
        <v>0</v>
      </c>
      <c r="I34" s="241">
        <v>0</v>
      </c>
      <c r="J34" s="242">
        <v>0</v>
      </c>
      <c r="K34" s="241">
        <v>0</v>
      </c>
      <c r="L34" s="241">
        <v>0</v>
      </c>
      <c r="M34" s="242">
        <v>0</v>
      </c>
      <c r="N34" s="241">
        <v>0</v>
      </c>
      <c r="O34" s="241">
        <v>0</v>
      </c>
      <c r="P34" s="242">
        <v>0</v>
      </c>
      <c r="Q34" s="293">
        <f t="shared" si="0"/>
        <v>19.3246</v>
      </c>
      <c r="R34" s="293">
        <f t="shared" si="1"/>
        <v>0</v>
      </c>
      <c r="S34" s="293">
        <f t="shared" si="7"/>
        <v>19.3246</v>
      </c>
    </row>
    <row r="35" spans="1:19" x14ac:dyDescent="0.2">
      <c r="A35" s="84" t="s">
        <v>374</v>
      </c>
      <c r="B35" s="241">
        <v>0</v>
      </c>
      <c r="C35" s="241">
        <v>13.620200000000001</v>
      </c>
      <c r="D35" s="242">
        <v>13.620200000000001</v>
      </c>
      <c r="E35" s="241">
        <v>4.4234</v>
      </c>
      <c r="F35" s="241">
        <v>0</v>
      </c>
      <c r="G35" s="242">
        <v>4.4234</v>
      </c>
      <c r="H35" s="241">
        <v>65.711500000000001</v>
      </c>
      <c r="I35" s="241">
        <v>1.0944</v>
      </c>
      <c r="J35" s="242">
        <v>66.805899999999994</v>
      </c>
      <c r="K35" s="241">
        <v>3.3264999999999998</v>
      </c>
      <c r="L35" s="241">
        <v>0</v>
      </c>
      <c r="M35" s="242">
        <v>3.3264999999999998</v>
      </c>
      <c r="N35" s="241">
        <v>0</v>
      </c>
      <c r="O35" s="241">
        <v>0</v>
      </c>
      <c r="P35" s="242">
        <v>0</v>
      </c>
      <c r="Q35" s="293">
        <f t="shared" si="0"/>
        <v>73.461399999999998</v>
      </c>
      <c r="R35" s="293">
        <f t="shared" si="1"/>
        <v>14.714600000000001</v>
      </c>
      <c r="S35" s="293">
        <f t="shared" si="7"/>
        <v>88.176000000000002</v>
      </c>
    </row>
    <row r="36" spans="1:19" x14ac:dyDescent="0.2">
      <c r="A36" s="84" t="s">
        <v>375</v>
      </c>
      <c r="B36" s="241">
        <v>0</v>
      </c>
      <c r="C36" s="241">
        <v>0</v>
      </c>
      <c r="D36" s="242">
        <v>0</v>
      </c>
      <c r="E36" s="241">
        <v>133.179</v>
      </c>
      <c r="F36" s="241">
        <v>0</v>
      </c>
      <c r="G36" s="242">
        <v>133.179</v>
      </c>
      <c r="H36" s="241">
        <v>0</v>
      </c>
      <c r="I36" s="241">
        <v>0</v>
      </c>
      <c r="J36" s="242">
        <v>0</v>
      </c>
      <c r="K36" s="241">
        <v>0.38200000000000001</v>
      </c>
      <c r="L36" s="241">
        <v>0</v>
      </c>
      <c r="M36" s="242">
        <v>0.38200000000000001</v>
      </c>
      <c r="N36" s="241">
        <v>0</v>
      </c>
      <c r="O36" s="241">
        <v>0</v>
      </c>
      <c r="P36" s="242">
        <v>0</v>
      </c>
      <c r="Q36" s="293">
        <f t="shared" si="0"/>
        <v>133.56100000000001</v>
      </c>
      <c r="R36" s="293">
        <f t="shared" si="1"/>
        <v>0</v>
      </c>
      <c r="S36" s="293">
        <f t="shared" si="7"/>
        <v>133.56100000000001</v>
      </c>
    </row>
    <row r="37" spans="1:19" x14ac:dyDescent="0.2">
      <c r="A37" s="2" t="s">
        <v>365</v>
      </c>
      <c r="B37" s="242">
        <f>SUM(B27:B36)</f>
        <v>2791.4764</v>
      </c>
      <c r="C37" s="242">
        <f>SUM(C27:C36)</f>
        <v>857.8993999999999</v>
      </c>
      <c r="D37" s="242">
        <f>SUM(D26:D36)</f>
        <v>3649.3837999999996</v>
      </c>
      <c r="E37" s="242">
        <f t="shared" ref="E37:P37" si="8">SUM(E26:E36)</f>
        <v>425.21839999999997</v>
      </c>
      <c r="F37" s="242">
        <f t="shared" si="8"/>
        <v>16.2013</v>
      </c>
      <c r="G37" s="242">
        <f t="shared" si="8"/>
        <v>441.4194</v>
      </c>
      <c r="H37" s="242">
        <f t="shared" si="8"/>
        <v>107.85849999999999</v>
      </c>
      <c r="I37" s="242">
        <f t="shared" si="8"/>
        <v>144.02609999999999</v>
      </c>
      <c r="J37" s="242">
        <f t="shared" si="8"/>
        <v>251.88439999999997</v>
      </c>
      <c r="K37" s="242">
        <f t="shared" si="8"/>
        <v>7.1727999999999987</v>
      </c>
      <c r="L37" s="242">
        <f t="shared" si="8"/>
        <v>16.114599999999999</v>
      </c>
      <c r="M37" s="242">
        <f t="shared" si="8"/>
        <v>23.287400000000002</v>
      </c>
      <c r="N37" s="242">
        <f t="shared" si="8"/>
        <v>14.106999999999999</v>
      </c>
      <c r="O37" s="242">
        <f t="shared" si="8"/>
        <v>17.164999999999999</v>
      </c>
      <c r="P37" s="242">
        <f t="shared" si="8"/>
        <v>31.271999999999998</v>
      </c>
      <c r="Q37" s="293">
        <f t="shared" si="0"/>
        <v>3345.8330999999998</v>
      </c>
      <c r="R37" s="293">
        <f t="shared" si="1"/>
        <v>1051.4063999999998</v>
      </c>
      <c r="S37" s="293">
        <f t="shared" si="7"/>
        <v>4397.2394999999997</v>
      </c>
    </row>
    <row r="38" spans="1:19" ht="48.75" customHeight="1" x14ac:dyDescent="0.2">
      <c r="A38" s="2" t="s">
        <v>376</v>
      </c>
      <c r="B38" s="241">
        <v>0</v>
      </c>
      <c r="C38" s="241">
        <v>0</v>
      </c>
      <c r="D38" s="242">
        <v>0</v>
      </c>
      <c r="E38" s="241">
        <v>0</v>
      </c>
      <c r="F38" s="241">
        <v>0</v>
      </c>
      <c r="G38" s="242">
        <v>0</v>
      </c>
      <c r="H38" s="241">
        <v>0</v>
      </c>
      <c r="I38" s="241">
        <v>8.0299999999999996E-2</v>
      </c>
      <c r="J38" s="242">
        <v>8.0299999999999996E-2</v>
      </c>
      <c r="K38" s="241">
        <v>0</v>
      </c>
      <c r="L38" s="241">
        <v>0</v>
      </c>
      <c r="M38" s="242">
        <v>0</v>
      </c>
      <c r="N38" s="241">
        <v>0</v>
      </c>
      <c r="O38" s="241">
        <v>0</v>
      </c>
      <c r="P38" s="242">
        <v>0</v>
      </c>
      <c r="Q38" s="293">
        <f t="shared" si="0"/>
        <v>0</v>
      </c>
      <c r="R38" s="293">
        <f t="shared" si="1"/>
        <v>8.0299999999999996E-2</v>
      </c>
      <c r="S38" s="293">
        <f t="shared" si="7"/>
        <v>8.0299999999999996E-2</v>
      </c>
    </row>
    <row r="39" spans="1:19" ht="14.25" customHeight="1" x14ac:dyDescent="0.2">
      <c r="A39" s="6" t="s">
        <v>863</v>
      </c>
      <c r="B39" s="241">
        <v>0</v>
      </c>
      <c r="C39" s="241">
        <v>0</v>
      </c>
      <c r="D39" s="242">
        <v>0</v>
      </c>
      <c r="E39" s="241">
        <v>4.9257</v>
      </c>
      <c r="F39" s="241">
        <v>0</v>
      </c>
      <c r="G39" s="242">
        <v>4.9257</v>
      </c>
      <c r="H39" s="241">
        <v>0</v>
      </c>
      <c r="I39" s="241">
        <v>0</v>
      </c>
      <c r="J39" s="242">
        <v>0</v>
      </c>
      <c r="K39" s="241">
        <v>0</v>
      </c>
      <c r="L39" s="241">
        <v>0</v>
      </c>
      <c r="M39" s="242">
        <v>0</v>
      </c>
      <c r="N39" s="241">
        <v>0</v>
      </c>
      <c r="O39" s="241">
        <v>0</v>
      </c>
      <c r="P39" s="242">
        <v>0</v>
      </c>
      <c r="Q39" s="293">
        <f t="shared" ref="Q39" si="9">SUM(B39,E39,H39,K39,N39)</f>
        <v>4.9257</v>
      </c>
      <c r="R39" s="293">
        <f t="shared" ref="R39" si="10">SUM(C39,F39,I39,L39,O39)</f>
        <v>0</v>
      </c>
      <c r="S39" s="293">
        <f t="shared" si="7"/>
        <v>4.9257</v>
      </c>
    </row>
    <row r="40" spans="1:19" x14ac:dyDescent="0.2">
      <c r="A40" s="2" t="s">
        <v>377</v>
      </c>
      <c r="B40" s="241">
        <v>0</v>
      </c>
      <c r="C40" s="241">
        <v>0</v>
      </c>
      <c r="D40" s="242">
        <v>0</v>
      </c>
      <c r="E40" s="241">
        <v>0</v>
      </c>
      <c r="F40" s="241">
        <v>0</v>
      </c>
      <c r="G40" s="242">
        <v>0</v>
      </c>
      <c r="H40" s="241">
        <v>1.4500999999999999</v>
      </c>
      <c r="I40" s="241">
        <v>0</v>
      </c>
      <c r="J40" s="242">
        <v>1.4500999999999999</v>
      </c>
      <c r="K40" s="241">
        <v>0</v>
      </c>
      <c r="L40" s="241">
        <v>0</v>
      </c>
      <c r="M40" s="242">
        <v>0</v>
      </c>
      <c r="N40" s="241">
        <v>0</v>
      </c>
      <c r="O40" s="241">
        <v>0</v>
      </c>
      <c r="P40" s="242">
        <v>0</v>
      </c>
      <c r="Q40" s="293">
        <f t="shared" si="0"/>
        <v>1.4500999999999999</v>
      </c>
      <c r="R40" s="293">
        <f t="shared" si="1"/>
        <v>0</v>
      </c>
      <c r="S40" s="293">
        <f t="shared" si="7"/>
        <v>1.4500999999999999</v>
      </c>
    </row>
    <row r="41" spans="1:19" x14ac:dyDescent="0.2">
      <c r="A41" s="84" t="s">
        <v>378</v>
      </c>
      <c r="B41" s="241">
        <v>0</v>
      </c>
      <c r="C41" s="241">
        <v>0</v>
      </c>
      <c r="D41" s="242">
        <v>0</v>
      </c>
      <c r="E41" s="241">
        <v>0</v>
      </c>
      <c r="F41" s="241">
        <v>0</v>
      </c>
      <c r="G41" s="242">
        <v>0</v>
      </c>
      <c r="H41" s="241">
        <v>0</v>
      </c>
      <c r="I41" s="241">
        <v>0</v>
      </c>
      <c r="J41" s="242">
        <v>0</v>
      </c>
      <c r="K41" s="241">
        <v>4.24E-2</v>
      </c>
      <c r="L41" s="241">
        <v>0</v>
      </c>
      <c r="M41" s="242">
        <v>4.24E-2</v>
      </c>
      <c r="N41" s="241">
        <v>0</v>
      </c>
      <c r="O41" s="241">
        <v>0</v>
      </c>
      <c r="P41" s="242">
        <v>0</v>
      </c>
      <c r="Q41" s="293">
        <f t="shared" si="0"/>
        <v>4.24E-2</v>
      </c>
      <c r="R41" s="293">
        <f t="shared" si="1"/>
        <v>0</v>
      </c>
      <c r="S41" s="293">
        <f t="shared" si="7"/>
        <v>4.24E-2</v>
      </c>
    </row>
    <row r="42" spans="1:19" x14ac:dyDescent="0.2">
      <c r="A42" s="84" t="s">
        <v>379</v>
      </c>
      <c r="B42" s="241">
        <v>540.76400000000001</v>
      </c>
      <c r="C42" s="241">
        <v>0</v>
      </c>
      <c r="D42" s="242">
        <v>540.76400000000001</v>
      </c>
      <c r="E42" s="241">
        <v>0</v>
      </c>
      <c r="F42" s="241">
        <v>0</v>
      </c>
      <c r="G42" s="242">
        <v>0</v>
      </c>
      <c r="H42" s="241">
        <v>0</v>
      </c>
      <c r="I42" s="241">
        <v>4.9169</v>
      </c>
      <c r="J42" s="242">
        <v>4.9169</v>
      </c>
      <c r="K42" s="241">
        <v>0</v>
      </c>
      <c r="L42" s="241">
        <v>0</v>
      </c>
      <c r="M42" s="242">
        <v>0</v>
      </c>
      <c r="N42" s="241">
        <v>0</v>
      </c>
      <c r="O42" s="241">
        <v>0</v>
      </c>
      <c r="P42" s="242">
        <v>0</v>
      </c>
      <c r="Q42" s="293">
        <f t="shared" si="0"/>
        <v>540.76400000000001</v>
      </c>
      <c r="R42" s="293">
        <f t="shared" si="1"/>
        <v>4.9169</v>
      </c>
      <c r="S42" s="293">
        <f t="shared" si="7"/>
        <v>545.68090000000007</v>
      </c>
    </row>
    <row r="43" spans="1:19" x14ac:dyDescent="0.2">
      <c r="A43" s="84" t="s">
        <v>380</v>
      </c>
      <c r="B43" s="241">
        <v>0</v>
      </c>
      <c r="C43" s="241">
        <v>0</v>
      </c>
      <c r="D43" s="242">
        <v>0</v>
      </c>
      <c r="E43" s="241">
        <v>0</v>
      </c>
      <c r="F43" s="241">
        <v>0</v>
      </c>
      <c r="G43" s="242">
        <v>0</v>
      </c>
      <c r="H43" s="241">
        <v>1.6059000000000001</v>
      </c>
      <c r="I43" s="241">
        <v>8.9070999999999998</v>
      </c>
      <c r="J43" s="242">
        <v>10.513</v>
      </c>
      <c r="K43" s="241">
        <v>0.36499999999999999</v>
      </c>
      <c r="L43" s="241">
        <v>68.562100000000001</v>
      </c>
      <c r="M43" s="242">
        <v>68.927099999999996</v>
      </c>
      <c r="N43" s="241">
        <v>0</v>
      </c>
      <c r="O43" s="241">
        <v>0</v>
      </c>
      <c r="P43" s="242">
        <v>0</v>
      </c>
      <c r="Q43" s="293">
        <f t="shared" si="0"/>
        <v>1.9709000000000001</v>
      </c>
      <c r="R43" s="293">
        <f t="shared" si="1"/>
        <v>77.469200000000001</v>
      </c>
      <c r="S43" s="293">
        <f t="shared" si="7"/>
        <v>79.440100000000001</v>
      </c>
    </row>
    <row r="44" spans="1:19" x14ac:dyDescent="0.2">
      <c r="A44" s="2" t="s">
        <v>381</v>
      </c>
      <c r="B44" s="242">
        <f t="shared" ref="B44:P44" si="11">SUM(B38:B43)</f>
        <v>540.76400000000001</v>
      </c>
      <c r="C44" s="242">
        <f t="shared" si="11"/>
        <v>0</v>
      </c>
      <c r="D44" s="242">
        <f t="shared" si="11"/>
        <v>540.76400000000001</v>
      </c>
      <c r="E44" s="242">
        <f t="shared" si="11"/>
        <v>4.9257</v>
      </c>
      <c r="F44" s="242">
        <f t="shared" si="11"/>
        <v>0</v>
      </c>
      <c r="G44" s="242">
        <f t="shared" si="11"/>
        <v>4.9257</v>
      </c>
      <c r="H44" s="242">
        <f t="shared" si="11"/>
        <v>3.056</v>
      </c>
      <c r="I44" s="242">
        <f t="shared" si="11"/>
        <v>13.904299999999999</v>
      </c>
      <c r="J44" s="242">
        <f t="shared" si="11"/>
        <v>16.9603</v>
      </c>
      <c r="K44" s="242">
        <f t="shared" si="11"/>
        <v>0.40739999999999998</v>
      </c>
      <c r="L44" s="242">
        <f t="shared" si="11"/>
        <v>68.562100000000001</v>
      </c>
      <c r="M44" s="242">
        <f t="shared" si="11"/>
        <v>68.969499999999996</v>
      </c>
      <c r="N44" s="242">
        <f t="shared" si="11"/>
        <v>0</v>
      </c>
      <c r="O44" s="242">
        <f t="shared" si="11"/>
        <v>0</v>
      </c>
      <c r="P44" s="242">
        <f t="shared" si="11"/>
        <v>0</v>
      </c>
      <c r="Q44" s="293">
        <f t="shared" si="0"/>
        <v>549.15310000000011</v>
      </c>
      <c r="R44" s="293">
        <f t="shared" si="1"/>
        <v>82.466399999999993</v>
      </c>
      <c r="S44" s="293">
        <f t="shared" si="7"/>
        <v>631.61950000000013</v>
      </c>
    </row>
    <row r="45" spans="1:19" ht="45.75" customHeight="1" x14ac:dyDescent="0.2">
      <c r="A45" s="5" t="s">
        <v>382</v>
      </c>
      <c r="B45" s="241">
        <v>0</v>
      </c>
      <c r="C45" s="241">
        <v>0</v>
      </c>
      <c r="D45" s="242">
        <v>0</v>
      </c>
      <c r="E45" s="241">
        <v>24.94</v>
      </c>
      <c r="F45" s="241">
        <v>0</v>
      </c>
      <c r="G45" s="242">
        <v>24.94</v>
      </c>
      <c r="H45" s="241">
        <v>0</v>
      </c>
      <c r="I45" s="241">
        <v>0</v>
      </c>
      <c r="J45" s="243">
        <v>0</v>
      </c>
      <c r="K45" s="241">
        <v>0.17799999999999999</v>
      </c>
      <c r="L45" s="241">
        <v>0</v>
      </c>
      <c r="M45" s="242">
        <v>0.17799999999999999</v>
      </c>
      <c r="N45" s="241">
        <v>0</v>
      </c>
      <c r="O45" s="241">
        <v>0</v>
      </c>
      <c r="P45" s="242">
        <v>0</v>
      </c>
      <c r="Q45" s="293">
        <f t="shared" si="0"/>
        <v>25.118000000000002</v>
      </c>
      <c r="R45" s="293">
        <f t="shared" si="1"/>
        <v>0</v>
      </c>
      <c r="S45" s="293">
        <f t="shared" si="7"/>
        <v>25.118000000000002</v>
      </c>
    </row>
    <row r="46" spans="1:19" x14ac:dyDescent="0.2">
      <c r="A46" s="5" t="s">
        <v>383</v>
      </c>
      <c r="B46" s="241">
        <v>0</v>
      </c>
      <c r="C46" s="241">
        <v>0</v>
      </c>
      <c r="D46" s="242">
        <v>0</v>
      </c>
      <c r="E46" s="241">
        <v>0</v>
      </c>
      <c r="F46" s="241">
        <v>0</v>
      </c>
      <c r="G46" s="242">
        <v>0</v>
      </c>
      <c r="H46" s="241">
        <v>0</v>
      </c>
      <c r="I46" s="241">
        <v>8.9599999999999999E-2</v>
      </c>
      <c r="J46" s="243">
        <v>8.9599999999999999E-2</v>
      </c>
      <c r="K46" s="241">
        <v>0.14929999999999999</v>
      </c>
      <c r="L46" s="241">
        <v>0</v>
      </c>
      <c r="M46" s="242">
        <v>0.14929999999999999</v>
      </c>
      <c r="N46" s="241">
        <v>0</v>
      </c>
      <c r="O46" s="241">
        <v>0</v>
      </c>
      <c r="P46" s="242">
        <v>0</v>
      </c>
      <c r="Q46" s="293">
        <f t="shared" si="0"/>
        <v>0.14929999999999999</v>
      </c>
      <c r="R46" s="293">
        <f t="shared" si="1"/>
        <v>8.9599999999999999E-2</v>
      </c>
      <c r="S46" s="293">
        <f t="shared" si="7"/>
        <v>0.2389</v>
      </c>
    </row>
    <row r="47" spans="1:19" x14ac:dyDescent="0.2">
      <c r="A47" s="5" t="s">
        <v>384</v>
      </c>
      <c r="B47" s="241">
        <v>0</v>
      </c>
      <c r="C47" s="241">
        <v>0</v>
      </c>
      <c r="D47" s="242">
        <v>0</v>
      </c>
      <c r="E47" s="241">
        <v>18.808599999999998</v>
      </c>
      <c r="F47" s="241">
        <v>0</v>
      </c>
      <c r="G47" s="242">
        <v>18.808599999999998</v>
      </c>
      <c r="H47" s="241">
        <v>5.1318000000000001</v>
      </c>
      <c r="I47" s="241">
        <v>0</v>
      </c>
      <c r="J47" s="243">
        <v>5.1318000000000001</v>
      </c>
      <c r="K47" s="241">
        <v>1.3599999999999999E-2</v>
      </c>
      <c r="L47" s="241">
        <v>0</v>
      </c>
      <c r="M47" s="242">
        <v>1.3599999999999999E-2</v>
      </c>
      <c r="N47" s="241">
        <v>0</v>
      </c>
      <c r="O47" s="241">
        <v>0</v>
      </c>
      <c r="P47" s="242">
        <v>0</v>
      </c>
      <c r="Q47" s="293">
        <f t="shared" si="0"/>
        <v>23.953999999999997</v>
      </c>
      <c r="R47" s="293">
        <f t="shared" si="1"/>
        <v>0</v>
      </c>
      <c r="S47" s="293">
        <f t="shared" si="7"/>
        <v>23.953999999999997</v>
      </c>
    </row>
    <row r="48" spans="1:19" x14ac:dyDescent="0.2">
      <c r="A48" s="5" t="s">
        <v>865</v>
      </c>
      <c r="B48" s="241">
        <v>0</v>
      </c>
      <c r="C48" s="241">
        <v>0</v>
      </c>
      <c r="D48" s="242">
        <v>0</v>
      </c>
      <c r="E48" s="241">
        <v>0</v>
      </c>
      <c r="F48" s="241">
        <v>0</v>
      </c>
      <c r="G48" s="242">
        <v>0</v>
      </c>
      <c r="H48" s="241">
        <v>0</v>
      </c>
      <c r="I48" s="241">
        <v>0</v>
      </c>
      <c r="J48" s="243">
        <v>0</v>
      </c>
      <c r="K48" s="241">
        <v>2.1000000000000001E-2</v>
      </c>
      <c r="L48" s="241">
        <v>0</v>
      </c>
      <c r="M48" s="242">
        <v>2.1000000000000001E-2</v>
      </c>
      <c r="N48" s="241">
        <v>0</v>
      </c>
      <c r="O48" s="241">
        <v>0</v>
      </c>
      <c r="P48" s="242">
        <v>0</v>
      </c>
      <c r="Q48" s="293">
        <f>SUM(B48,E48,H48,K48,N48)</f>
        <v>2.1000000000000001E-2</v>
      </c>
      <c r="R48" s="293">
        <f>SUM(C48,F48,I48,L48,O48)</f>
        <v>0</v>
      </c>
      <c r="S48" s="293">
        <f t="shared" si="7"/>
        <v>2.1000000000000001E-2</v>
      </c>
    </row>
    <row r="49" spans="1:19" x14ac:dyDescent="0.2">
      <c r="A49" s="5" t="s">
        <v>385</v>
      </c>
      <c r="B49" s="241">
        <v>0</v>
      </c>
      <c r="C49" s="241">
        <v>0</v>
      </c>
      <c r="D49" s="242">
        <v>0</v>
      </c>
      <c r="E49" s="241">
        <v>0</v>
      </c>
      <c r="F49" s="241">
        <v>0</v>
      </c>
      <c r="G49" s="242">
        <v>0</v>
      </c>
      <c r="H49" s="241">
        <v>4.9029999999999996</v>
      </c>
      <c r="I49" s="241">
        <v>0</v>
      </c>
      <c r="J49" s="243">
        <v>4.9029999999999996</v>
      </c>
      <c r="K49" s="241">
        <v>8.4699999999999998E-2</v>
      </c>
      <c r="L49" s="241">
        <v>0</v>
      </c>
      <c r="M49" s="242">
        <v>8.4699999999999998E-2</v>
      </c>
      <c r="N49" s="241">
        <v>0</v>
      </c>
      <c r="O49" s="241">
        <v>0</v>
      </c>
      <c r="P49" s="242">
        <v>0</v>
      </c>
      <c r="Q49" s="293">
        <f t="shared" si="0"/>
        <v>4.9876999999999994</v>
      </c>
      <c r="R49" s="293">
        <f t="shared" si="1"/>
        <v>0</v>
      </c>
      <c r="S49" s="293">
        <f t="shared" si="7"/>
        <v>4.9876999999999994</v>
      </c>
    </row>
    <row r="50" spans="1:19" x14ac:dyDescent="0.2">
      <c r="A50" s="5" t="s">
        <v>386</v>
      </c>
      <c r="B50" s="241">
        <v>72.543000000000006</v>
      </c>
      <c r="C50" s="241">
        <v>0</v>
      </c>
      <c r="D50" s="242">
        <v>72.543000000000006</v>
      </c>
      <c r="E50" s="241">
        <v>0</v>
      </c>
      <c r="F50" s="241">
        <v>0</v>
      </c>
      <c r="G50" s="242">
        <v>0</v>
      </c>
      <c r="H50" s="241">
        <v>0.5454</v>
      </c>
      <c r="I50" s="241">
        <v>6.1199999999999997E-2</v>
      </c>
      <c r="J50" s="243">
        <v>0.60670000000000002</v>
      </c>
      <c r="K50" s="241">
        <v>0</v>
      </c>
      <c r="L50" s="241">
        <v>0</v>
      </c>
      <c r="M50" s="242">
        <v>0</v>
      </c>
      <c r="N50" s="241">
        <v>0</v>
      </c>
      <c r="O50" s="241">
        <v>0</v>
      </c>
      <c r="P50" s="242">
        <v>0</v>
      </c>
      <c r="Q50" s="293">
        <f t="shared" si="0"/>
        <v>73.088400000000007</v>
      </c>
      <c r="R50" s="293">
        <f t="shared" si="1"/>
        <v>6.1199999999999997E-2</v>
      </c>
      <c r="S50" s="293">
        <f t="shared" si="7"/>
        <v>73.149600000000007</v>
      </c>
    </row>
    <row r="51" spans="1:19" x14ac:dyDescent="0.2">
      <c r="A51" s="5" t="s">
        <v>387</v>
      </c>
      <c r="B51" s="241">
        <v>2185.9499999999998</v>
      </c>
      <c r="C51" s="241">
        <v>700.54700000000003</v>
      </c>
      <c r="D51" s="242">
        <v>2886.5</v>
      </c>
      <c r="E51" s="241">
        <v>0</v>
      </c>
      <c r="F51" s="241">
        <v>0</v>
      </c>
      <c r="G51" s="242">
        <v>0</v>
      </c>
      <c r="H51" s="241">
        <v>7.4638</v>
      </c>
      <c r="I51" s="241">
        <v>0</v>
      </c>
      <c r="J51" s="243">
        <v>7.4638</v>
      </c>
      <c r="K51" s="241">
        <v>0.42299999999999999</v>
      </c>
      <c r="L51" s="241">
        <v>0</v>
      </c>
      <c r="M51" s="242">
        <v>0.42299999999999999</v>
      </c>
      <c r="N51" s="241">
        <v>0</v>
      </c>
      <c r="O51" s="241">
        <v>0</v>
      </c>
      <c r="P51" s="242">
        <v>0</v>
      </c>
      <c r="Q51" s="293">
        <f t="shared" si="0"/>
        <v>2193.8367999999996</v>
      </c>
      <c r="R51" s="293">
        <f t="shared" si="1"/>
        <v>700.54700000000003</v>
      </c>
      <c r="S51" s="293">
        <f t="shared" si="7"/>
        <v>2894.3837999999996</v>
      </c>
    </row>
    <row r="52" spans="1:19" x14ac:dyDescent="0.2">
      <c r="A52" s="5" t="s">
        <v>866</v>
      </c>
      <c r="B52" s="241">
        <v>0</v>
      </c>
      <c r="C52" s="241">
        <v>0</v>
      </c>
      <c r="D52" s="242">
        <v>0</v>
      </c>
      <c r="E52" s="241">
        <v>0</v>
      </c>
      <c r="F52" s="241">
        <v>0</v>
      </c>
      <c r="G52" s="242">
        <v>0</v>
      </c>
      <c r="H52" s="241">
        <v>0</v>
      </c>
      <c r="I52" s="241">
        <v>0</v>
      </c>
      <c r="J52" s="243">
        <v>0</v>
      </c>
      <c r="K52" s="241">
        <v>0.40849999999999997</v>
      </c>
      <c r="L52" s="241">
        <v>0</v>
      </c>
      <c r="M52" s="242">
        <v>0.40849999999999997</v>
      </c>
      <c r="N52" s="241">
        <v>0</v>
      </c>
      <c r="O52" s="241">
        <v>0</v>
      </c>
      <c r="P52" s="242">
        <v>0</v>
      </c>
      <c r="Q52" s="293">
        <f>SUM(B52,E52,H52,K52,N52)</f>
        <v>0.40849999999999997</v>
      </c>
      <c r="R52" s="293">
        <f>SUM(C52,F52,I52,L52,O52)</f>
        <v>0</v>
      </c>
      <c r="S52" s="293">
        <f t="shared" si="7"/>
        <v>0.40849999999999997</v>
      </c>
    </row>
    <row r="53" spans="1:19" x14ac:dyDescent="0.2">
      <c r="A53" s="85" t="s">
        <v>388</v>
      </c>
      <c r="B53" s="242">
        <f t="shared" ref="B53:P53" si="12">SUM(B45:B51)</f>
        <v>2258.4929999999999</v>
      </c>
      <c r="C53" s="242">
        <f t="shared" si="12"/>
        <v>700.54700000000003</v>
      </c>
      <c r="D53" s="242">
        <f t="shared" si="12"/>
        <v>2959.0430000000001</v>
      </c>
      <c r="E53" s="242">
        <f t="shared" si="12"/>
        <v>43.748599999999996</v>
      </c>
      <c r="F53" s="242">
        <f t="shared" si="12"/>
        <v>0</v>
      </c>
      <c r="G53" s="242">
        <f t="shared" si="12"/>
        <v>43.748599999999996</v>
      </c>
      <c r="H53" s="242">
        <f t="shared" si="12"/>
        <v>18.044</v>
      </c>
      <c r="I53" s="242">
        <f t="shared" si="12"/>
        <v>0.15079999999999999</v>
      </c>
      <c r="J53" s="242">
        <f t="shared" si="12"/>
        <v>18.194900000000001</v>
      </c>
      <c r="K53" s="242">
        <f t="shared" si="12"/>
        <v>0.86959999999999993</v>
      </c>
      <c r="L53" s="242">
        <f t="shared" si="12"/>
        <v>0</v>
      </c>
      <c r="M53" s="242">
        <f t="shared" si="12"/>
        <v>0.86959999999999993</v>
      </c>
      <c r="N53" s="242">
        <f t="shared" si="12"/>
        <v>0</v>
      </c>
      <c r="O53" s="242">
        <f t="shared" si="12"/>
        <v>0</v>
      </c>
      <c r="P53" s="242">
        <f t="shared" si="12"/>
        <v>0</v>
      </c>
      <c r="Q53" s="293">
        <f>SUM(Q45:Q51)</f>
        <v>2321.1551999999997</v>
      </c>
      <c r="R53" s="293">
        <f>SUM(R45:R51)</f>
        <v>700.69780000000003</v>
      </c>
      <c r="S53" s="293">
        <f>SUM(S45:S51)</f>
        <v>3021.8529999999996</v>
      </c>
    </row>
    <row r="54" spans="1:19" ht="45" customHeight="1" x14ac:dyDescent="0.2">
      <c r="A54" s="5" t="s">
        <v>389</v>
      </c>
      <c r="B54" s="241">
        <v>0</v>
      </c>
      <c r="C54" s="241">
        <v>0</v>
      </c>
      <c r="D54" s="242">
        <v>0</v>
      </c>
      <c r="E54" s="241">
        <v>0</v>
      </c>
      <c r="F54" s="241">
        <v>0</v>
      </c>
      <c r="G54" s="242">
        <v>0</v>
      </c>
      <c r="H54" s="241">
        <v>0</v>
      </c>
      <c r="I54" s="241">
        <v>0</v>
      </c>
      <c r="J54" s="242">
        <v>0</v>
      </c>
      <c r="K54" s="241">
        <v>6.1000000000000004E-3</v>
      </c>
      <c r="L54" s="241">
        <v>0</v>
      </c>
      <c r="M54" s="242">
        <v>6.1000000000000004E-3</v>
      </c>
      <c r="N54" s="241">
        <v>0</v>
      </c>
      <c r="O54" s="241">
        <v>0</v>
      </c>
      <c r="P54" s="242">
        <v>0</v>
      </c>
      <c r="Q54" s="293">
        <f t="shared" si="0"/>
        <v>6.1000000000000004E-3</v>
      </c>
      <c r="R54" s="293">
        <f t="shared" si="1"/>
        <v>0</v>
      </c>
      <c r="S54" s="293">
        <f t="shared" si="7"/>
        <v>6.1000000000000004E-3</v>
      </c>
    </row>
    <row r="55" spans="1:19" x14ac:dyDescent="0.2">
      <c r="A55" s="5" t="s">
        <v>390</v>
      </c>
      <c r="B55" s="241">
        <v>0</v>
      </c>
      <c r="C55" s="241">
        <v>0</v>
      </c>
      <c r="D55" s="242">
        <v>0</v>
      </c>
      <c r="E55" s="241">
        <v>0</v>
      </c>
      <c r="F55" s="241">
        <v>0</v>
      </c>
      <c r="G55" s="242">
        <v>0</v>
      </c>
      <c r="H55" s="241">
        <v>0</v>
      </c>
      <c r="I55" s="241">
        <v>0</v>
      </c>
      <c r="J55" s="242">
        <v>0</v>
      </c>
      <c r="K55" s="241">
        <v>2.1899999999999999E-2</v>
      </c>
      <c r="L55" s="241">
        <v>0</v>
      </c>
      <c r="M55" s="242">
        <v>2.1899999999999999E-2</v>
      </c>
      <c r="N55" s="241">
        <v>0</v>
      </c>
      <c r="O55" s="241">
        <v>0</v>
      </c>
      <c r="P55" s="242">
        <v>0</v>
      </c>
      <c r="Q55" s="293">
        <f t="shared" si="0"/>
        <v>2.1899999999999999E-2</v>
      </c>
      <c r="R55" s="293">
        <f t="shared" si="1"/>
        <v>0</v>
      </c>
      <c r="S55" s="293">
        <f t="shared" si="7"/>
        <v>2.1899999999999999E-2</v>
      </c>
    </row>
    <row r="56" spans="1:19" x14ac:dyDescent="0.2">
      <c r="A56" s="5" t="s">
        <v>391</v>
      </c>
      <c r="B56" s="241">
        <v>0</v>
      </c>
      <c r="C56" s="241">
        <v>3013.69</v>
      </c>
      <c r="D56" s="242">
        <v>3013.69</v>
      </c>
      <c r="E56" s="241">
        <v>0</v>
      </c>
      <c r="F56" s="241">
        <v>0</v>
      </c>
      <c r="G56" s="242">
        <v>0</v>
      </c>
      <c r="H56" s="241">
        <v>121.88200000000001</v>
      </c>
      <c r="I56" s="241">
        <v>0</v>
      </c>
      <c r="J56" s="242">
        <v>121.88200000000001</v>
      </c>
      <c r="K56" s="241">
        <v>3.0571999999999999</v>
      </c>
      <c r="L56" s="241">
        <v>0</v>
      </c>
      <c r="M56" s="242">
        <v>3.0571999999999999</v>
      </c>
      <c r="N56" s="241">
        <v>0</v>
      </c>
      <c r="O56" s="241">
        <v>0</v>
      </c>
      <c r="P56" s="242">
        <v>0</v>
      </c>
      <c r="Q56" s="293">
        <f t="shared" si="0"/>
        <v>124.9392</v>
      </c>
      <c r="R56" s="293">
        <f t="shared" si="1"/>
        <v>3013.69</v>
      </c>
      <c r="S56" s="293">
        <f t="shared" si="7"/>
        <v>3138.6291999999999</v>
      </c>
    </row>
    <row r="57" spans="1:19" x14ac:dyDescent="0.2">
      <c r="A57" s="5" t="s">
        <v>392</v>
      </c>
      <c r="B57" s="241">
        <v>0</v>
      </c>
      <c r="C57" s="241">
        <v>281.80799999999999</v>
      </c>
      <c r="D57" s="242">
        <v>281.80799999999999</v>
      </c>
      <c r="E57" s="241">
        <v>0</v>
      </c>
      <c r="F57" s="241">
        <v>0</v>
      </c>
      <c r="G57" s="242">
        <v>0</v>
      </c>
      <c r="H57" s="241">
        <v>0</v>
      </c>
      <c r="I57" s="241">
        <v>0.47760000000000002</v>
      </c>
      <c r="J57" s="242">
        <v>0.47760000000000002</v>
      </c>
      <c r="K57" s="241">
        <v>1.9024000000000001</v>
      </c>
      <c r="L57" s="241">
        <v>0.70130000000000003</v>
      </c>
      <c r="M57" s="242">
        <v>2.6036999999999999</v>
      </c>
      <c r="N57" s="241">
        <v>0</v>
      </c>
      <c r="O57" s="241">
        <v>0</v>
      </c>
      <c r="P57" s="242">
        <v>0</v>
      </c>
      <c r="Q57" s="293">
        <f t="shared" si="0"/>
        <v>1.9024000000000001</v>
      </c>
      <c r="R57" s="293">
        <f t="shared" si="1"/>
        <v>282.98689999999999</v>
      </c>
      <c r="S57" s="293">
        <f t="shared" si="7"/>
        <v>284.88929999999999</v>
      </c>
    </row>
    <row r="58" spans="1:19" x14ac:dyDescent="0.2">
      <c r="A58" s="5" t="s">
        <v>393</v>
      </c>
      <c r="B58" s="241">
        <v>0</v>
      </c>
      <c r="C58" s="241">
        <v>0</v>
      </c>
      <c r="D58" s="242">
        <v>0</v>
      </c>
      <c r="E58" s="241">
        <v>0</v>
      </c>
      <c r="F58" s="241">
        <v>0</v>
      </c>
      <c r="G58" s="242">
        <v>0</v>
      </c>
      <c r="H58" s="241">
        <v>5.7824</v>
      </c>
      <c r="I58" s="241">
        <v>0</v>
      </c>
      <c r="J58" s="242">
        <v>5.7824</v>
      </c>
      <c r="K58" s="241">
        <v>0.16569999999999999</v>
      </c>
      <c r="L58" s="241">
        <v>0</v>
      </c>
      <c r="M58" s="242">
        <v>0.16569999999999999</v>
      </c>
      <c r="N58" s="241">
        <v>0</v>
      </c>
      <c r="O58" s="241">
        <v>0</v>
      </c>
      <c r="P58" s="242">
        <v>0</v>
      </c>
      <c r="Q58" s="293">
        <f t="shared" si="0"/>
        <v>5.9481000000000002</v>
      </c>
      <c r="R58" s="293">
        <f t="shared" si="1"/>
        <v>0</v>
      </c>
      <c r="S58" s="293">
        <f t="shared" si="7"/>
        <v>5.9481000000000002</v>
      </c>
    </row>
    <row r="59" spans="1:19" x14ac:dyDescent="0.2">
      <c r="A59" s="5" t="s">
        <v>394</v>
      </c>
      <c r="B59" s="241">
        <v>0</v>
      </c>
      <c r="C59" s="241">
        <v>0</v>
      </c>
      <c r="D59" s="242">
        <v>0</v>
      </c>
      <c r="E59" s="241">
        <v>0</v>
      </c>
      <c r="F59" s="241">
        <v>0</v>
      </c>
      <c r="G59" s="242">
        <v>0</v>
      </c>
      <c r="H59" s="241">
        <v>0</v>
      </c>
      <c r="I59" s="241">
        <v>0</v>
      </c>
      <c r="J59" s="242">
        <v>0</v>
      </c>
      <c r="K59" s="241">
        <v>9.2700000000000005E-2</v>
      </c>
      <c r="L59" s="241">
        <v>0</v>
      </c>
      <c r="M59" s="242">
        <v>9.2700000000000005E-2</v>
      </c>
      <c r="N59" s="241">
        <v>0</v>
      </c>
      <c r="O59" s="241">
        <v>0</v>
      </c>
      <c r="P59" s="242">
        <v>0</v>
      </c>
      <c r="Q59" s="293">
        <f t="shared" si="0"/>
        <v>9.2700000000000005E-2</v>
      </c>
      <c r="R59" s="293">
        <f t="shared" si="1"/>
        <v>0</v>
      </c>
      <c r="S59" s="293">
        <f t="shared" si="7"/>
        <v>9.2700000000000005E-2</v>
      </c>
    </row>
    <row r="60" spans="1:19" x14ac:dyDescent="0.2">
      <c r="A60" s="5" t="s">
        <v>867</v>
      </c>
      <c r="B60" s="241">
        <v>0</v>
      </c>
      <c r="C60" s="241">
        <v>0</v>
      </c>
      <c r="D60" s="242">
        <v>0</v>
      </c>
      <c r="E60" s="241">
        <v>0</v>
      </c>
      <c r="F60" s="241">
        <v>0</v>
      </c>
      <c r="G60" s="242">
        <v>0</v>
      </c>
      <c r="H60" s="241">
        <v>0</v>
      </c>
      <c r="I60" s="241">
        <v>0</v>
      </c>
      <c r="J60" s="242">
        <v>0</v>
      </c>
      <c r="K60" s="241">
        <v>8.9999999999999998E-4</v>
      </c>
      <c r="L60" s="241">
        <v>0</v>
      </c>
      <c r="M60" s="242">
        <v>8.9999999999999998E-4</v>
      </c>
      <c r="N60" s="241">
        <v>0</v>
      </c>
      <c r="O60" s="241">
        <v>0</v>
      </c>
      <c r="P60" s="242">
        <v>0</v>
      </c>
      <c r="Q60" s="293">
        <f>SUM(B60,E60,H60,K60,N60)</f>
        <v>8.9999999999999998E-4</v>
      </c>
      <c r="R60" s="293">
        <f>SUM(C60,F60,I60,L60,O60)</f>
        <v>0</v>
      </c>
      <c r="S60" s="293"/>
    </row>
    <row r="61" spans="1:19" x14ac:dyDescent="0.2">
      <c r="A61" s="5" t="s">
        <v>395</v>
      </c>
      <c r="B61" s="241">
        <v>0</v>
      </c>
      <c r="C61" s="241">
        <v>0</v>
      </c>
      <c r="D61" s="242">
        <v>0</v>
      </c>
      <c r="E61" s="241">
        <v>0</v>
      </c>
      <c r="F61" s="241">
        <v>0</v>
      </c>
      <c r="G61" s="242">
        <v>0</v>
      </c>
      <c r="H61" s="241">
        <v>0</v>
      </c>
      <c r="I61" s="241">
        <v>0</v>
      </c>
      <c r="J61" s="242">
        <v>0</v>
      </c>
      <c r="K61" s="241">
        <v>4.5400000000000003E-2</v>
      </c>
      <c r="L61" s="241">
        <v>0</v>
      </c>
      <c r="M61" s="242">
        <v>4.5400000000000003E-2</v>
      </c>
      <c r="N61" s="241">
        <v>0</v>
      </c>
      <c r="O61" s="241">
        <v>0</v>
      </c>
      <c r="P61" s="242">
        <v>0</v>
      </c>
      <c r="Q61" s="293">
        <f t="shared" si="0"/>
        <v>4.5400000000000003E-2</v>
      </c>
      <c r="R61" s="293">
        <f t="shared" si="1"/>
        <v>0</v>
      </c>
      <c r="S61" s="293">
        <f t="shared" si="7"/>
        <v>4.5400000000000003E-2</v>
      </c>
    </row>
    <row r="62" spans="1:19" x14ac:dyDescent="0.2">
      <c r="A62" s="5" t="s">
        <v>396</v>
      </c>
      <c r="B62" s="241">
        <v>0</v>
      </c>
      <c r="C62" s="241">
        <v>0</v>
      </c>
      <c r="D62" s="242">
        <v>0</v>
      </c>
      <c r="E62" s="241">
        <v>0</v>
      </c>
      <c r="F62" s="241">
        <v>0</v>
      </c>
      <c r="G62" s="242">
        <v>0</v>
      </c>
      <c r="H62" s="241">
        <v>0</v>
      </c>
      <c r="I62" s="241">
        <v>0</v>
      </c>
      <c r="J62" s="242">
        <v>0</v>
      </c>
      <c r="K62" s="241">
        <v>1.6243000000000001</v>
      </c>
      <c r="L62" s="241">
        <v>0</v>
      </c>
      <c r="M62" s="242">
        <v>1.6243000000000001</v>
      </c>
      <c r="N62" s="241">
        <v>0</v>
      </c>
      <c r="O62" s="241">
        <v>0</v>
      </c>
      <c r="P62" s="242">
        <v>0</v>
      </c>
      <c r="Q62" s="293">
        <f t="shared" ref="Q62:Q74" si="13">SUM(B62,E62,H62,K62,N62)</f>
        <v>1.6243000000000001</v>
      </c>
      <c r="R62" s="293">
        <f t="shared" ref="R62:R74" si="14">SUM(C62,F62,I62,L62,O62)</f>
        <v>0</v>
      </c>
      <c r="S62" s="293">
        <f t="shared" si="7"/>
        <v>1.6243000000000001</v>
      </c>
    </row>
    <row r="63" spans="1:19" x14ac:dyDescent="0.2">
      <c r="A63" s="6" t="s">
        <v>864</v>
      </c>
      <c r="B63" s="241">
        <v>0</v>
      </c>
      <c r="C63" s="241">
        <v>0</v>
      </c>
      <c r="D63" s="242">
        <v>0</v>
      </c>
      <c r="E63" s="241">
        <v>0</v>
      </c>
      <c r="F63" s="241">
        <v>0</v>
      </c>
      <c r="G63" s="242">
        <v>0</v>
      </c>
      <c r="H63" s="241">
        <v>10.1683</v>
      </c>
      <c r="I63" s="241">
        <v>0</v>
      </c>
      <c r="J63" s="242">
        <v>10.1683</v>
      </c>
      <c r="K63" s="241">
        <v>0</v>
      </c>
      <c r="L63" s="241">
        <v>0</v>
      </c>
      <c r="M63" s="242">
        <v>0</v>
      </c>
      <c r="N63" s="241">
        <v>0</v>
      </c>
      <c r="O63" s="241">
        <v>0</v>
      </c>
      <c r="P63" s="242">
        <v>0</v>
      </c>
      <c r="Q63" s="293">
        <f>SUM(B63,E63,H63,K63,N63)</f>
        <v>10.1683</v>
      </c>
      <c r="R63" s="293">
        <f>SUM(C63,F63,I63,L63,O63)</f>
        <v>0</v>
      </c>
      <c r="S63" s="293">
        <f t="shared" si="7"/>
        <v>10.1683</v>
      </c>
    </row>
    <row r="64" spans="1:19" x14ac:dyDescent="0.2">
      <c r="A64" s="5" t="s">
        <v>397</v>
      </c>
      <c r="B64" s="241">
        <v>0</v>
      </c>
      <c r="C64" s="241">
        <v>847.31100000000004</v>
      </c>
      <c r="D64" s="242">
        <v>847.31100000000004</v>
      </c>
      <c r="E64" s="241">
        <v>0</v>
      </c>
      <c r="F64" s="241">
        <v>0</v>
      </c>
      <c r="G64" s="242">
        <v>0</v>
      </c>
      <c r="H64" s="241">
        <v>0</v>
      </c>
      <c r="I64" s="241">
        <v>0.59860000000000002</v>
      </c>
      <c r="J64" s="242">
        <v>0.59860000000000002</v>
      </c>
      <c r="K64" s="241">
        <v>0</v>
      </c>
      <c r="L64" s="241">
        <v>0</v>
      </c>
      <c r="M64" s="242">
        <v>0</v>
      </c>
      <c r="N64" s="241">
        <v>0</v>
      </c>
      <c r="O64" s="241">
        <v>0</v>
      </c>
      <c r="P64" s="242">
        <v>0</v>
      </c>
      <c r="Q64" s="293">
        <f t="shared" si="13"/>
        <v>0</v>
      </c>
      <c r="R64" s="293">
        <f t="shared" si="14"/>
        <v>847.90960000000007</v>
      </c>
      <c r="S64" s="293">
        <f t="shared" si="7"/>
        <v>847.90960000000007</v>
      </c>
    </row>
    <row r="65" spans="1:19" x14ac:dyDescent="0.2">
      <c r="A65" s="5" t="s">
        <v>398</v>
      </c>
      <c r="B65" s="241">
        <v>0</v>
      </c>
      <c r="C65" s="241">
        <v>1385.57</v>
      </c>
      <c r="D65" s="242">
        <v>1385.57</v>
      </c>
      <c r="E65" s="241">
        <v>0</v>
      </c>
      <c r="F65" s="241">
        <v>0</v>
      </c>
      <c r="G65" s="242">
        <v>0</v>
      </c>
      <c r="H65" s="241">
        <v>5.6639999999999997</v>
      </c>
      <c r="I65" s="241">
        <v>0.27129999999999999</v>
      </c>
      <c r="J65" s="242">
        <v>5.9352999999999998</v>
      </c>
      <c r="K65" s="241">
        <v>0</v>
      </c>
      <c r="L65" s="241">
        <v>0</v>
      </c>
      <c r="M65" s="242">
        <v>0</v>
      </c>
      <c r="N65" s="241">
        <v>0</v>
      </c>
      <c r="O65" s="241">
        <v>0</v>
      </c>
      <c r="P65" s="242">
        <v>0</v>
      </c>
      <c r="Q65" s="293">
        <f t="shared" si="13"/>
        <v>5.6639999999999997</v>
      </c>
      <c r="R65" s="293">
        <f t="shared" si="14"/>
        <v>1385.8413</v>
      </c>
      <c r="S65" s="293">
        <f>Q65+R65</f>
        <v>1391.5053</v>
      </c>
    </row>
    <row r="66" spans="1:19" x14ac:dyDescent="0.2">
      <c r="A66" s="5" t="s">
        <v>399</v>
      </c>
      <c r="B66" s="241">
        <v>0</v>
      </c>
      <c r="C66" s="241">
        <v>0</v>
      </c>
      <c r="D66" s="242">
        <v>0</v>
      </c>
      <c r="E66" s="241">
        <v>0</v>
      </c>
      <c r="F66" s="241">
        <v>0</v>
      </c>
      <c r="G66" s="242">
        <v>0</v>
      </c>
      <c r="H66" s="241">
        <v>0</v>
      </c>
      <c r="I66" s="241">
        <v>0</v>
      </c>
      <c r="J66" s="242">
        <v>0</v>
      </c>
      <c r="K66" s="241">
        <v>0.1968</v>
      </c>
      <c r="L66" s="241">
        <v>0</v>
      </c>
      <c r="M66" s="242">
        <v>0.1968</v>
      </c>
      <c r="N66" s="241">
        <v>0</v>
      </c>
      <c r="O66" s="241">
        <v>0</v>
      </c>
      <c r="P66" s="242">
        <v>0</v>
      </c>
      <c r="Q66" s="293">
        <f t="shared" si="13"/>
        <v>0.1968</v>
      </c>
      <c r="R66" s="293">
        <f t="shared" si="14"/>
        <v>0</v>
      </c>
      <c r="S66" s="293">
        <f t="shared" si="7"/>
        <v>0.1968</v>
      </c>
    </row>
    <row r="67" spans="1:19" x14ac:dyDescent="0.2">
      <c r="A67" s="5" t="s">
        <v>400</v>
      </c>
      <c r="B67" s="241">
        <v>0</v>
      </c>
      <c r="C67" s="241">
        <v>0</v>
      </c>
      <c r="D67" s="242">
        <v>0</v>
      </c>
      <c r="E67" s="241">
        <v>0</v>
      </c>
      <c r="F67" s="241">
        <v>0</v>
      </c>
      <c r="G67" s="242">
        <v>0</v>
      </c>
      <c r="H67" s="241">
        <v>5.2144000000000004</v>
      </c>
      <c r="I67" s="241">
        <v>0</v>
      </c>
      <c r="J67" s="242">
        <v>5.2144000000000004</v>
      </c>
      <c r="K67" s="241">
        <v>0</v>
      </c>
      <c r="L67" s="241">
        <v>0</v>
      </c>
      <c r="M67" s="242">
        <v>0</v>
      </c>
      <c r="N67" s="241">
        <v>0</v>
      </c>
      <c r="O67" s="241">
        <v>0</v>
      </c>
      <c r="P67" s="242">
        <v>0</v>
      </c>
      <c r="Q67" s="293">
        <f t="shared" si="13"/>
        <v>5.2144000000000004</v>
      </c>
      <c r="R67" s="293">
        <f t="shared" si="14"/>
        <v>0</v>
      </c>
      <c r="S67" s="293">
        <f t="shared" si="7"/>
        <v>5.2144000000000004</v>
      </c>
    </row>
    <row r="68" spans="1:19" x14ac:dyDescent="0.2">
      <c r="A68" s="5" t="s">
        <v>401</v>
      </c>
      <c r="B68" s="241">
        <v>0</v>
      </c>
      <c r="C68" s="241">
        <v>0</v>
      </c>
      <c r="D68" s="242">
        <v>0</v>
      </c>
      <c r="E68" s="241">
        <v>0</v>
      </c>
      <c r="F68" s="241">
        <v>0</v>
      </c>
      <c r="G68" s="242">
        <v>0</v>
      </c>
      <c r="H68" s="241">
        <v>29.776</v>
      </c>
      <c r="I68" s="241">
        <v>0</v>
      </c>
      <c r="J68" s="242">
        <v>29.776</v>
      </c>
      <c r="K68" s="241">
        <v>5.28E-2</v>
      </c>
      <c r="L68" s="241">
        <v>0</v>
      </c>
      <c r="M68" s="242">
        <v>5.28E-2</v>
      </c>
      <c r="N68" s="241">
        <v>0</v>
      </c>
      <c r="O68" s="241">
        <v>0</v>
      </c>
      <c r="P68" s="242">
        <v>0</v>
      </c>
      <c r="Q68" s="293">
        <f t="shared" si="13"/>
        <v>29.828800000000001</v>
      </c>
      <c r="R68" s="293">
        <f t="shared" si="14"/>
        <v>0</v>
      </c>
      <c r="S68" s="293">
        <f t="shared" si="7"/>
        <v>29.828800000000001</v>
      </c>
    </row>
    <row r="69" spans="1:19" x14ac:dyDescent="0.2">
      <c r="A69" s="5" t="s">
        <v>402</v>
      </c>
      <c r="B69" s="241">
        <v>0</v>
      </c>
      <c r="C69" s="241">
        <v>0</v>
      </c>
      <c r="D69" s="242">
        <v>0</v>
      </c>
      <c r="E69" s="241">
        <v>2.7214</v>
      </c>
      <c r="F69" s="241">
        <v>0</v>
      </c>
      <c r="G69" s="242">
        <v>2.7214</v>
      </c>
      <c r="H69" s="241">
        <v>2.7606999999999999</v>
      </c>
      <c r="I69" s="241">
        <v>0</v>
      </c>
      <c r="J69" s="242">
        <v>2.7606999999999999</v>
      </c>
      <c r="K69" s="241">
        <v>4.8399999999999999E-2</v>
      </c>
      <c r="L69" s="241">
        <v>0</v>
      </c>
      <c r="M69" s="242">
        <v>4.8399999999999999E-2</v>
      </c>
      <c r="N69" s="241">
        <v>0</v>
      </c>
      <c r="O69" s="241">
        <v>0</v>
      </c>
      <c r="P69" s="242">
        <v>0</v>
      </c>
      <c r="Q69" s="293">
        <f t="shared" si="13"/>
        <v>5.5305</v>
      </c>
      <c r="R69" s="293">
        <f t="shared" si="14"/>
        <v>0</v>
      </c>
      <c r="S69" s="293">
        <f t="shared" si="7"/>
        <v>5.5305</v>
      </c>
    </row>
    <row r="70" spans="1:19" x14ac:dyDescent="0.2">
      <c r="A70" s="85" t="s">
        <v>403</v>
      </c>
      <c r="B70" s="242">
        <f t="shared" ref="B70:P70" si="15">SUM(B54:B69)</f>
        <v>0</v>
      </c>
      <c r="C70" s="242">
        <f t="shared" si="15"/>
        <v>5528.3789999999999</v>
      </c>
      <c r="D70" s="242">
        <f t="shared" si="15"/>
        <v>5528.3789999999999</v>
      </c>
      <c r="E70" s="242">
        <f t="shared" si="15"/>
        <v>2.7214</v>
      </c>
      <c r="F70" s="242">
        <f t="shared" si="15"/>
        <v>0</v>
      </c>
      <c r="G70" s="242">
        <f t="shared" si="15"/>
        <v>2.7214</v>
      </c>
      <c r="H70" s="242">
        <f t="shared" si="15"/>
        <v>181.24779999999998</v>
      </c>
      <c r="I70" s="242">
        <f t="shared" si="15"/>
        <v>1.3475000000000001</v>
      </c>
      <c r="J70" s="242">
        <f t="shared" si="15"/>
        <v>182.59530000000001</v>
      </c>
      <c r="K70" s="242">
        <f t="shared" si="15"/>
        <v>7.2145999999999999</v>
      </c>
      <c r="L70" s="242">
        <f t="shared" si="15"/>
        <v>0.70130000000000003</v>
      </c>
      <c r="M70" s="242">
        <f t="shared" si="15"/>
        <v>7.9158999999999997</v>
      </c>
      <c r="N70" s="242">
        <f t="shared" si="15"/>
        <v>0</v>
      </c>
      <c r="O70" s="242">
        <f t="shared" si="15"/>
        <v>0</v>
      </c>
      <c r="P70" s="242">
        <f t="shared" si="15"/>
        <v>0</v>
      </c>
      <c r="Q70" s="293">
        <f t="shared" si="13"/>
        <v>191.18379999999996</v>
      </c>
      <c r="R70" s="293">
        <f t="shared" si="14"/>
        <v>5530.4277999999995</v>
      </c>
      <c r="S70" s="242">
        <f>SUM(S54:S69)</f>
        <v>5721.6106999999993</v>
      </c>
    </row>
    <row r="71" spans="1:19" ht="42" customHeight="1" x14ac:dyDescent="0.2">
      <c r="A71" s="2" t="s">
        <v>404</v>
      </c>
      <c r="B71" s="242">
        <v>0</v>
      </c>
      <c r="C71" s="242">
        <v>12</v>
      </c>
      <c r="D71" s="242">
        <v>12</v>
      </c>
      <c r="E71" s="242">
        <v>0</v>
      </c>
      <c r="F71" s="242">
        <v>0</v>
      </c>
      <c r="G71" s="242">
        <v>0</v>
      </c>
      <c r="H71" s="242">
        <v>0</v>
      </c>
      <c r="I71" s="242">
        <v>0</v>
      </c>
      <c r="J71" s="242">
        <v>0</v>
      </c>
      <c r="K71" s="242">
        <v>12</v>
      </c>
      <c r="L71" s="242">
        <v>0</v>
      </c>
      <c r="M71" s="242">
        <v>12</v>
      </c>
      <c r="N71" s="242">
        <v>0</v>
      </c>
      <c r="O71" s="242">
        <v>0</v>
      </c>
      <c r="P71" s="242">
        <v>0</v>
      </c>
      <c r="Q71" s="293">
        <f t="shared" si="13"/>
        <v>12</v>
      </c>
      <c r="R71" s="293">
        <f t="shared" si="14"/>
        <v>12</v>
      </c>
      <c r="S71" s="293">
        <f t="shared" ref="S71:S73" si="16">Q71+R71</f>
        <v>24</v>
      </c>
    </row>
    <row r="72" spans="1:19" x14ac:dyDescent="0.2">
      <c r="A72" s="2" t="s">
        <v>405</v>
      </c>
      <c r="B72" s="242">
        <f t="shared" ref="B72:S72" si="17">B25+B37+B44+B53+B70</f>
        <v>7672.6373999999996</v>
      </c>
      <c r="C72" s="242">
        <f t="shared" si="17"/>
        <v>20074.572399999997</v>
      </c>
      <c r="D72" s="242">
        <f t="shared" si="17"/>
        <v>27747.218200000003</v>
      </c>
      <c r="E72" s="242">
        <f t="shared" si="17"/>
        <v>1664.4605999999997</v>
      </c>
      <c r="F72" s="242">
        <f t="shared" si="17"/>
        <v>3864.7501000000007</v>
      </c>
      <c r="G72" s="242">
        <f t="shared" si="17"/>
        <v>5529.2205999999996</v>
      </c>
      <c r="H72" s="242">
        <f t="shared" si="17"/>
        <v>497.61599999999993</v>
      </c>
      <c r="I72" s="242">
        <f t="shared" si="17"/>
        <v>415.00689999999997</v>
      </c>
      <c r="J72" s="242">
        <f t="shared" si="17"/>
        <v>912.62279999999987</v>
      </c>
      <c r="K72" s="242">
        <f t="shared" si="17"/>
        <v>890.38760000000013</v>
      </c>
      <c r="L72" s="242">
        <f t="shared" si="17"/>
        <v>1684.7092000000002</v>
      </c>
      <c r="M72" s="242">
        <f t="shared" si="17"/>
        <v>2575.0991999999997</v>
      </c>
      <c r="N72" s="242">
        <f t="shared" si="17"/>
        <v>14.106999999999999</v>
      </c>
      <c r="O72" s="242">
        <f t="shared" si="17"/>
        <v>17.164999999999999</v>
      </c>
      <c r="P72" s="242">
        <f t="shared" si="17"/>
        <v>31.271999999999998</v>
      </c>
      <c r="Q72" s="242">
        <f t="shared" si="17"/>
        <v>10739.2086</v>
      </c>
      <c r="R72" s="242">
        <f t="shared" si="17"/>
        <v>26056.203600000001</v>
      </c>
      <c r="S72" s="242">
        <f t="shared" si="17"/>
        <v>36795.4113</v>
      </c>
    </row>
    <row r="73" spans="1:19" x14ac:dyDescent="0.2">
      <c r="A73" s="2" t="s">
        <v>406</v>
      </c>
      <c r="B73" s="242">
        <f>'9.7'!E9</f>
        <v>2036.3</v>
      </c>
      <c r="C73" s="242">
        <f>'9.7'!F9</f>
        <v>4039.4</v>
      </c>
      <c r="D73" s="242">
        <f>SUM(B73:C73)</f>
        <v>6075.7</v>
      </c>
      <c r="E73" s="242">
        <f>'9.7'!E14</f>
        <v>655.45999999999992</v>
      </c>
      <c r="F73" s="242">
        <f>'9.7'!F14</f>
        <v>3036.59</v>
      </c>
      <c r="G73" s="242">
        <f>'9.7'!G14</f>
        <v>3692.06</v>
      </c>
      <c r="H73" s="242">
        <f>'9.7'!E30</f>
        <v>518.79</v>
      </c>
      <c r="I73" s="242">
        <f>'9.7'!F30</f>
        <v>742.83999999999992</v>
      </c>
      <c r="J73" s="242">
        <f>'9.7'!G30</f>
        <v>1261.6300000000001</v>
      </c>
      <c r="K73" s="242">
        <f>'9.7'!E19</f>
        <v>74.559999999999988</v>
      </c>
      <c r="L73" s="242">
        <f>'9.7'!F19</f>
        <v>184.82999999999998</v>
      </c>
      <c r="M73" s="242">
        <f>'9.7'!G19</f>
        <v>259.39000000000004</v>
      </c>
      <c r="N73" s="242">
        <f>SUM('9.7'!E26,'9.7'!E22)</f>
        <v>3169.33</v>
      </c>
      <c r="O73" s="242">
        <f>SUM('9.7'!F26,'9.7'!F22)</f>
        <v>3266.37</v>
      </c>
      <c r="P73" s="242">
        <f>SUM('9.7'!G26,'9.7'!G22)</f>
        <v>6435.6999999999989</v>
      </c>
      <c r="Q73" s="293">
        <f>SUM(B73,E73,H73,K73,N73)</f>
        <v>6454.44</v>
      </c>
      <c r="R73" s="293">
        <f t="shared" si="14"/>
        <v>11270.029999999999</v>
      </c>
      <c r="S73" s="293">
        <f t="shared" si="16"/>
        <v>17724.469999999998</v>
      </c>
    </row>
    <row r="74" spans="1:19" x14ac:dyDescent="0.2">
      <c r="A74" s="2" t="s">
        <v>407</v>
      </c>
      <c r="B74" s="242">
        <f t="shared" ref="B74:P74" si="18">B72+B73+B71</f>
        <v>9708.9373999999989</v>
      </c>
      <c r="C74" s="242">
        <f t="shared" si="18"/>
        <v>24125.972399999999</v>
      </c>
      <c r="D74" s="242">
        <f t="shared" si="18"/>
        <v>33834.9182</v>
      </c>
      <c r="E74" s="242">
        <f t="shared" si="18"/>
        <v>2319.9205999999995</v>
      </c>
      <c r="F74" s="242">
        <f t="shared" si="18"/>
        <v>6901.3401000000013</v>
      </c>
      <c r="G74" s="242">
        <f t="shared" si="18"/>
        <v>9221.2806</v>
      </c>
      <c r="H74" s="242">
        <f t="shared" si="18"/>
        <v>1016.4059999999999</v>
      </c>
      <c r="I74" s="242">
        <f t="shared" si="18"/>
        <v>1157.8469</v>
      </c>
      <c r="J74" s="242">
        <f t="shared" si="18"/>
        <v>2174.2528000000002</v>
      </c>
      <c r="K74" s="242">
        <f t="shared" si="18"/>
        <v>976.94760000000008</v>
      </c>
      <c r="L74" s="242">
        <f t="shared" si="18"/>
        <v>1869.5392000000002</v>
      </c>
      <c r="M74" s="242">
        <f t="shared" si="18"/>
        <v>2846.4891999999995</v>
      </c>
      <c r="N74" s="242">
        <f t="shared" si="18"/>
        <v>3183.4369999999999</v>
      </c>
      <c r="O74" s="242">
        <f t="shared" si="18"/>
        <v>3283.5349999999999</v>
      </c>
      <c r="P74" s="242">
        <f t="shared" si="18"/>
        <v>6466.9719999999988</v>
      </c>
      <c r="Q74" s="293">
        <f t="shared" si="13"/>
        <v>17205.6486</v>
      </c>
      <c r="R74" s="293">
        <f t="shared" si="14"/>
        <v>37338.233600000007</v>
      </c>
      <c r="S74" s="242">
        <f>S72+S73+S71</f>
        <v>54543.881299999994</v>
      </c>
    </row>
    <row r="76" spans="1:19" x14ac:dyDescent="0.2">
      <c r="S76" s="294"/>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0"/>
  <sheetViews>
    <sheetView zoomScaleNormal="100" workbookViewId="0">
      <pane xSplit="1" topLeftCell="U1" activePane="topRight" state="frozen"/>
      <selection activeCell="B8" sqref="B8"/>
      <selection pane="topRight" activeCell="B8" sqref="B8"/>
    </sheetView>
  </sheetViews>
  <sheetFormatPr defaultRowHeight="15" x14ac:dyDescent="0.2"/>
  <cols>
    <col min="1" max="1" width="37.77734375" style="6" customWidth="1"/>
    <col min="2" max="2" width="9.33203125" style="6" customWidth="1"/>
    <col min="3" max="3" width="9.44140625" style="6" customWidth="1"/>
    <col min="4" max="4" width="7.88671875" style="6" customWidth="1"/>
    <col min="5" max="5" width="8.5546875" style="6" customWidth="1"/>
    <col min="6" max="6" width="8.88671875" style="6" customWidth="1"/>
    <col min="7" max="7" width="7.44140625" style="6" customWidth="1"/>
    <col min="8" max="8" width="7.33203125" style="6" customWidth="1"/>
    <col min="9" max="9" width="7.5546875" style="6" customWidth="1"/>
    <col min="10" max="10" width="7.44140625" style="6" customWidth="1"/>
    <col min="11" max="25" width="8.5546875" style="6" customWidth="1"/>
    <col min="26" max="26" width="16.44140625" style="6" customWidth="1"/>
    <col min="27" max="27" width="12.6640625" style="6" customWidth="1"/>
    <col min="28" max="28" width="11.77734375" style="6" customWidth="1"/>
    <col min="29" max="29" width="14.109375" style="6" customWidth="1"/>
    <col min="30" max="30" width="12" style="6" customWidth="1"/>
    <col min="31" max="31" width="12.88671875" style="6" customWidth="1"/>
    <col min="32" max="16384" width="8.88671875" style="6"/>
  </cols>
  <sheetData>
    <row r="1" spans="1:32" s="5" customFormat="1" ht="15.75" x14ac:dyDescent="0.25">
      <c r="A1" s="1" t="s">
        <v>845</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69</v>
      </c>
      <c r="K3" s="2"/>
      <c r="L3" s="3"/>
      <c r="M3" s="4"/>
      <c r="N3" s="4"/>
      <c r="O3" s="2"/>
    </row>
    <row r="4" spans="1:32" s="260" customFormat="1" ht="31.5" x14ac:dyDescent="0.25">
      <c r="A4" s="259" t="s">
        <v>335</v>
      </c>
      <c r="B4" s="260" t="s">
        <v>62</v>
      </c>
      <c r="C4" s="260" t="s">
        <v>63</v>
      </c>
      <c r="D4" s="260" t="s">
        <v>54</v>
      </c>
      <c r="E4" s="260" t="s">
        <v>55</v>
      </c>
      <c r="F4" s="260" t="s">
        <v>422</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426</v>
      </c>
      <c r="AA4" s="260" t="s">
        <v>32</v>
      </c>
      <c r="AB4" s="260" t="s">
        <v>33</v>
      </c>
      <c r="AC4" s="260" t="s">
        <v>34</v>
      </c>
      <c r="AD4" s="260" t="s">
        <v>35</v>
      </c>
      <c r="AE4" s="260" t="s">
        <v>36</v>
      </c>
      <c r="AF4" s="245" t="s">
        <v>857</v>
      </c>
    </row>
    <row r="5" spans="1:32" x14ac:dyDescent="0.2">
      <c r="A5" s="6" t="s">
        <v>418</v>
      </c>
      <c r="B5" s="34">
        <v>52</v>
      </c>
      <c r="C5" s="34">
        <v>87</v>
      </c>
      <c r="D5" s="34">
        <v>96</v>
      </c>
      <c r="E5" s="34">
        <v>108</v>
      </c>
      <c r="F5" s="34">
        <v>100</v>
      </c>
      <c r="G5" s="34">
        <v>82</v>
      </c>
      <c r="H5" s="33">
        <v>86</v>
      </c>
      <c r="I5" s="19">
        <v>84</v>
      </c>
      <c r="J5" s="12">
        <v>91</v>
      </c>
      <c r="K5" s="12">
        <v>113</v>
      </c>
      <c r="L5" s="12">
        <v>167</v>
      </c>
      <c r="M5" s="19">
        <v>179</v>
      </c>
      <c r="N5" s="19">
        <v>205</v>
      </c>
      <c r="O5" s="42">
        <v>208.76499999999999</v>
      </c>
      <c r="P5" s="42">
        <v>222.53</v>
      </c>
      <c r="Q5" s="42">
        <v>232</v>
      </c>
      <c r="R5" s="42">
        <v>250</v>
      </c>
      <c r="S5" s="42">
        <v>251.999</v>
      </c>
      <c r="T5" s="42">
        <v>251.36799999999999</v>
      </c>
      <c r="U5" s="42">
        <v>242.48599999999999</v>
      </c>
      <c r="V5" s="42">
        <v>268.851</v>
      </c>
      <c r="W5" s="19">
        <v>286</v>
      </c>
      <c r="X5" s="39">
        <v>268.26400000000075</v>
      </c>
      <c r="Y5" s="39">
        <v>264</v>
      </c>
      <c r="Z5" s="13" t="s">
        <v>427</v>
      </c>
      <c r="AA5" s="13" t="s">
        <v>427</v>
      </c>
      <c r="AB5" s="13" t="s">
        <v>427</v>
      </c>
      <c r="AC5" s="13" t="s">
        <v>427</v>
      </c>
      <c r="AD5" s="13" t="s">
        <v>427</v>
      </c>
      <c r="AE5" s="13" t="s">
        <v>427</v>
      </c>
      <c r="AF5" s="13" t="s">
        <v>427</v>
      </c>
    </row>
    <row r="6" spans="1:32" x14ac:dyDescent="0.2">
      <c r="A6" s="6" t="s">
        <v>423</v>
      </c>
      <c r="B6" s="34">
        <v>300</v>
      </c>
      <c r="C6" s="34">
        <v>293</v>
      </c>
      <c r="D6" s="34">
        <v>342</v>
      </c>
      <c r="E6" s="34">
        <v>343</v>
      </c>
      <c r="F6" s="34">
        <v>356</v>
      </c>
      <c r="G6" s="34">
        <v>359</v>
      </c>
      <c r="H6" s="33">
        <v>387</v>
      </c>
      <c r="I6" s="19">
        <v>409</v>
      </c>
      <c r="J6" s="12">
        <v>408</v>
      </c>
      <c r="K6" s="12">
        <v>379</v>
      </c>
      <c r="L6" s="12">
        <v>406</v>
      </c>
      <c r="M6" s="19">
        <v>410</v>
      </c>
      <c r="N6" s="19">
        <v>423</v>
      </c>
      <c r="O6" s="42">
        <v>467.54</v>
      </c>
      <c r="P6" s="42">
        <v>472.47</v>
      </c>
      <c r="Q6" s="42">
        <v>456</v>
      </c>
      <c r="R6" s="42">
        <v>468</v>
      </c>
      <c r="S6" s="42">
        <v>462.505</v>
      </c>
      <c r="T6" s="42">
        <v>420.29399999999998</v>
      </c>
      <c r="U6" s="42">
        <v>427.45600000000002</v>
      </c>
      <c r="V6" s="42">
        <v>463.79300000000001</v>
      </c>
      <c r="W6" s="19">
        <v>473</v>
      </c>
      <c r="X6" s="39">
        <v>506.197</v>
      </c>
      <c r="Y6" s="39">
        <v>476</v>
      </c>
      <c r="Z6" s="13" t="s">
        <v>427</v>
      </c>
      <c r="AA6" s="13" t="s">
        <v>427</v>
      </c>
      <c r="AB6" s="13" t="s">
        <v>427</v>
      </c>
      <c r="AC6" s="13" t="s">
        <v>427</v>
      </c>
      <c r="AD6" s="13" t="s">
        <v>427</v>
      </c>
      <c r="AE6" s="13" t="s">
        <v>427</v>
      </c>
      <c r="AF6" s="13" t="s">
        <v>427</v>
      </c>
    </row>
    <row r="7" spans="1:32" x14ac:dyDescent="0.2">
      <c r="A7" s="6" t="s">
        <v>417</v>
      </c>
      <c r="B7" s="34">
        <v>353</v>
      </c>
      <c r="C7" s="34">
        <v>380</v>
      </c>
      <c r="D7" s="34">
        <v>438</v>
      </c>
      <c r="E7" s="34">
        <v>451</v>
      </c>
      <c r="F7" s="34">
        <v>456</v>
      </c>
      <c r="G7" s="34">
        <v>441</v>
      </c>
      <c r="H7" s="33">
        <v>473</v>
      </c>
      <c r="I7" s="19">
        <v>493</v>
      </c>
      <c r="J7" s="12">
        <v>499</v>
      </c>
      <c r="K7" s="12">
        <v>492</v>
      </c>
      <c r="L7" s="12">
        <v>574</v>
      </c>
      <c r="M7" s="19">
        <v>590</v>
      </c>
      <c r="N7" s="19">
        <v>628</v>
      </c>
      <c r="O7" s="19">
        <v>676</v>
      </c>
      <c r="P7" s="19">
        <v>695</v>
      </c>
      <c r="Q7" s="19">
        <v>689</v>
      </c>
      <c r="R7" s="19">
        <v>718</v>
      </c>
      <c r="S7" s="42">
        <v>714.50400000000002</v>
      </c>
      <c r="T7" s="42">
        <v>671.66200000000003</v>
      </c>
      <c r="U7" s="42">
        <v>669.94200000000001</v>
      </c>
      <c r="V7" s="42">
        <v>732.64400000000001</v>
      </c>
      <c r="W7" s="19">
        <v>759</v>
      </c>
      <c r="X7" s="39">
        <v>774.46100000000069</v>
      </c>
      <c r="Y7" s="39">
        <v>740</v>
      </c>
      <c r="Z7" s="13" t="s">
        <v>427</v>
      </c>
      <c r="AA7" s="13" t="s">
        <v>427</v>
      </c>
      <c r="AB7" s="13" t="s">
        <v>427</v>
      </c>
      <c r="AC7" s="13" t="s">
        <v>427</v>
      </c>
      <c r="AD7" s="13" t="s">
        <v>427</v>
      </c>
      <c r="AE7" s="13" t="s">
        <v>427</v>
      </c>
      <c r="AF7" s="13" t="s">
        <v>427</v>
      </c>
    </row>
    <row r="8" spans="1:32" ht="33" customHeight="1" x14ac:dyDescent="0.2">
      <c r="A8" s="6" t="s">
        <v>420</v>
      </c>
      <c r="B8" s="34">
        <v>806</v>
      </c>
      <c r="C8" s="34">
        <v>998</v>
      </c>
      <c r="D8" s="34">
        <v>1048</v>
      </c>
      <c r="E8" s="34">
        <v>1200</v>
      </c>
      <c r="F8" s="34">
        <v>1193</v>
      </c>
      <c r="G8" s="34">
        <v>1155</v>
      </c>
      <c r="H8" s="33">
        <v>1213</v>
      </c>
      <c r="I8" s="33">
        <v>1086</v>
      </c>
      <c r="J8" s="34">
        <v>1203</v>
      </c>
      <c r="K8" s="29">
        <v>1095</v>
      </c>
      <c r="L8" s="29">
        <v>1399</v>
      </c>
      <c r="M8" s="28">
        <v>2059</v>
      </c>
      <c r="N8" s="28">
        <v>2285</v>
      </c>
      <c r="O8" s="28">
        <v>2587.3932784666022</v>
      </c>
      <c r="P8" s="28">
        <v>2590</v>
      </c>
      <c r="Q8" s="28">
        <v>2714</v>
      </c>
      <c r="R8" s="28">
        <v>3033</v>
      </c>
      <c r="S8" s="28">
        <v>3114.7870000000003</v>
      </c>
      <c r="T8" s="28">
        <v>2893.7840000000001</v>
      </c>
      <c r="U8" s="28">
        <v>2794.1950000000002</v>
      </c>
      <c r="V8" s="28">
        <v>2927.7359999999999</v>
      </c>
      <c r="W8" s="33">
        <v>3189.74</v>
      </c>
      <c r="X8" s="30">
        <v>3118.0650000000041</v>
      </c>
      <c r="Y8" s="30">
        <v>3162</v>
      </c>
      <c r="Z8" s="13" t="s">
        <v>427</v>
      </c>
      <c r="AA8" s="13" t="s">
        <v>427</v>
      </c>
      <c r="AB8" s="13" t="s">
        <v>427</v>
      </c>
      <c r="AC8" s="13" t="s">
        <v>427</v>
      </c>
      <c r="AD8" s="13" t="s">
        <v>427</v>
      </c>
      <c r="AE8" s="13" t="s">
        <v>427</v>
      </c>
      <c r="AF8" s="13" t="s">
        <v>427</v>
      </c>
    </row>
    <row r="9" spans="1:32" x14ac:dyDescent="0.2">
      <c r="A9" s="6" t="s">
        <v>424</v>
      </c>
      <c r="B9" s="34">
        <v>3398</v>
      </c>
      <c r="C9" s="34">
        <v>3373</v>
      </c>
      <c r="D9" s="34">
        <v>3504</v>
      </c>
      <c r="E9" s="34">
        <v>3747</v>
      </c>
      <c r="F9" s="34">
        <v>4546</v>
      </c>
      <c r="G9" s="34">
        <v>4445</v>
      </c>
      <c r="H9" s="33">
        <v>4983</v>
      </c>
      <c r="I9" s="33">
        <v>5153</v>
      </c>
      <c r="J9" s="34">
        <v>4918</v>
      </c>
      <c r="K9" s="29">
        <v>4349</v>
      </c>
      <c r="L9" s="29">
        <v>4157</v>
      </c>
      <c r="M9" s="28">
        <v>4203</v>
      </c>
      <c r="N9" s="28">
        <v>4508</v>
      </c>
      <c r="O9" s="28">
        <v>4992.6067215333969</v>
      </c>
      <c r="P9" s="28">
        <v>5386</v>
      </c>
      <c r="Q9" s="28">
        <v>5317</v>
      </c>
      <c r="R9" s="28">
        <v>5527</v>
      </c>
      <c r="S9" s="28">
        <v>5263.6610000000001</v>
      </c>
      <c r="T9" s="28">
        <v>5026.6189999999997</v>
      </c>
      <c r="U9" s="28">
        <v>5382.4620000000004</v>
      </c>
      <c r="V9" s="28">
        <v>5696.0050000000001</v>
      </c>
      <c r="W9" s="33">
        <v>5695.0590000000002</v>
      </c>
      <c r="X9" s="30">
        <v>5505.4949999999953</v>
      </c>
      <c r="Y9" s="30">
        <v>5747</v>
      </c>
      <c r="Z9" s="13" t="s">
        <v>427</v>
      </c>
      <c r="AA9" s="13" t="s">
        <v>427</v>
      </c>
      <c r="AB9" s="13" t="s">
        <v>427</v>
      </c>
      <c r="AC9" s="13" t="s">
        <v>427</v>
      </c>
      <c r="AD9" s="13" t="s">
        <v>427</v>
      </c>
      <c r="AE9" s="13" t="s">
        <v>427</v>
      </c>
      <c r="AF9" s="13" t="s">
        <v>427</v>
      </c>
    </row>
    <row r="10" spans="1:32" x14ac:dyDescent="0.2">
      <c r="A10" s="6" t="s">
        <v>419</v>
      </c>
      <c r="B10" s="34">
        <v>4204</v>
      </c>
      <c r="C10" s="34">
        <v>4372</v>
      </c>
      <c r="D10" s="34">
        <v>4552</v>
      </c>
      <c r="E10" s="34">
        <v>4947</v>
      </c>
      <c r="F10" s="34">
        <v>5739</v>
      </c>
      <c r="G10" s="34">
        <v>5601</v>
      </c>
      <c r="H10" s="33">
        <v>6196</v>
      </c>
      <c r="I10" s="33">
        <v>6173</v>
      </c>
      <c r="J10" s="34">
        <v>6122</v>
      </c>
      <c r="K10" s="29">
        <v>5444</v>
      </c>
      <c r="L10" s="29">
        <v>5555</v>
      </c>
      <c r="M10" s="28">
        <v>6262</v>
      </c>
      <c r="N10" s="28">
        <v>6793</v>
      </c>
      <c r="O10" s="28">
        <v>7580</v>
      </c>
      <c r="P10" s="28">
        <v>7976</v>
      </c>
      <c r="Q10" s="28">
        <v>8030</v>
      </c>
      <c r="R10" s="28">
        <v>8560</v>
      </c>
      <c r="S10" s="28">
        <v>8378.4480000000003</v>
      </c>
      <c r="T10" s="28">
        <v>7920.4030000000002</v>
      </c>
      <c r="U10" s="28">
        <v>8176.6570000000002</v>
      </c>
      <c r="V10" s="28">
        <v>8623.741</v>
      </c>
      <c r="W10" s="33">
        <v>8885.74</v>
      </c>
      <c r="X10" s="30">
        <v>8623.56</v>
      </c>
      <c r="Y10" s="30">
        <v>8908</v>
      </c>
      <c r="Z10" s="13" t="s">
        <v>427</v>
      </c>
      <c r="AA10" s="13" t="s">
        <v>427</v>
      </c>
      <c r="AB10" s="13" t="s">
        <v>427</v>
      </c>
      <c r="AC10" s="13" t="s">
        <v>427</v>
      </c>
      <c r="AD10" s="13" t="s">
        <v>427</v>
      </c>
      <c r="AE10" s="13" t="s">
        <v>427</v>
      </c>
      <c r="AF10" s="13" t="s">
        <v>427</v>
      </c>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20"/>
  <sheetViews>
    <sheetView zoomScaleNormal="100" workbookViewId="0">
      <pane xSplit="1" topLeftCell="P1" activePane="topRight" state="frozen"/>
      <selection activeCell="B8" sqref="B8"/>
      <selection pane="topRight" activeCell="B8" sqref="B8"/>
    </sheetView>
  </sheetViews>
  <sheetFormatPr defaultRowHeight="15" x14ac:dyDescent="0.2"/>
  <cols>
    <col min="1" max="1" width="50.21875" style="6" customWidth="1"/>
    <col min="2" max="5" width="6.44140625" style="6" customWidth="1"/>
    <col min="6" max="6" width="7.5546875" style="6" customWidth="1"/>
    <col min="7" max="25" width="6.44140625" style="6" customWidth="1"/>
    <col min="26" max="26" width="6.6640625" style="6" customWidth="1"/>
    <col min="27" max="31" width="6.44140625" style="6" customWidth="1"/>
    <col min="32" max="32" width="6.77734375" style="6" customWidth="1"/>
    <col min="33" max="16384" width="8.88671875" style="6"/>
  </cols>
  <sheetData>
    <row r="1" spans="1:32" s="5" customFormat="1" ht="15.75" x14ac:dyDescent="0.25">
      <c r="A1" s="1" t="s">
        <v>844</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69</v>
      </c>
      <c r="K3" s="2"/>
      <c r="L3" s="3"/>
      <c r="M3" s="4"/>
      <c r="N3" s="4"/>
      <c r="O3" s="2"/>
    </row>
    <row r="4" spans="1:32" s="260" customFormat="1" ht="34.5" customHeight="1" x14ac:dyDescent="0.25">
      <c r="A4" s="259" t="s">
        <v>335</v>
      </c>
      <c r="B4" s="260" t="s">
        <v>62</v>
      </c>
      <c r="C4" s="260" t="s">
        <v>63</v>
      </c>
      <c r="D4" s="260" t="s">
        <v>54</v>
      </c>
      <c r="E4" s="260" t="s">
        <v>55</v>
      </c>
      <c r="F4" s="260" t="s">
        <v>422</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426</v>
      </c>
      <c r="AA4" s="260" t="s">
        <v>32</v>
      </c>
      <c r="AB4" s="260" t="s">
        <v>33</v>
      </c>
      <c r="AC4" s="260" t="s">
        <v>34</v>
      </c>
      <c r="AD4" s="260" t="s">
        <v>35</v>
      </c>
      <c r="AE4" s="260" t="s">
        <v>36</v>
      </c>
      <c r="AF4" s="245" t="s">
        <v>857</v>
      </c>
    </row>
    <row r="5" spans="1:32" x14ac:dyDescent="0.2">
      <c r="A5" s="6" t="s">
        <v>428</v>
      </c>
      <c r="B5" s="12">
        <v>2.5499999999999998</v>
      </c>
      <c r="C5" s="15">
        <v>2.06</v>
      </c>
      <c r="D5" s="15">
        <v>2.1</v>
      </c>
      <c r="E5" s="12">
        <v>2.44</v>
      </c>
      <c r="F5" s="12">
        <v>2.5099999999999998</v>
      </c>
      <c r="G5" s="12">
        <v>2.4500000000000002</v>
      </c>
      <c r="H5" s="19">
        <v>2.5299999999999998</v>
      </c>
      <c r="I5" s="19">
        <v>1.53</v>
      </c>
      <c r="J5" s="19">
        <v>1.66</v>
      </c>
      <c r="K5" s="19">
        <v>0.95</v>
      </c>
      <c r="L5" s="12">
        <v>1.61</v>
      </c>
      <c r="M5" s="19">
        <v>1.29</v>
      </c>
      <c r="N5" s="9">
        <v>1.34</v>
      </c>
      <c r="O5" s="9">
        <v>1.29</v>
      </c>
      <c r="P5" s="12">
        <v>1.59</v>
      </c>
      <c r="Q5" s="19">
        <v>1.53</v>
      </c>
      <c r="R5" s="19">
        <v>2.08</v>
      </c>
      <c r="S5" s="19">
        <v>2.5299999999999998</v>
      </c>
      <c r="T5" s="19">
        <v>1.46</v>
      </c>
      <c r="U5" s="13">
        <v>2.34</v>
      </c>
      <c r="V5" s="13">
        <v>2.56</v>
      </c>
      <c r="W5" s="19">
        <v>2.25</v>
      </c>
      <c r="X5" s="12">
        <v>1.88</v>
      </c>
      <c r="Y5" s="12">
        <v>1.8</v>
      </c>
      <c r="Z5" s="9">
        <v>1.9050019117394257</v>
      </c>
      <c r="AA5" s="9">
        <v>1.92785059971156</v>
      </c>
      <c r="AB5" s="9">
        <v>1.68022954404826</v>
      </c>
      <c r="AC5" s="9">
        <v>1.4818813206303909</v>
      </c>
      <c r="AD5" s="9">
        <v>1.0759794387189869</v>
      </c>
      <c r="AE5" s="9">
        <v>1.04395866387591</v>
      </c>
      <c r="AF5" s="290">
        <v>1.5</v>
      </c>
    </row>
    <row r="6" spans="1:32" x14ac:dyDescent="0.2">
      <c r="A6" s="6" t="s">
        <v>429</v>
      </c>
      <c r="B6" s="12">
        <v>8.4600000000000009</v>
      </c>
      <c r="C6" s="12">
        <v>8.2799999999999994</v>
      </c>
      <c r="D6" s="12">
        <v>8.94</v>
      </c>
      <c r="E6" s="12">
        <v>8.41</v>
      </c>
      <c r="F6" s="15">
        <v>8.4</v>
      </c>
      <c r="G6" s="12">
        <v>8.32</v>
      </c>
      <c r="H6" s="19">
        <v>8.81</v>
      </c>
      <c r="I6" s="19">
        <v>8.56</v>
      </c>
      <c r="J6" s="19">
        <v>7.54</v>
      </c>
      <c r="K6" s="19">
        <v>11.02</v>
      </c>
      <c r="L6" s="12">
        <v>9.59</v>
      </c>
      <c r="M6" s="19">
        <v>8.5299999999999994</v>
      </c>
      <c r="N6" s="19">
        <v>8.58</v>
      </c>
      <c r="O6" s="19">
        <v>8.52</v>
      </c>
      <c r="P6" s="12">
        <v>8.4700000000000006</v>
      </c>
      <c r="Q6" s="19">
        <v>8.49</v>
      </c>
      <c r="R6" s="19">
        <v>8.2799999999999994</v>
      </c>
      <c r="S6" s="19">
        <v>9.52</v>
      </c>
      <c r="T6" s="19">
        <v>8.52</v>
      </c>
      <c r="U6" s="13">
        <v>8.2200000000000006</v>
      </c>
      <c r="V6" s="13">
        <v>7.99</v>
      </c>
      <c r="W6" s="9">
        <v>8.5</v>
      </c>
      <c r="X6" s="12">
        <v>8.76</v>
      </c>
      <c r="Y6" s="12">
        <v>7.54</v>
      </c>
      <c r="Z6" s="9">
        <v>8.2398791928842634</v>
      </c>
      <c r="AA6" s="9">
        <v>8.4930094329419994</v>
      </c>
      <c r="AB6" s="9">
        <v>8.7817958244008505</v>
      </c>
      <c r="AC6" s="9">
        <v>8.9464591660309587</v>
      </c>
      <c r="AD6" s="9">
        <v>8.0176209662518065</v>
      </c>
      <c r="AE6" s="9">
        <v>6.5496779731694099</v>
      </c>
      <c r="AF6" s="290">
        <v>6.5</v>
      </c>
    </row>
    <row r="7" spans="1:32" x14ac:dyDescent="0.2">
      <c r="A7" s="6" t="s">
        <v>434</v>
      </c>
      <c r="B7" s="12">
        <v>11.34</v>
      </c>
      <c r="C7" s="12">
        <v>10.66</v>
      </c>
      <c r="D7" s="12">
        <v>11.35</v>
      </c>
      <c r="E7" s="12">
        <v>11.16</v>
      </c>
      <c r="F7" s="12">
        <v>11.22</v>
      </c>
      <c r="G7" s="12">
        <v>11.08</v>
      </c>
      <c r="H7" s="19">
        <v>11.62</v>
      </c>
      <c r="I7" s="19">
        <v>10.37</v>
      </c>
      <c r="J7" s="19">
        <v>9.4700000000000006</v>
      </c>
      <c r="K7" s="19">
        <v>12.24</v>
      </c>
      <c r="L7" s="12">
        <v>11.41</v>
      </c>
      <c r="M7" s="19">
        <v>10.01</v>
      </c>
      <c r="N7" s="19">
        <v>10.06</v>
      </c>
      <c r="O7" s="19">
        <v>9.9721925998343881</v>
      </c>
      <c r="P7" s="9">
        <v>10.193762099703264</v>
      </c>
      <c r="Q7" s="9">
        <v>10.16</v>
      </c>
      <c r="R7" s="9">
        <v>10.5</v>
      </c>
      <c r="S7" s="9">
        <v>12.19</v>
      </c>
      <c r="T7" s="9">
        <v>10.1</v>
      </c>
      <c r="U7" s="13">
        <v>10.89</v>
      </c>
      <c r="V7" s="14">
        <v>10.695766254266042</v>
      </c>
      <c r="W7" s="19">
        <v>10.79</v>
      </c>
      <c r="X7" s="12">
        <v>10.65</v>
      </c>
      <c r="Y7" s="12">
        <v>9.41</v>
      </c>
      <c r="Z7" s="9">
        <f>SUM(Z5:Z6)</f>
        <v>10.144881104623689</v>
      </c>
      <c r="AA7" s="9">
        <f t="shared" ref="AA7:AF7" si="0">SUM(AA5:AA6)</f>
        <v>10.420860032653559</v>
      </c>
      <c r="AB7" s="9">
        <f t="shared" si="0"/>
        <v>10.46202536844911</v>
      </c>
      <c r="AC7" s="9">
        <f t="shared" si="0"/>
        <v>10.42834048666135</v>
      </c>
      <c r="AD7" s="9">
        <f t="shared" si="0"/>
        <v>9.0936004049707932</v>
      </c>
      <c r="AE7" s="9">
        <f t="shared" si="0"/>
        <v>7.5936366370453197</v>
      </c>
      <c r="AF7" s="9">
        <f t="shared" si="0"/>
        <v>8</v>
      </c>
    </row>
    <row r="8" spans="1:32" ht="33" customHeight="1" x14ac:dyDescent="0.2">
      <c r="A8" s="6" t="s">
        <v>431</v>
      </c>
      <c r="B8" s="12">
        <v>98</v>
      </c>
      <c r="C8" s="12">
        <v>80</v>
      </c>
      <c r="D8" s="12">
        <v>80</v>
      </c>
      <c r="E8" s="12">
        <v>90</v>
      </c>
      <c r="F8" s="12">
        <v>100</v>
      </c>
      <c r="G8" s="12">
        <v>100</v>
      </c>
      <c r="H8" s="19">
        <v>100</v>
      </c>
      <c r="I8" s="19">
        <v>60</v>
      </c>
      <c r="J8" s="19">
        <v>60</v>
      </c>
      <c r="K8" s="19">
        <v>40</v>
      </c>
      <c r="L8" s="12">
        <v>70</v>
      </c>
      <c r="M8" s="19">
        <v>50</v>
      </c>
      <c r="N8" s="19">
        <v>60</v>
      </c>
      <c r="O8" s="19">
        <v>50</v>
      </c>
      <c r="P8" s="12">
        <v>70</v>
      </c>
      <c r="Q8" s="19">
        <v>60</v>
      </c>
      <c r="R8" s="19">
        <v>90</v>
      </c>
      <c r="S8" s="19">
        <v>110</v>
      </c>
      <c r="T8" s="19">
        <v>60</v>
      </c>
      <c r="U8" s="13">
        <v>90</v>
      </c>
      <c r="V8" s="13">
        <v>100</v>
      </c>
      <c r="W8" s="19">
        <v>89</v>
      </c>
      <c r="X8" s="12">
        <v>76</v>
      </c>
      <c r="Y8" s="12">
        <v>74</v>
      </c>
      <c r="Z8" s="42">
        <v>76.875014852473456</v>
      </c>
      <c r="AA8" s="42">
        <v>78.266843293244506</v>
      </c>
      <c r="AB8" s="42">
        <v>67.130760993211098</v>
      </c>
      <c r="AC8" s="42">
        <v>58.965581872963647</v>
      </c>
      <c r="AD8" s="42">
        <v>42.122739749844811</v>
      </c>
      <c r="AE8" s="42">
        <v>40.910673998235097</v>
      </c>
      <c r="AF8" s="56">
        <v>57.22519001909</v>
      </c>
    </row>
    <row r="9" spans="1:32" x14ac:dyDescent="0.2">
      <c r="A9" s="6" t="s">
        <v>430</v>
      </c>
      <c r="B9" s="12">
        <v>186</v>
      </c>
      <c r="C9" s="12">
        <v>180</v>
      </c>
      <c r="D9" s="12">
        <v>200</v>
      </c>
      <c r="E9" s="12">
        <v>190</v>
      </c>
      <c r="F9" s="12">
        <v>190</v>
      </c>
      <c r="G9" s="12">
        <v>180</v>
      </c>
      <c r="H9" s="19">
        <v>190</v>
      </c>
      <c r="I9" s="19">
        <v>190</v>
      </c>
      <c r="J9" s="19">
        <v>170</v>
      </c>
      <c r="K9" s="19">
        <v>230</v>
      </c>
      <c r="L9" s="12">
        <v>200</v>
      </c>
      <c r="M9" s="19">
        <v>180</v>
      </c>
      <c r="N9" s="19">
        <v>180</v>
      </c>
      <c r="O9" s="19">
        <v>180</v>
      </c>
      <c r="P9" s="12">
        <v>180</v>
      </c>
      <c r="Q9" s="19">
        <v>180</v>
      </c>
      <c r="R9" s="19">
        <v>170</v>
      </c>
      <c r="S9" s="19">
        <v>200</v>
      </c>
      <c r="T9" s="19">
        <v>180</v>
      </c>
      <c r="U9" s="13">
        <v>170</v>
      </c>
      <c r="V9" s="13">
        <v>170</v>
      </c>
      <c r="W9" s="19">
        <v>178</v>
      </c>
      <c r="X9" s="12">
        <v>184</v>
      </c>
      <c r="Y9" s="12">
        <v>158</v>
      </c>
      <c r="Z9" s="42">
        <v>173.03746305056976</v>
      </c>
      <c r="AA9" s="42">
        <v>178.35319809178199</v>
      </c>
      <c r="AB9" s="42">
        <v>184.41771231241799</v>
      </c>
      <c r="AC9" s="42">
        <v>187.87564248665009</v>
      </c>
      <c r="AD9" s="42">
        <v>168.37004029128792</v>
      </c>
      <c r="AE9" s="42">
        <v>137.543237436558</v>
      </c>
      <c r="AF9" s="56">
        <v>137.041176284383</v>
      </c>
    </row>
    <row r="10" spans="1:32" x14ac:dyDescent="0.2">
      <c r="A10" s="6" t="s">
        <v>433</v>
      </c>
      <c r="B10" s="12">
        <v>298</v>
      </c>
      <c r="C10" s="12">
        <v>270</v>
      </c>
      <c r="D10" s="12">
        <v>290</v>
      </c>
      <c r="E10" s="12">
        <v>290</v>
      </c>
      <c r="F10" s="12">
        <v>300</v>
      </c>
      <c r="G10" s="12">
        <v>300</v>
      </c>
      <c r="H10" s="19">
        <v>310</v>
      </c>
      <c r="I10" s="19">
        <v>260</v>
      </c>
      <c r="J10" s="19">
        <v>240</v>
      </c>
      <c r="K10" s="19">
        <v>280</v>
      </c>
      <c r="L10" s="12">
        <v>280</v>
      </c>
      <c r="M10" s="19">
        <v>240</v>
      </c>
      <c r="N10" s="19">
        <v>240</v>
      </c>
      <c r="O10" s="19">
        <v>240</v>
      </c>
      <c r="P10" s="42">
        <v>250</v>
      </c>
      <c r="Q10" s="42">
        <v>250</v>
      </c>
      <c r="R10" s="42">
        <v>268</v>
      </c>
      <c r="S10" s="42">
        <v>320</v>
      </c>
      <c r="T10" s="42">
        <v>250</v>
      </c>
      <c r="U10" s="13">
        <v>280</v>
      </c>
      <c r="V10" s="13">
        <v>270</v>
      </c>
      <c r="W10" s="19">
        <v>269</v>
      </c>
      <c r="X10" s="12">
        <v>260</v>
      </c>
      <c r="Y10" s="12">
        <v>234</v>
      </c>
      <c r="Z10" s="42">
        <f t="shared" ref="Z10:AF10" si="1">SUM(Z8:Z9)</f>
        <v>249.91247790304323</v>
      </c>
      <c r="AA10" s="42">
        <f t="shared" si="1"/>
        <v>256.62004138502652</v>
      </c>
      <c r="AB10" s="42">
        <f t="shared" si="1"/>
        <v>251.5484733056291</v>
      </c>
      <c r="AC10" s="42">
        <f t="shared" si="1"/>
        <v>246.84122435961373</v>
      </c>
      <c r="AD10" s="42">
        <f t="shared" si="1"/>
        <v>210.49278004113273</v>
      </c>
      <c r="AE10" s="42">
        <f t="shared" si="1"/>
        <v>178.4539114347931</v>
      </c>
      <c r="AF10" s="42">
        <f t="shared" si="1"/>
        <v>194.26636630347301</v>
      </c>
    </row>
    <row r="19" spans="32:33" x14ac:dyDescent="0.2">
      <c r="AF19" s="291"/>
      <c r="AG19" s="291"/>
    </row>
    <row r="20" spans="32:33" x14ac:dyDescent="0.2">
      <c r="AF20" s="291"/>
      <c r="AG20" s="291"/>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20"/>
  <sheetViews>
    <sheetView zoomScaleNormal="100" workbookViewId="0">
      <pane xSplit="1" topLeftCell="R1" activePane="topRight" state="frozen"/>
      <selection activeCell="B8" sqref="B8"/>
      <selection pane="topRight" activeCell="B8" sqref="B8"/>
    </sheetView>
  </sheetViews>
  <sheetFormatPr defaultRowHeight="15" x14ac:dyDescent="0.2"/>
  <cols>
    <col min="1" max="1" width="54.77734375" style="6" customWidth="1"/>
    <col min="2" max="2" width="9.33203125" style="6" customWidth="1"/>
    <col min="3" max="3" width="9.44140625" style="6" customWidth="1"/>
    <col min="4" max="4" width="7.88671875" style="6" customWidth="1"/>
    <col min="5" max="5" width="8.5546875" style="6" customWidth="1"/>
    <col min="6" max="6" width="8.88671875" style="6" customWidth="1"/>
    <col min="7" max="7" width="7.44140625" style="6" customWidth="1"/>
    <col min="8" max="8" width="7.33203125" style="6" customWidth="1"/>
    <col min="9" max="9" width="7.5546875" style="6" customWidth="1"/>
    <col min="10" max="10" width="7.44140625" style="6" customWidth="1"/>
    <col min="11" max="25" width="8.5546875" style="6" customWidth="1"/>
    <col min="26" max="31" width="10.5546875" style="6" customWidth="1"/>
    <col min="32" max="16384" width="8.88671875" style="6"/>
  </cols>
  <sheetData>
    <row r="1" spans="1:32" s="5" customFormat="1" ht="15.75" x14ac:dyDescent="0.25">
      <c r="A1" s="1" t="s">
        <v>843</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69</v>
      </c>
      <c r="K3" s="2"/>
      <c r="L3" s="3"/>
      <c r="M3" s="4"/>
      <c r="N3" s="4"/>
      <c r="O3" s="2"/>
    </row>
    <row r="4" spans="1:32" s="260" customFormat="1" ht="31.5" x14ac:dyDescent="0.25">
      <c r="A4" s="259" t="s">
        <v>435</v>
      </c>
      <c r="B4" s="260" t="s">
        <v>62</v>
      </c>
      <c r="C4" s="260" t="s">
        <v>63</v>
      </c>
      <c r="D4" s="260" t="s">
        <v>54</v>
      </c>
      <c r="E4" s="260" t="s">
        <v>55</v>
      </c>
      <c r="F4" s="260" t="s">
        <v>422</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426</v>
      </c>
      <c r="AA4" s="260" t="s">
        <v>32</v>
      </c>
      <c r="AB4" s="260" t="s">
        <v>33</v>
      </c>
      <c r="AC4" s="260" t="s">
        <v>34</v>
      </c>
      <c r="AD4" s="260" t="s">
        <v>35</v>
      </c>
      <c r="AE4" s="260" t="s">
        <v>36</v>
      </c>
      <c r="AF4" s="245" t="s">
        <v>857</v>
      </c>
    </row>
    <row r="5" spans="1:32" x14ac:dyDescent="0.2">
      <c r="A5" s="10" t="s">
        <v>436</v>
      </c>
      <c r="B5" s="10">
        <v>9.31</v>
      </c>
      <c r="C5" s="10">
        <v>8.85</v>
      </c>
      <c r="D5" s="10">
        <v>9.5399999999999991</v>
      </c>
      <c r="E5" s="10">
        <v>9.2200000000000006</v>
      </c>
      <c r="F5" s="92">
        <v>8.5</v>
      </c>
      <c r="G5" s="10">
        <v>8.4499999999999993</v>
      </c>
      <c r="H5" s="87">
        <v>8.81</v>
      </c>
      <c r="I5" s="97">
        <v>7.11</v>
      </c>
      <c r="J5" s="97">
        <v>6.12</v>
      </c>
      <c r="K5" s="10">
        <v>10.119999999999999</v>
      </c>
      <c r="L5" s="87">
        <v>8.7799999999999994</v>
      </c>
      <c r="M5" s="93">
        <v>7.1</v>
      </c>
      <c r="N5" s="93">
        <v>7.01</v>
      </c>
      <c r="O5" s="92">
        <v>6.7</v>
      </c>
      <c r="P5" s="93">
        <v>6.61</v>
      </c>
      <c r="Q5" s="93">
        <v>6.49</v>
      </c>
      <c r="R5" s="93">
        <v>6.73</v>
      </c>
      <c r="S5" s="93">
        <v>7.48</v>
      </c>
      <c r="T5" s="93">
        <v>6.57</v>
      </c>
      <c r="U5" s="89">
        <v>6.55</v>
      </c>
      <c r="V5" s="89">
        <f>0.44+5.74</f>
        <v>6.1800000000000006</v>
      </c>
      <c r="W5" s="87">
        <v>6.97</v>
      </c>
      <c r="X5" s="10">
        <v>6.84</v>
      </c>
      <c r="Y5" s="10">
        <v>5.31</v>
      </c>
      <c r="Z5" s="92">
        <v>6.487909815423258</v>
      </c>
      <c r="AA5" s="13" t="s">
        <v>427</v>
      </c>
      <c r="AB5" s="13" t="s">
        <v>427</v>
      </c>
      <c r="AC5" s="13" t="s">
        <v>427</v>
      </c>
      <c r="AD5" s="13" t="s">
        <v>427</v>
      </c>
      <c r="AE5" s="13" t="s">
        <v>427</v>
      </c>
      <c r="AF5" s="13" t="s">
        <v>427</v>
      </c>
    </row>
    <row r="6" spans="1:32" x14ac:dyDescent="0.2">
      <c r="A6" s="10" t="s">
        <v>437</v>
      </c>
      <c r="B6" s="92">
        <v>0.8</v>
      </c>
      <c r="C6" s="10">
        <v>0.67</v>
      </c>
      <c r="D6" s="10">
        <v>0.61</v>
      </c>
      <c r="E6" s="10">
        <v>0.65</v>
      </c>
      <c r="F6" s="10">
        <v>1.44</v>
      </c>
      <c r="G6" s="10">
        <v>1.29</v>
      </c>
      <c r="H6" s="87">
        <v>1.33</v>
      </c>
      <c r="I6" s="97">
        <v>1.85</v>
      </c>
      <c r="J6" s="97">
        <v>1.96</v>
      </c>
      <c r="K6" s="10">
        <v>1.03</v>
      </c>
      <c r="L6" s="93">
        <v>1</v>
      </c>
      <c r="M6" s="93">
        <v>0.91</v>
      </c>
      <c r="N6" s="93">
        <v>0.83</v>
      </c>
      <c r="O6" s="10">
        <v>1.04</v>
      </c>
      <c r="P6" s="87">
        <v>1.38</v>
      </c>
      <c r="Q6" s="93">
        <v>1.4</v>
      </c>
      <c r="R6" s="87">
        <v>1.43</v>
      </c>
      <c r="S6" s="87">
        <v>1.51</v>
      </c>
      <c r="T6" s="87">
        <v>1.02</v>
      </c>
      <c r="U6" s="89">
        <v>2.0499999999999998</v>
      </c>
      <c r="V6" s="89">
        <f>1.91+0.24</f>
        <v>2.15</v>
      </c>
      <c r="W6" s="87">
        <v>1.39</v>
      </c>
      <c r="X6" s="92">
        <v>1.4</v>
      </c>
      <c r="Y6" s="92">
        <v>1.5</v>
      </c>
      <c r="Z6" s="92">
        <v>1.4905825164142339</v>
      </c>
      <c r="AA6" s="13" t="s">
        <v>427</v>
      </c>
      <c r="AB6" s="13" t="s">
        <v>427</v>
      </c>
      <c r="AC6" s="13" t="s">
        <v>427</v>
      </c>
      <c r="AD6" s="13" t="s">
        <v>427</v>
      </c>
      <c r="AE6" s="13" t="s">
        <v>427</v>
      </c>
      <c r="AF6" s="13" t="s">
        <v>427</v>
      </c>
    </row>
    <row r="7" spans="1:32" ht="33" customHeight="1" x14ac:dyDescent="0.2">
      <c r="A7" s="10" t="s">
        <v>438</v>
      </c>
      <c r="B7" s="10">
        <v>0.28999999999999998</v>
      </c>
      <c r="C7" s="10">
        <v>0.28000000000000003</v>
      </c>
      <c r="D7" s="92">
        <v>0.3</v>
      </c>
      <c r="E7" s="10">
        <v>0.31</v>
      </c>
      <c r="F7" s="10">
        <v>0.28000000000000003</v>
      </c>
      <c r="G7" s="10">
        <v>0.32</v>
      </c>
      <c r="H7" s="87">
        <v>0.34</v>
      </c>
      <c r="I7" s="97">
        <v>0.28999999999999998</v>
      </c>
      <c r="J7" s="97">
        <v>0.23</v>
      </c>
      <c r="K7" s="10">
        <v>0.24</v>
      </c>
      <c r="L7" s="87">
        <v>0.28999999999999998</v>
      </c>
      <c r="M7" s="93">
        <v>0.2</v>
      </c>
      <c r="N7" s="93">
        <v>0.12</v>
      </c>
      <c r="O7" s="10">
        <v>0.23</v>
      </c>
      <c r="P7" s="87">
        <v>0.17</v>
      </c>
      <c r="Q7" s="87">
        <v>0.21</v>
      </c>
      <c r="R7" s="93">
        <v>0.2</v>
      </c>
      <c r="S7" s="93">
        <v>0.24</v>
      </c>
      <c r="T7" s="93">
        <v>0.16</v>
      </c>
      <c r="U7" s="89">
        <v>0.14000000000000001</v>
      </c>
      <c r="V7" s="89">
        <v>0.11</v>
      </c>
      <c r="W7" s="87">
        <v>0.03</v>
      </c>
      <c r="X7" s="10">
        <v>0.01</v>
      </c>
      <c r="Y7" s="10">
        <v>0.04</v>
      </c>
      <c r="Z7" s="98">
        <v>0</v>
      </c>
      <c r="AA7" s="13" t="s">
        <v>427</v>
      </c>
      <c r="AB7" s="13" t="s">
        <v>427</v>
      </c>
      <c r="AC7" s="13" t="s">
        <v>427</v>
      </c>
      <c r="AD7" s="13" t="s">
        <v>427</v>
      </c>
      <c r="AE7" s="13" t="s">
        <v>427</v>
      </c>
      <c r="AF7" s="13" t="s">
        <v>427</v>
      </c>
    </row>
    <row r="8" spans="1:32" x14ac:dyDescent="0.2">
      <c r="A8" s="10" t="s">
        <v>439</v>
      </c>
      <c r="B8" s="10">
        <v>0.08</v>
      </c>
      <c r="C8" s="10">
        <v>0.03</v>
      </c>
      <c r="D8" s="10">
        <v>7.0000000000000007E-2</v>
      </c>
      <c r="E8" s="10">
        <v>7.0000000000000007E-2</v>
      </c>
      <c r="F8" s="10">
        <v>7.0000000000000007E-2</v>
      </c>
      <c r="G8" s="10">
        <v>0.12</v>
      </c>
      <c r="H8" s="87">
        <v>0.14000000000000001</v>
      </c>
      <c r="I8" s="93">
        <v>0.2</v>
      </c>
      <c r="J8" s="93">
        <v>0.13</v>
      </c>
      <c r="K8" s="89">
        <v>0</v>
      </c>
      <c r="L8" s="89">
        <v>0</v>
      </c>
      <c r="M8" s="89">
        <v>0</v>
      </c>
      <c r="N8" s="89">
        <v>0</v>
      </c>
      <c r="O8" s="89">
        <v>0</v>
      </c>
      <c r="P8" s="89">
        <v>0</v>
      </c>
      <c r="Q8" s="89">
        <v>0</v>
      </c>
      <c r="R8" s="89">
        <v>0</v>
      </c>
      <c r="S8" s="89">
        <v>0</v>
      </c>
      <c r="T8" s="89">
        <v>0</v>
      </c>
      <c r="U8" s="89">
        <v>0</v>
      </c>
      <c r="V8" s="89">
        <v>0</v>
      </c>
      <c r="W8" s="89">
        <v>0</v>
      </c>
      <c r="X8" s="99">
        <v>0</v>
      </c>
      <c r="Y8" s="99">
        <v>0</v>
      </c>
      <c r="Z8" s="98">
        <v>0</v>
      </c>
      <c r="AA8" s="13" t="s">
        <v>427</v>
      </c>
      <c r="AB8" s="13" t="s">
        <v>427</v>
      </c>
      <c r="AC8" s="13" t="s">
        <v>427</v>
      </c>
      <c r="AD8" s="13" t="s">
        <v>427</v>
      </c>
      <c r="AE8" s="13" t="s">
        <v>427</v>
      </c>
      <c r="AF8" s="13" t="s">
        <v>427</v>
      </c>
    </row>
    <row r="9" spans="1:32" x14ac:dyDescent="0.2">
      <c r="A9" s="10" t="s">
        <v>440</v>
      </c>
      <c r="B9" s="92">
        <v>0.1</v>
      </c>
      <c r="C9" s="10">
        <v>0.05</v>
      </c>
      <c r="D9" s="10">
        <v>0.04</v>
      </c>
      <c r="E9" s="10">
        <v>0.03</v>
      </c>
      <c r="F9" s="10">
        <v>0.04</v>
      </c>
      <c r="G9" s="10">
        <v>0.05</v>
      </c>
      <c r="H9" s="87">
        <v>0.05</v>
      </c>
      <c r="I9" s="97">
        <v>0.03</v>
      </c>
      <c r="J9" s="97">
        <v>0.05</v>
      </c>
      <c r="K9" s="89">
        <v>0</v>
      </c>
      <c r="L9" s="89">
        <v>0</v>
      </c>
      <c r="M9" s="89">
        <v>0</v>
      </c>
      <c r="N9" s="89">
        <v>0</v>
      </c>
      <c r="O9" s="89">
        <v>0</v>
      </c>
      <c r="P9" s="89">
        <v>0</v>
      </c>
      <c r="Q9" s="89">
        <v>0</v>
      </c>
      <c r="R9" s="89">
        <v>0</v>
      </c>
      <c r="S9" s="89">
        <v>0</v>
      </c>
      <c r="T9" s="89">
        <v>0</v>
      </c>
      <c r="U9" s="89">
        <v>0</v>
      </c>
      <c r="V9" s="89">
        <v>0</v>
      </c>
      <c r="W9" s="89">
        <v>0</v>
      </c>
      <c r="X9" s="99">
        <v>0</v>
      </c>
      <c r="Y9" s="99">
        <v>0</v>
      </c>
      <c r="Z9" s="98">
        <v>0</v>
      </c>
      <c r="AA9" s="13" t="s">
        <v>427</v>
      </c>
      <c r="AB9" s="13" t="s">
        <v>427</v>
      </c>
      <c r="AC9" s="13" t="s">
        <v>427</v>
      </c>
      <c r="AD9" s="13" t="s">
        <v>427</v>
      </c>
      <c r="AE9" s="13" t="s">
        <v>427</v>
      </c>
      <c r="AF9" s="13" t="s">
        <v>427</v>
      </c>
    </row>
    <row r="10" spans="1:32" x14ac:dyDescent="0.2">
      <c r="A10" s="10" t="s">
        <v>441</v>
      </c>
      <c r="B10" s="99">
        <v>0</v>
      </c>
      <c r="C10" s="99">
        <v>0</v>
      </c>
      <c r="D10" s="99">
        <v>0</v>
      </c>
      <c r="E10" s="99">
        <v>0</v>
      </c>
      <c r="F10" s="99">
        <v>0</v>
      </c>
      <c r="G10" s="99">
        <v>0</v>
      </c>
      <c r="H10" s="99">
        <v>0</v>
      </c>
      <c r="I10" s="99">
        <v>0</v>
      </c>
      <c r="J10" s="99">
        <v>0</v>
      </c>
      <c r="K10" s="10">
        <v>0.24</v>
      </c>
      <c r="L10" s="87">
        <v>0.51</v>
      </c>
      <c r="M10" s="93">
        <v>0.43</v>
      </c>
      <c r="N10" s="93">
        <v>0.52</v>
      </c>
      <c r="O10" s="92">
        <v>0.1</v>
      </c>
      <c r="P10" s="93">
        <v>0.14000000000000001</v>
      </c>
      <c r="Q10" s="93">
        <v>0.23</v>
      </c>
      <c r="R10" s="93">
        <v>0.17</v>
      </c>
      <c r="S10" s="93">
        <v>0.6</v>
      </c>
      <c r="T10" s="93">
        <v>0.1</v>
      </c>
      <c r="U10" s="94">
        <v>0.1</v>
      </c>
      <c r="V10" s="94">
        <v>0.17</v>
      </c>
      <c r="W10" s="87">
        <v>0.14000000000000001</v>
      </c>
      <c r="X10" s="10">
        <v>0.17</v>
      </c>
      <c r="Y10" s="10">
        <v>0.25</v>
      </c>
      <c r="Z10" s="92">
        <v>0.13478830283513141</v>
      </c>
      <c r="AA10" s="13" t="s">
        <v>427</v>
      </c>
      <c r="AB10" s="13" t="s">
        <v>427</v>
      </c>
      <c r="AC10" s="13" t="s">
        <v>427</v>
      </c>
      <c r="AD10" s="13" t="s">
        <v>427</v>
      </c>
      <c r="AE10" s="13" t="s">
        <v>427</v>
      </c>
      <c r="AF10" s="13" t="s">
        <v>427</v>
      </c>
    </row>
    <row r="11" spans="1:32" x14ac:dyDescent="0.2">
      <c r="A11" s="10" t="s">
        <v>442</v>
      </c>
      <c r="B11" s="10">
        <v>0.76</v>
      </c>
      <c r="C11" s="10">
        <v>0.78</v>
      </c>
      <c r="D11" s="92">
        <v>0.8</v>
      </c>
      <c r="E11" s="10">
        <v>0.89</v>
      </c>
      <c r="F11" s="92">
        <v>0.9</v>
      </c>
      <c r="G11" s="10">
        <v>0.86</v>
      </c>
      <c r="H11" s="87">
        <v>0.94</v>
      </c>
      <c r="I11" s="93">
        <v>0.9</v>
      </c>
      <c r="J11" s="93">
        <v>0.99</v>
      </c>
      <c r="K11" s="10">
        <v>0.61</v>
      </c>
      <c r="L11" s="87">
        <v>0.83</v>
      </c>
      <c r="M11" s="93">
        <v>1.36</v>
      </c>
      <c r="N11" s="93">
        <v>1.57</v>
      </c>
      <c r="O11" s="10">
        <v>1.89</v>
      </c>
      <c r="P11" s="87">
        <v>1.89</v>
      </c>
      <c r="Q11" s="87">
        <v>1.83</v>
      </c>
      <c r="R11" s="87">
        <v>1.97</v>
      </c>
      <c r="S11" s="87">
        <v>2.37</v>
      </c>
      <c r="T11" s="87">
        <v>2.2599999999999998</v>
      </c>
      <c r="U11" s="89">
        <v>2.0499999999999998</v>
      </c>
      <c r="V11" s="94">
        <v>2.1</v>
      </c>
      <c r="W11" s="87">
        <v>2.27</v>
      </c>
      <c r="X11" s="10">
        <v>2.29</v>
      </c>
      <c r="Y11" s="10">
        <v>2.35</v>
      </c>
      <c r="Z11" s="92">
        <v>2.1173399999999982</v>
      </c>
      <c r="AA11" s="13" t="s">
        <v>427</v>
      </c>
      <c r="AB11" s="13" t="s">
        <v>427</v>
      </c>
      <c r="AC11" s="13" t="s">
        <v>427</v>
      </c>
      <c r="AD11" s="13" t="s">
        <v>427</v>
      </c>
      <c r="AE11" s="13" t="s">
        <v>427</v>
      </c>
      <c r="AF11" s="13" t="s">
        <v>427</v>
      </c>
    </row>
    <row r="12" spans="1:32" x14ac:dyDescent="0.2">
      <c r="A12" s="10" t="s">
        <v>443</v>
      </c>
      <c r="B12" s="10">
        <v>11.34</v>
      </c>
      <c r="C12" s="10">
        <v>10.66</v>
      </c>
      <c r="D12" s="10">
        <v>11.35</v>
      </c>
      <c r="E12" s="10">
        <v>11.16</v>
      </c>
      <c r="F12" s="10">
        <v>11.22</v>
      </c>
      <c r="G12" s="10">
        <v>11.08</v>
      </c>
      <c r="H12" s="10">
        <v>11.62</v>
      </c>
      <c r="I12" s="97">
        <v>10.37</v>
      </c>
      <c r="J12" s="97">
        <v>9.4700000000000006</v>
      </c>
      <c r="K12" s="10">
        <v>12.24</v>
      </c>
      <c r="L12" s="87">
        <v>11.41</v>
      </c>
      <c r="M12" s="93">
        <v>10.01</v>
      </c>
      <c r="N12" s="93">
        <v>10.06</v>
      </c>
      <c r="O12" s="10">
        <v>9.9700000000000006</v>
      </c>
      <c r="P12" s="93">
        <v>10.193762099703264</v>
      </c>
      <c r="Q12" s="93">
        <v>10.16</v>
      </c>
      <c r="R12" s="93">
        <v>10.5</v>
      </c>
      <c r="S12" s="93">
        <v>12.19</v>
      </c>
      <c r="T12" s="93">
        <v>10.1</v>
      </c>
      <c r="U12" s="89">
        <v>10.89</v>
      </c>
      <c r="V12" s="94">
        <v>10.7</v>
      </c>
      <c r="W12" s="93">
        <v>10.8</v>
      </c>
      <c r="X12" s="10">
        <v>10.7</v>
      </c>
      <c r="Y12" s="10">
        <v>9.41</v>
      </c>
      <c r="Z12" s="92">
        <v>10.270679104623694</v>
      </c>
      <c r="AA12" s="13" t="s">
        <v>427</v>
      </c>
      <c r="AB12" s="13" t="s">
        <v>427</v>
      </c>
      <c r="AC12" s="13" t="s">
        <v>427</v>
      </c>
      <c r="AD12" s="13" t="s">
        <v>427</v>
      </c>
      <c r="AE12" s="13" t="s">
        <v>427</v>
      </c>
      <c r="AF12" s="13" t="s">
        <v>427</v>
      </c>
    </row>
    <row r="13" spans="1:32" ht="45" customHeight="1" x14ac:dyDescent="0.2">
      <c r="A13" s="10" t="s">
        <v>444</v>
      </c>
      <c r="B13" s="10">
        <v>240</v>
      </c>
      <c r="C13" s="10">
        <v>220</v>
      </c>
      <c r="D13" s="10">
        <v>240</v>
      </c>
      <c r="E13" s="10">
        <v>230</v>
      </c>
      <c r="F13" s="10">
        <v>220</v>
      </c>
      <c r="G13" s="10">
        <v>220</v>
      </c>
      <c r="H13" s="87">
        <v>220</v>
      </c>
      <c r="I13" s="87">
        <v>160</v>
      </c>
      <c r="J13" s="87">
        <v>140</v>
      </c>
      <c r="K13" s="10">
        <v>220</v>
      </c>
      <c r="L13" s="87">
        <v>200</v>
      </c>
      <c r="M13" s="88">
        <v>150</v>
      </c>
      <c r="N13" s="88">
        <v>150</v>
      </c>
      <c r="O13" s="10">
        <v>150</v>
      </c>
      <c r="P13" s="87">
        <v>150</v>
      </c>
      <c r="Q13" s="87">
        <v>140</v>
      </c>
      <c r="R13" s="87">
        <v>160</v>
      </c>
      <c r="S13" s="87">
        <v>170</v>
      </c>
      <c r="T13" s="87">
        <v>150</v>
      </c>
      <c r="U13" s="89">
        <v>150</v>
      </c>
      <c r="V13" s="89">
        <v>140</v>
      </c>
      <c r="W13" s="87">
        <v>161</v>
      </c>
      <c r="X13" s="10">
        <v>152</v>
      </c>
      <c r="Y13" s="10">
        <v>115</v>
      </c>
      <c r="Z13" s="88">
        <v>125.6764950809556</v>
      </c>
      <c r="AA13" s="13" t="s">
        <v>427</v>
      </c>
      <c r="AB13" s="13" t="s">
        <v>427</v>
      </c>
      <c r="AC13" s="13" t="s">
        <v>427</v>
      </c>
      <c r="AD13" s="13" t="s">
        <v>427</v>
      </c>
      <c r="AE13" s="13" t="s">
        <v>427</v>
      </c>
      <c r="AF13" s="13" t="s">
        <v>427</v>
      </c>
    </row>
    <row r="14" spans="1:32" x14ac:dyDescent="0.2">
      <c r="A14" s="10" t="s">
        <v>445</v>
      </c>
      <c r="B14" s="10">
        <v>30</v>
      </c>
      <c r="C14" s="10">
        <v>20</v>
      </c>
      <c r="D14" s="10">
        <v>20</v>
      </c>
      <c r="E14" s="10">
        <v>20</v>
      </c>
      <c r="F14" s="10">
        <v>50</v>
      </c>
      <c r="G14" s="10">
        <v>50</v>
      </c>
      <c r="H14" s="87">
        <v>50</v>
      </c>
      <c r="I14" s="87">
        <v>70</v>
      </c>
      <c r="J14" s="87">
        <v>80</v>
      </c>
      <c r="K14" s="10">
        <v>40</v>
      </c>
      <c r="L14" s="87">
        <v>40</v>
      </c>
      <c r="M14" s="88">
        <v>40</v>
      </c>
      <c r="N14" s="88">
        <v>40</v>
      </c>
      <c r="O14" s="10">
        <v>40</v>
      </c>
      <c r="P14" s="87">
        <v>60</v>
      </c>
      <c r="Q14" s="87">
        <v>50</v>
      </c>
      <c r="R14" s="87">
        <v>60</v>
      </c>
      <c r="S14" s="87">
        <v>60</v>
      </c>
      <c r="T14" s="87">
        <v>40</v>
      </c>
      <c r="U14" s="89">
        <v>80</v>
      </c>
      <c r="V14" s="89">
        <v>90</v>
      </c>
      <c r="W14" s="87">
        <v>56</v>
      </c>
      <c r="X14" s="10">
        <v>57</v>
      </c>
      <c r="Y14" s="10">
        <v>60</v>
      </c>
      <c r="Z14" s="88">
        <v>54.374741786452539</v>
      </c>
      <c r="AA14" s="13" t="s">
        <v>427</v>
      </c>
      <c r="AB14" s="13" t="s">
        <v>427</v>
      </c>
      <c r="AC14" s="13" t="s">
        <v>427</v>
      </c>
      <c r="AD14" s="13" t="s">
        <v>427</v>
      </c>
      <c r="AE14" s="13" t="s">
        <v>427</v>
      </c>
      <c r="AF14" s="13" t="s">
        <v>427</v>
      </c>
    </row>
    <row r="15" spans="1:32" x14ac:dyDescent="0.2">
      <c r="A15" s="10" t="s">
        <v>446</v>
      </c>
      <c r="B15" s="10">
        <v>6</v>
      </c>
      <c r="C15" s="10">
        <v>10</v>
      </c>
      <c r="D15" s="10">
        <v>10</v>
      </c>
      <c r="E15" s="10">
        <v>10</v>
      </c>
      <c r="F15" s="10">
        <v>10</v>
      </c>
      <c r="G15" s="10">
        <v>10</v>
      </c>
      <c r="H15" s="87">
        <v>10</v>
      </c>
      <c r="I15" s="87">
        <v>10</v>
      </c>
      <c r="J15" s="87">
        <v>10</v>
      </c>
      <c r="K15" s="99" t="s">
        <v>37</v>
      </c>
      <c r="L15" s="89">
        <v>10</v>
      </c>
      <c r="M15" s="100" t="s">
        <v>37</v>
      </c>
      <c r="N15" s="101" t="s">
        <v>37</v>
      </c>
      <c r="O15" s="101" t="s">
        <v>37</v>
      </c>
      <c r="P15" s="101" t="s">
        <v>37</v>
      </c>
      <c r="Q15" s="101" t="s">
        <v>37</v>
      </c>
      <c r="R15" s="101" t="s">
        <v>37</v>
      </c>
      <c r="S15" s="101">
        <v>10</v>
      </c>
      <c r="T15" s="101" t="s">
        <v>37</v>
      </c>
      <c r="U15" s="89">
        <v>0</v>
      </c>
      <c r="V15" s="89" t="s">
        <v>37</v>
      </c>
      <c r="W15" s="89" t="s">
        <v>37</v>
      </c>
      <c r="X15" s="99" t="s">
        <v>37</v>
      </c>
      <c r="Y15" s="99">
        <v>2</v>
      </c>
      <c r="Z15" s="89">
        <v>0</v>
      </c>
      <c r="AA15" s="13" t="s">
        <v>427</v>
      </c>
      <c r="AB15" s="13" t="s">
        <v>427</v>
      </c>
      <c r="AC15" s="13" t="s">
        <v>427</v>
      </c>
      <c r="AD15" s="13" t="s">
        <v>427</v>
      </c>
      <c r="AE15" s="13" t="s">
        <v>427</v>
      </c>
      <c r="AF15" s="13" t="s">
        <v>427</v>
      </c>
    </row>
    <row r="16" spans="1:32" x14ac:dyDescent="0.2">
      <c r="A16" s="10" t="s">
        <v>447</v>
      </c>
      <c r="B16" s="10">
        <v>2</v>
      </c>
      <c r="C16" s="102" t="s">
        <v>37</v>
      </c>
      <c r="D16" s="102" t="s">
        <v>37</v>
      </c>
      <c r="E16" s="102" t="s">
        <v>37</v>
      </c>
      <c r="F16" s="102" t="s">
        <v>37</v>
      </c>
      <c r="G16" s="102" t="s">
        <v>37</v>
      </c>
      <c r="H16" s="102" t="s">
        <v>37</v>
      </c>
      <c r="I16" s="103" t="s">
        <v>37</v>
      </c>
      <c r="J16" s="103" t="s">
        <v>37</v>
      </c>
      <c r="K16" s="99">
        <v>0</v>
      </c>
      <c r="L16" s="99">
        <v>0</v>
      </c>
      <c r="M16" s="104">
        <v>0</v>
      </c>
      <c r="N16" s="104">
        <v>0</v>
      </c>
      <c r="O16" s="104">
        <v>0</v>
      </c>
      <c r="P16" s="101">
        <v>0</v>
      </c>
      <c r="Q16" s="101">
        <v>0</v>
      </c>
      <c r="R16" s="101">
        <v>0</v>
      </c>
      <c r="S16" s="101">
        <v>0</v>
      </c>
      <c r="T16" s="101">
        <v>0</v>
      </c>
      <c r="U16" s="89">
        <v>0</v>
      </c>
      <c r="V16" s="89">
        <v>0</v>
      </c>
      <c r="W16" s="89">
        <v>0</v>
      </c>
      <c r="X16" s="99">
        <v>0</v>
      </c>
      <c r="Y16" s="99">
        <v>0</v>
      </c>
      <c r="Z16" s="89">
        <v>0</v>
      </c>
      <c r="AA16" s="13" t="s">
        <v>427</v>
      </c>
      <c r="AB16" s="13" t="s">
        <v>427</v>
      </c>
      <c r="AC16" s="13" t="s">
        <v>427</v>
      </c>
      <c r="AD16" s="13" t="s">
        <v>427</v>
      </c>
      <c r="AE16" s="13" t="s">
        <v>427</v>
      </c>
      <c r="AF16" s="13" t="s">
        <v>427</v>
      </c>
    </row>
    <row r="17" spans="1:32" x14ac:dyDescent="0.2">
      <c r="A17" s="10" t="s">
        <v>448</v>
      </c>
      <c r="B17" s="10">
        <v>4</v>
      </c>
      <c r="C17" s="102" t="s">
        <v>37</v>
      </c>
      <c r="D17" s="102" t="s">
        <v>37</v>
      </c>
      <c r="E17" s="102" t="s">
        <v>37</v>
      </c>
      <c r="F17" s="102" t="s">
        <v>37</v>
      </c>
      <c r="G17" s="102" t="s">
        <v>37</v>
      </c>
      <c r="H17" s="102" t="s">
        <v>37</v>
      </c>
      <c r="I17" s="103" t="s">
        <v>37</v>
      </c>
      <c r="J17" s="103" t="s">
        <v>37</v>
      </c>
      <c r="K17" s="99">
        <v>0</v>
      </c>
      <c r="L17" s="99">
        <v>0</v>
      </c>
      <c r="M17" s="104">
        <v>0</v>
      </c>
      <c r="N17" s="104">
        <v>0</v>
      </c>
      <c r="O17" s="104">
        <v>0</v>
      </c>
      <c r="P17" s="101">
        <v>0</v>
      </c>
      <c r="Q17" s="101">
        <v>0</v>
      </c>
      <c r="R17" s="101">
        <v>0</v>
      </c>
      <c r="S17" s="101">
        <v>0</v>
      </c>
      <c r="T17" s="101">
        <v>0</v>
      </c>
      <c r="U17" s="89">
        <v>0</v>
      </c>
      <c r="V17" s="89">
        <v>0</v>
      </c>
      <c r="W17" s="89">
        <v>0</v>
      </c>
      <c r="X17" s="99">
        <v>0</v>
      </c>
      <c r="Y17" s="99">
        <v>0</v>
      </c>
      <c r="Z17" s="89">
        <v>0</v>
      </c>
      <c r="AA17" s="13" t="s">
        <v>427</v>
      </c>
      <c r="AB17" s="13" t="s">
        <v>427</v>
      </c>
      <c r="AC17" s="13" t="s">
        <v>427</v>
      </c>
      <c r="AD17" s="13" t="s">
        <v>427</v>
      </c>
      <c r="AE17" s="13" t="s">
        <v>427</v>
      </c>
      <c r="AF17" s="13" t="s">
        <v>427</v>
      </c>
    </row>
    <row r="18" spans="1:32" x14ac:dyDescent="0.2">
      <c r="A18" s="10" t="s">
        <v>449</v>
      </c>
      <c r="B18" s="99">
        <v>0</v>
      </c>
      <c r="C18" s="99">
        <v>0</v>
      </c>
      <c r="D18" s="99">
        <v>0</v>
      </c>
      <c r="E18" s="99">
        <v>0</v>
      </c>
      <c r="F18" s="99">
        <v>0</v>
      </c>
      <c r="G18" s="99">
        <v>0</v>
      </c>
      <c r="H18" s="99">
        <v>0</v>
      </c>
      <c r="I18" s="99">
        <v>0</v>
      </c>
      <c r="J18" s="99">
        <v>0</v>
      </c>
      <c r="K18" s="99" t="s">
        <v>37</v>
      </c>
      <c r="L18" s="89">
        <v>20</v>
      </c>
      <c r="M18" s="101">
        <v>10</v>
      </c>
      <c r="N18" s="101">
        <v>20</v>
      </c>
      <c r="O18" s="99" t="s">
        <v>37</v>
      </c>
      <c r="P18" s="89" t="s">
        <v>37</v>
      </c>
      <c r="Q18" s="89" t="s">
        <v>37</v>
      </c>
      <c r="R18" s="89" t="s">
        <v>37</v>
      </c>
      <c r="S18" s="89">
        <v>20</v>
      </c>
      <c r="T18" s="89" t="s">
        <v>37</v>
      </c>
      <c r="U18" s="89">
        <v>0</v>
      </c>
      <c r="V18" s="89">
        <v>10</v>
      </c>
      <c r="W18" s="87">
        <v>4</v>
      </c>
      <c r="X18" s="10">
        <v>5</v>
      </c>
      <c r="Y18" s="10">
        <v>8</v>
      </c>
      <c r="Z18" s="89">
        <v>0</v>
      </c>
      <c r="AA18" s="13" t="s">
        <v>427</v>
      </c>
      <c r="AB18" s="13" t="s">
        <v>427</v>
      </c>
      <c r="AC18" s="13" t="s">
        <v>427</v>
      </c>
      <c r="AD18" s="13" t="s">
        <v>427</v>
      </c>
      <c r="AE18" s="13" t="s">
        <v>427</v>
      </c>
      <c r="AF18" s="13" t="s">
        <v>427</v>
      </c>
    </row>
    <row r="19" spans="1:32" x14ac:dyDescent="0.2">
      <c r="A19" s="12" t="s">
        <v>450</v>
      </c>
      <c r="B19" s="12">
        <v>17</v>
      </c>
      <c r="C19" s="12">
        <v>20</v>
      </c>
      <c r="D19" s="12">
        <v>20</v>
      </c>
      <c r="E19" s="12">
        <v>20</v>
      </c>
      <c r="F19" s="12">
        <v>20</v>
      </c>
      <c r="G19" s="12">
        <v>20</v>
      </c>
      <c r="H19" s="19">
        <v>20</v>
      </c>
      <c r="I19" s="87">
        <v>20</v>
      </c>
      <c r="J19" s="87">
        <v>20</v>
      </c>
      <c r="K19" s="10">
        <v>10</v>
      </c>
      <c r="L19" s="87">
        <v>20</v>
      </c>
      <c r="M19" s="88">
        <v>30</v>
      </c>
      <c r="N19" s="88">
        <v>30</v>
      </c>
      <c r="O19" s="10">
        <v>40</v>
      </c>
      <c r="P19" s="87">
        <v>40</v>
      </c>
      <c r="Q19" s="87">
        <v>40</v>
      </c>
      <c r="R19" s="87">
        <v>40</v>
      </c>
      <c r="S19" s="87">
        <v>60</v>
      </c>
      <c r="T19" s="87">
        <v>50</v>
      </c>
      <c r="U19" s="89">
        <v>40</v>
      </c>
      <c r="V19" s="89">
        <v>40</v>
      </c>
      <c r="W19" s="87">
        <v>48</v>
      </c>
      <c r="X19" s="10">
        <v>48</v>
      </c>
      <c r="Y19" s="10">
        <v>50</v>
      </c>
      <c r="Z19" s="89">
        <v>0</v>
      </c>
      <c r="AA19" s="13" t="s">
        <v>427</v>
      </c>
      <c r="AB19" s="13" t="s">
        <v>427</v>
      </c>
      <c r="AC19" s="13" t="s">
        <v>427</v>
      </c>
      <c r="AD19" s="13" t="s">
        <v>427</v>
      </c>
      <c r="AE19" s="13" t="s">
        <v>427</v>
      </c>
      <c r="AF19" s="13" t="s">
        <v>427</v>
      </c>
    </row>
    <row r="20" spans="1:32" ht="15.75" thickBot="1" x14ac:dyDescent="0.25">
      <c r="A20" s="45" t="s">
        <v>451</v>
      </c>
      <c r="B20" s="289">
        <v>298</v>
      </c>
      <c r="C20" s="289">
        <v>270</v>
      </c>
      <c r="D20" s="289">
        <v>290</v>
      </c>
      <c r="E20" s="289">
        <v>290</v>
      </c>
      <c r="F20" s="289">
        <v>300</v>
      </c>
      <c r="G20" s="289">
        <v>300</v>
      </c>
      <c r="H20" s="289">
        <v>310</v>
      </c>
      <c r="I20" s="105">
        <v>260</v>
      </c>
      <c r="J20" s="105">
        <v>240</v>
      </c>
      <c r="K20" s="45">
        <v>280</v>
      </c>
      <c r="L20" s="95">
        <v>280</v>
      </c>
      <c r="M20" s="96">
        <v>240</v>
      </c>
      <c r="N20" s="96">
        <v>240</v>
      </c>
      <c r="O20" s="96">
        <v>240</v>
      </c>
      <c r="P20" s="96">
        <v>250</v>
      </c>
      <c r="Q20" s="96">
        <v>250</v>
      </c>
      <c r="R20" s="96">
        <v>268</v>
      </c>
      <c r="S20" s="96">
        <v>320</v>
      </c>
      <c r="T20" s="96">
        <v>250</v>
      </c>
      <c r="U20" s="91">
        <v>280</v>
      </c>
      <c r="V20" s="91">
        <v>280</v>
      </c>
      <c r="W20" s="95">
        <v>269</v>
      </c>
      <c r="X20" s="45">
        <v>262</v>
      </c>
      <c r="Y20" s="45">
        <v>234</v>
      </c>
      <c r="Z20" s="96">
        <v>256.07657990304324</v>
      </c>
      <c r="AA20" s="13" t="s">
        <v>427</v>
      </c>
      <c r="AB20" s="13" t="s">
        <v>427</v>
      </c>
      <c r="AC20" s="13" t="s">
        <v>427</v>
      </c>
      <c r="AD20" s="13" t="s">
        <v>427</v>
      </c>
      <c r="AE20" s="13" t="s">
        <v>427</v>
      </c>
      <c r="AF20" s="13" t="s">
        <v>427</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3"/>
  <sheetViews>
    <sheetView zoomScaleNormal="100" workbookViewId="0">
      <pane xSplit="1" topLeftCell="R1" activePane="topRight" state="frozen"/>
      <selection activeCell="B8" sqref="B8"/>
      <selection pane="topRight" activeCell="AA23" sqref="AA23"/>
    </sheetView>
  </sheetViews>
  <sheetFormatPr defaultRowHeight="15" x14ac:dyDescent="0.2"/>
  <cols>
    <col min="1" max="1" width="54.77734375" style="6" customWidth="1"/>
    <col min="2" max="2" width="9.44140625" style="6" customWidth="1"/>
    <col min="3" max="3" width="7.88671875" style="6" customWidth="1"/>
    <col min="4" max="4" width="8.5546875" style="6" customWidth="1"/>
    <col min="5" max="5" width="8.88671875" style="6" customWidth="1"/>
    <col min="6" max="6" width="7.44140625" style="6" customWidth="1"/>
    <col min="7" max="7" width="7.33203125" style="6" customWidth="1"/>
    <col min="8" max="8" width="7.5546875" style="6" customWidth="1"/>
    <col min="9" max="9" width="7.44140625" style="6" customWidth="1"/>
    <col min="10" max="24" width="8.5546875" style="6" customWidth="1"/>
    <col min="25" max="25" width="10.6640625" style="6" customWidth="1"/>
    <col min="26" max="26" width="8.88671875" style="6" customWidth="1"/>
    <col min="27" max="27" width="9.33203125" style="6" customWidth="1"/>
    <col min="28" max="28" width="10.5546875" style="6" customWidth="1"/>
    <col min="29" max="29" width="8.77734375" style="6" customWidth="1"/>
    <col min="30" max="30" width="9.77734375" style="6" customWidth="1"/>
    <col min="31" max="16384" width="8.88671875" style="6"/>
  </cols>
  <sheetData>
    <row r="1" spans="1:31" s="5" customFormat="1" ht="15.75" x14ac:dyDescent="0.25">
      <c r="A1" s="1" t="s">
        <v>842</v>
      </c>
      <c r="B1" s="1"/>
      <c r="C1" s="1"/>
      <c r="D1" s="1"/>
      <c r="E1" s="1"/>
      <c r="F1" s="1"/>
      <c r="G1" s="1"/>
      <c r="H1" s="1"/>
      <c r="I1" s="1"/>
      <c r="J1" s="2"/>
      <c r="K1" s="3"/>
      <c r="L1" s="4"/>
      <c r="M1" s="4"/>
      <c r="N1" s="2"/>
    </row>
    <row r="2" spans="1:31" s="5" customFormat="1" ht="15.75" x14ac:dyDescent="0.25">
      <c r="A2" s="2" t="s">
        <v>5</v>
      </c>
      <c r="B2" s="2"/>
      <c r="C2" s="2"/>
      <c r="D2" s="2"/>
      <c r="E2" s="2"/>
      <c r="F2" s="2"/>
      <c r="G2" s="2"/>
      <c r="H2" s="2"/>
      <c r="I2" s="2"/>
      <c r="J2" s="2"/>
      <c r="K2" s="3"/>
      <c r="L2" s="4"/>
      <c r="M2" s="4"/>
      <c r="N2" s="2"/>
    </row>
    <row r="3" spans="1:31" s="5" customFormat="1" ht="15.75" x14ac:dyDescent="0.25">
      <c r="A3" s="5" t="s">
        <v>452</v>
      </c>
      <c r="J3" s="2"/>
      <c r="K3" s="3"/>
      <c r="L3" s="4"/>
      <c r="M3" s="4"/>
      <c r="N3" s="2"/>
    </row>
    <row r="4" spans="1:31" s="260" customFormat="1" ht="33" customHeight="1" x14ac:dyDescent="0.25">
      <c r="A4" s="259" t="s">
        <v>453</v>
      </c>
      <c r="B4" s="260" t="s">
        <v>63</v>
      </c>
      <c r="C4" s="260" t="s">
        <v>54</v>
      </c>
      <c r="D4" s="260" t="s">
        <v>55</v>
      </c>
      <c r="E4" s="260" t="s">
        <v>56</v>
      </c>
      <c r="F4" s="260" t="s">
        <v>40</v>
      </c>
      <c r="G4" s="260" t="s">
        <v>41</v>
      </c>
      <c r="H4" s="260" t="s">
        <v>42</v>
      </c>
      <c r="I4" s="260" t="s">
        <v>43</v>
      </c>
      <c r="J4" s="260" t="s">
        <v>17</v>
      </c>
      <c r="K4" s="260" t="s">
        <v>18</v>
      </c>
      <c r="L4" s="260" t="s">
        <v>44</v>
      </c>
      <c r="M4" s="260" t="s">
        <v>19</v>
      </c>
      <c r="N4" s="260" t="s">
        <v>20</v>
      </c>
      <c r="O4" s="260" t="s">
        <v>21</v>
      </c>
      <c r="P4" s="260" t="s">
        <v>22</v>
      </c>
      <c r="Q4" s="260" t="s">
        <v>23</v>
      </c>
      <c r="R4" s="260" t="s">
        <v>24</v>
      </c>
      <c r="S4" s="260" t="s">
        <v>25</v>
      </c>
      <c r="T4" s="260" t="s">
        <v>26</v>
      </c>
      <c r="U4" s="260" t="s">
        <v>27</v>
      </c>
      <c r="V4" s="260" t="s">
        <v>28</v>
      </c>
      <c r="W4" s="260" t="s">
        <v>29</v>
      </c>
      <c r="X4" s="260" t="s">
        <v>30</v>
      </c>
      <c r="Y4" s="260" t="s">
        <v>31</v>
      </c>
      <c r="Z4" s="260" t="s">
        <v>32</v>
      </c>
      <c r="AA4" s="260" t="s">
        <v>33</v>
      </c>
      <c r="AB4" s="260" t="s">
        <v>34</v>
      </c>
      <c r="AC4" s="260" t="s">
        <v>35</v>
      </c>
      <c r="AD4" s="260" t="s">
        <v>484</v>
      </c>
      <c r="AE4" s="245" t="s">
        <v>854</v>
      </c>
    </row>
    <row r="5" spans="1:31" x14ac:dyDescent="0.2">
      <c r="A5" s="232" t="s">
        <v>454</v>
      </c>
      <c r="B5" s="286">
        <f>'9.14a'!C9</f>
        <v>6213.7</v>
      </c>
      <c r="C5" s="286">
        <f>'9.14a'!D9</f>
        <v>6201.4</v>
      </c>
      <c r="D5" s="286">
        <f>'9.14a'!E9</f>
        <v>6194.1</v>
      </c>
      <c r="E5" s="286">
        <f>'9.14a'!F9</f>
        <v>6377.2</v>
      </c>
      <c r="F5" s="286">
        <f>'9.14a'!G9</f>
        <v>5077.3</v>
      </c>
      <c r="G5" s="286">
        <f>'9.14a'!H9</f>
        <v>5109.8</v>
      </c>
      <c r="H5" s="286">
        <f>'9.14a'!I9</f>
        <v>4817.6000000000004</v>
      </c>
      <c r="I5" s="286">
        <f>'9.14a'!J9</f>
        <v>4803</v>
      </c>
      <c r="J5" s="286">
        <f>'9.14a'!K9</f>
        <v>4776.7</v>
      </c>
      <c r="K5" s="286">
        <f>'9.14a'!L9</f>
        <v>4810.8</v>
      </c>
      <c r="L5" s="286">
        <f>'9.14a'!M9</f>
        <v>4873.7269999999999</v>
      </c>
      <c r="M5" s="286">
        <f>'9.14a'!N9</f>
        <v>5162.9620000000004</v>
      </c>
      <c r="N5" s="286">
        <f>'9.14a'!O9</f>
        <v>5311.0560000000005</v>
      </c>
      <c r="O5" s="286">
        <f>'9.14a'!P9</f>
        <v>5358.2470000000003</v>
      </c>
      <c r="P5" s="286">
        <f>'9.14a'!Q9</f>
        <v>4774.6360000000004</v>
      </c>
      <c r="Q5" s="286">
        <f>'9.14a'!R9</f>
        <v>4732.2</v>
      </c>
      <c r="R5" s="286">
        <f>'9.14a'!S9</f>
        <v>4533.219000000001</v>
      </c>
      <c r="S5" s="286">
        <f>'9.14a'!T9</f>
        <v>4762.3329999999996</v>
      </c>
      <c r="T5" s="286">
        <f>'9.14a'!U9</f>
        <v>4736.5519999999997</v>
      </c>
      <c r="U5" s="286">
        <f>'9.14a'!V9</f>
        <v>4575</v>
      </c>
      <c r="V5" s="286">
        <f>'9.14a'!W9</f>
        <v>4510.7330000000002</v>
      </c>
      <c r="W5" s="286">
        <f>'9.14a'!X9</f>
        <v>4594.5200000000004</v>
      </c>
      <c r="X5" s="286">
        <f>'9.14a'!Y9</f>
        <v>4654</v>
      </c>
      <c r="Y5" s="286">
        <f>'9.14a'!Z9</f>
        <v>4627</v>
      </c>
      <c r="Z5" s="286">
        <f>'9.14a'!AA9</f>
        <v>5056</v>
      </c>
      <c r="AA5" s="286">
        <f>'9.14a'!AB9</f>
        <v>5237</v>
      </c>
      <c r="AB5" s="286">
        <f>'9.14a'!AC9</f>
        <v>5253</v>
      </c>
      <c r="AC5" s="286">
        <f>'9.14a'!AD9</f>
        <v>5686</v>
      </c>
      <c r="AD5" s="286">
        <f>'9.14a'!AE9</f>
        <v>2370.4259999999999</v>
      </c>
      <c r="AE5" s="286">
        <f>'9.14a'!AF9</f>
        <v>3949.62</v>
      </c>
    </row>
    <row r="6" spans="1:31" x14ac:dyDescent="0.2">
      <c r="A6" s="232" t="s">
        <v>466</v>
      </c>
      <c r="B6" s="286">
        <f>'9.14a'!C10</f>
        <v>0</v>
      </c>
      <c r="C6" s="286">
        <f>'9.14a'!D10</f>
        <v>0</v>
      </c>
      <c r="D6" s="286">
        <f>'9.14a'!E10</f>
        <v>0</v>
      </c>
      <c r="E6" s="286">
        <f>'9.14a'!F10</f>
        <v>0</v>
      </c>
      <c r="F6" s="286">
        <f>'9.14a'!G10</f>
        <v>0</v>
      </c>
      <c r="G6" s="286">
        <f>'9.14a'!H10</f>
        <v>0</v>
      </c>
      <c r="H6" s="286">
        <f>'9.14a'!I10</f>
        <v>0</v>
      </c>
      <c r="I6" s="286">
        <f>'9.14a'!J10</f>
        <v>0</v>
      </c>
      <c r="J6" s="286">
        <f>'9.14a'!K10</f>
        <v>0</v>
      </c>
      <c r="K6" s="286">
        <f>'9.14a'!L10</f>
        <v>0</v>
      </c>
      <c r="L6" s="286">
        <f>'9.14a'!M10</f>
        <v>0</v>
      </c>
      <c r="M6" s="286">
        <f>'9.14a'!N10</f>
        <v>0</v>
      </c>
      <c r="N6" s="286">
        <f>'9.14a'!O10</f>
        <v>0</v>
      </c>
      <c r="O6" s="286">
        <f>'9.14a'!P10</f>
        <v>0</v>
      </c>
      <c r="P6" s="286">
        <f>'9.14a'!Q10</f>
        <v>615.21500000000003</v>
      </c>
      <c r="Q6" s="286">
        <f>'9.14a'!R10</f>
        <v>607.20000000000005</v>
      </c>
      <c r="R6" s="286">
        <f>'9.14a'!S10</f>
        <v>550.84900000000005</v>
      </c>
      <c r="S6" s="286">
        <f>'9.14a'!T10</f>
        <v>533.47900000000004</v>
      </c>
      <c r="T6" s="286">
        <f>'9.14a'!U10</f>
        <v>499.22800000000001</v>
      </c>
      <c r="U6" s="286">
        <f>'9.14a'!V10</f>
        <v>0</v>
      </c>
      <c r="V6" s="286">
        <f>'9.14a'!W10</f>
        <v>0</v>
      </c>
      <c r="W6" s="286">
        <f>'9.14a'!X10</f>
        <v>0</v>
      </c>
      <c r="X6" s="286">
        <f>'9.14a'!Y10</f>
        <v>0</v>
      </c>
      <c r="Y6" s="286">
        <f>'9.14a'!Z10</f>
        <v>0</v>
      </c>
      <c r="Z6" s="286">
        <f>'9.14a'!AA10</f>
        <v>0</v>
      </c>
      <c r="AA6" s="286">
        <f>'9.14a'!AB10</f>
        <v>0</v>
      </c>
      <c r="AB6" s="286">
        <f>'9.14a'!AC10</f>
        <v>0</v>
      </c>
      <c r="AC6" s="286">
        <f>'9.14a'!AD10</f>
        <v>0</v>
      </c>
      <c r="AD6" s="286">
        <f>'9.14a'!AE10</f>
        <v>0</v>
      </c>
      <c r="AE6" s="286">
        <f>'9.14a'!AF10</f>
        <v>0</v>
      </c>
    </row>
    <row r="7" spans="1:31" x14ac:dyDescent="0.2">
      <c r="A7" s="233" t="s">
        <v>467</v>
      </c>
      <c r="B7" s="286">
        <f>'9.14a'!C11</f>
        <v>0</v>
      </c>
      <c r="C7" s="286">
        <f>'9.14a'!D11</f>
        <v>0</v>
      </c>
      <c r="D7" s="286">
        <f>'9.14a'!E11</f>
        <v>0</v>
      </c>
      <c r="E7" s="286">
        <f>'9.14a'!F11</f>
        <v>0</v>
      </c>
      <c r="F7" s="286">
        <f>'9.14a'!G11</f>
        <v>0</v>
      </c>
      <c r="G7" s="286">
        <f>'9.14a'!H11</f>
        <v>0</v>
      </c>
      <c r="H7" s="286">
        <f>'9.14a'!I11</f>
        <v>0</v>
      </c>
      <c r="I7" s="286">
        <f>'9.14a'!J11</f>
        <v>0</v>
      </c>
      <c r="J7" s="286">
        <f>'9.14a'!K11</f>
        <v>0</v>
      </c>
      <c r="K7" s="286">
        <f>'9.14a'!L11</f>
        <v>0</v>
      </c>
      <c r="L7" s="286">
        <f>'9.14a'!M11</f>
        <v>0</v>
      </c>
      <c r="M7" s="286">
        <f>'9.14a'!N11</f>
        <v>0</v>
      </c>
      <c r="N7" s="286">
        <f>'9.14a'!O11</f>
        <v>0</v>
      </c>
      <c r="O7" s="286">
        <f>'9.14a'!P11</f>
        <v>0</v>
      </c>
      <c r="P7" s="286">
        <f>'9.14a'!Q11</f>
        <v>0</v>
      </c>
      <c r="Q7" s="286">
        <f>'9.14a'!R11</f>
        <v>0</v>
      </c>
      <c r="R7" s="286">
        <f>'9.14a'!S11</f>
        <v>0</v>
      </c>
      <c r="S7" s="286">
        <f>'9.14a'!T11</f>
        <v>0</v>
      </c>
      <c r="T7" s="286">
        <f>'9.14a'!U11</f>
        <v>0</v>
      </c>
      <c r="U7" s="286">
        <f>'9.14a'!V11</f>
        <v>409.23599999999999</v>
      </c>
      <c r="V7" s="286">
        <f>'9.14a'!W11</f>
        <v>341.274</v>
      </c>
      <c r="W7" s="286">
        <f>'9.14a'!X11</f>
        <v>299.24</v>
      </c>
      <c r="X7" s="286">
        <f>'9.14a'!Y11</f>
        <v>310.10000000000002</v>
      </c>
      <c r="Y7" s="286">
        <f>'9.14a'!Z11</f>
        <v>305.5</v>
      </c>
      <c r="Z7" s="286">
        <f>'9.14a'!AA11</f>
        <v>303.39999999999998</v>
      </c>
      <c r="AA7" s="286">
        <f>'9.14a'!AB11</f>
        <v>301.8</v>
      </c>
      <c r="AB7" s="286">
        <f>'9.14a'!AC11</f>
        <v>288</v>
      </c>
      <c r="AC7" s="286">
        <f>'9.14a'!AD11</f>
        <v>0</v>
      </c>
      <c r="AD7" s="286">
        <f>'9.14a'!AE11</f>
        <v>0</v>
      </c>
      <c r="AE7" s="286">
        <f>'9.14a'!AF11</f>
        <v>0</v>
      </c>
    </row>
    <row r="8" spans="1:31" x14ac:dyDescent="0.2">
      <c r="A8" s="234" t="s">
        <v>455</v>
      </c>
      <c r="B8" s="286">
        <f>'9.14a'!C19</f>
        <v>225.8</v>
      </c>
      <c r="C8" s="286">
        <f>'9.14a'!D19</f>
        <v>213.9</v>
      </c>
      <c r="D8" s="286">
        <f>'9.14a'!E19</f>
        <v>214</v>
      </c>
      <c r="E8" s="286">
        <f>'9.14a'!F19</f>
        <v>220</v>
      </c>
      <c r="F8" s="286">
        <f>'9.14a'!G19</f>
        <v>236</v>
      </c>
      <c r="G8" s="286">
        <f>'9.14a'!H19</f>
        <v>245</v>
      </c>
      <c r="H8" s="286">
        <f>'9.14a'!I19</f>
        <v>239</v>
      </c>
      <c r="I8" s="286">
        <f>'9.14a'!J19</f>
        <v>242</v>
      </c>
      <c r="J8" s="286">
        <f>'9.14a'!K19</f>
        <v>239</v>
      </c>
      <c r="K8" s="286">
        <f>'9.14a'!L19</f>
        <v>208</v>
      </c>
      <c r="L8" s="286">
        <f>'9.14a'!M19</f>
        <v>165.5</v>
      </c>
      <c r="M8" s="286">
        <f>'9.14a'!N19</f>
        <v>0</v>
      </c>
      <c r="N8" s="286">
        <f>'9.14a'!O19</f>
        <v>0</v>
      </c>
      <c r="O8" s="286">
        <f>'9.14a'!P19</f>
        <v>0</v>
      </c>
      <c r="P8" s="286">
        <f>'9.14a'!Q19</f>
        <v>0</v>
      </c>
      <c r="Q8" s="286">
        <f>'9.14a'!R19</f>
        <v>0</v>
      </c>
      <c r="R8" s="286">
        <f>'9.14a'!S19</f>
        <v>0</v>
      </c>
      <c r="S8" s="286">
        <f>'9.14a'!T19</f>
        <v>0</v>
      </c>
      <c r="T8" s="286">
        <f>'9.14a'!U19</f>
        <v>0</v>
      </c>
      <c r="U8" s="286">
        <f>'9.14a'!V19</f>
        <v>0</v>
      </c>
      <c r="V8" s="286">
        <f>'9.14a'!W19</f>
        <v>0</v>
      </c>
      <c r="W8" s="286">
        <f>'9.14a'!X19</f>
        <v>0</v>
      </c>
      <c r="X8" s="286">
        <f>'9.14a'!Y19</f>
        <v>0</v>
      </c>
      <c r="Y8" s="286">
        <f>'9.14a'!Z19</f>
        <v>0</v>
      </c>
      <c r="Z8" s="286">
        <f>'9.14a'!AA19</f>
        <v>0</v>
      </c>
      <c r="AA8" s="286">
        <f>'9.14a'!AB19</f>
        <v>0</v>
      </c>
      <c r="AB8" s="286">
        <f>'9.14a'!AC19</f>
        <v>0</v>
      </c>
      <c r="AC8" s="286">
        <f>'9.14a'!AD19</f>
        <v>0</v>
      </c>
      <c r="AD8" s="286">
        <f>'9.14a'!AE19</f>
        <v>0</v>
      </c>
      <c r="AE8" s="286">
        <f>'9.14a'!AF19</f>
        <v>0</v>
      </c>
    </row>
    <row r="9" spans="1:31" x14ac:dyDescent="0.2">
      <c r="A9" s="233" t="s">
        <v>468</v>
      </c>
      <c r="B9" s="286">
        <f>'9.14a'!C25</f>
        <v>0</v>
      </c>
      <c r="C9" s="286">
        <f>'9.14a'!D25</f>
        <v>0</v>
      </c>
      <c r="D9" s="286">
        <f>'9.14a'!E25</f>
        <v>0</v>
      </c>
      <c r="E9" s="286">
        <f>'9.14a'!F25</f>
        <v>0</v>
      </c>
      <c r="F9" s="286">
        <f>'9.14a'!G25</f>
        <v>0</v>
      </c>
      <c r="G9" s="286">
        <f>'9.14a'!H25</f>
        <v>0</v>
      </c>
      <c r="H9" s="286">
        <f>'9.14a'!I25</f>
        <v>0</v>
      </c>
      <c r="I9" s="286">
        <f>'9.14a'!J25</f>
        <v>0</v>
      </c>
      <c r="J9" s="286">
        <f>'9.14a'!K25</f>
        <v>0</v>
      </c>
      <c r="K9" s="286">
        <f>'9.14a'!L25</f>
        <v>0</v>
      </c>
      <c r="L9" s="286">
        <f>'9.14a'!M25</f>
        <v>0</v>
      </c>
      <c r="M9" s="286">
        <f>'9.14a'!N25</f>
        <v>240.60599999999999</v>
      </c>
      <c r="N9" s="286">
        <f>'9.14a'!O25</f>
        <v>288.71100000000001</v>
      </c>
      <c r="O9" s="286">
        <f>'9.14a'!P25</f>
        <v>300.89999999999998</v>
      </c>
      <c r="P9" s="286">
        <f>'9.14a'!Q25</f>
        <v>304</v>
      </c>
      <c r="Q9" s="286">
        <f>'9.14a'!R25</f>
        <v>307</v>
      </c>
      <c r="R9" s="286">
        <f>'9.14a'!S25</f>
        <v>296</v>
      </c>
      <c r="S9" s="286">
        <f>'9.14a'!T25</f>
        <v>309</v>
      </c>
      <c r="T9" s="286">
        <f>'9.14a'!U25</f>
        <v>305</v>
      </c>
      <c r="U9" s="286">
        <f>'9.14a'!V25</f>
        <v>304</v>
      </c>
      <c r="V9" s="286">
        <f>'9.14a'!W25</f>
        <v>298</v>
      </c>
      <c r="W9" s="286">
        <f>'9.14a'!X25</f>
        <v>282.86399999999998</v>
      </c>
      <c r="X9" s="286">
        <f>'9.14a'!Y25</f>
        <v>288.61200000000002</v>
      </c>
      <c r="Y9" s="286">
        <f>'9.14a'!Z25</f>
        <v>297.58600000000001</v>
      </c>
      <c r="Z9" s="286">
        <f>'9.14a'!AA25</f>
        <v>301.54399999999998</v>
      </c>
      <c r="AA9" s="286">
        <f>'9.14a'!AB25</f>
        <v>307.51600000000002</v>
      </c>
      <c r="AB9" s="286">
        <f>'9.14a'!AC25</f>
        <v>322.49900000000002</v>
      </c>
      <c r="AC9" s="286">
        <f>'9.14a'!AD25</f>
        <v>347.64099999999996</v>
      </c>
      <c r="AD9" s="286">
        <f>'9.14a'!AE25</f>
        <v>121.806</v>
      </c>
      <c r="AE9" s="286">
        <f>'9.14a'!AF25</f>
        <v>229.512</v>
      </c>
    </row>
    <row r="10" spans="1:31" x14ac:dyDescent="0.2">
      <c r="A10" s="233" t="s">
        <v>456</v>
      </c>
      <c r="B10" s="287">
        <f>'9.14b'!C6</f>
        <v>184.374</v>
      </c>
      <c r="C10" s="287">
        <f>'9.14b'!D6</f>
        <v>218.02199999999999</v>
      </c>
      <c r="D10" s="287">
        <f>'9.14b'!E6</f>
        <v>240.14000000000001</v>
      </c>
      <c r="E10" s="287">
        <f>'9.14b'!F6</f>
        <v>257.96600000000001</v>
      </c>
      <c r="F10" s="287">
        <f>'9.14b'!G6</f>
        <v>263.36</v>
      </c>
      <c r="G10" s="287">
        <f>'9.14b'!H6</f>
        <v>263.30200000000002</v>
      </c>
      <c r="H10" s="287">
        <f>'9.14b'!I6</f>
        <v>258.8</v>
      </c>
      <c r="I10" s="287">
        <f>'9.14b'!J6</f>
        <v>281.50000000000006</v>
      </c>
      <c r="J10" s="287">
        <f>'9.14b'!K6</f>
        <v>277.8</v>
      </c>
      <c r="K10" s="287">
        <f>'9.14b'!L6</f>
        <v>284.7</v>
      </c>
      <c r="L10" s="287">
        <f>'9.14b'!M6</f>
        <v>290.60000000000002</v>
      </c>
      <c r="M10" s="287">
        <f>'9.14b'!N6</f>
        <v>310.25099999999998</v>
      </c>
      <c r="N10" s="287">
        <f>'9.14b'!O6</f>
        <v>321.69999999999993</v>
      </c>
      <c r="O10" s="287">
        <f>'9.14b'!P6</f>
        <v>312.62899999999996</v>
      </c>
      <c r="P10" s="287">
        <f>'9.14b'!Q6</f>
        <v>317.89999999999998</v>
      </c>
      <c r="Q10" s="287">
        <f>'9.14b'!R6</f>
        <v>316.39999999999998</v>
      </c>
      <c r="R10" s="287">
        <f>'9.14b'!S6</f>
        <v>319</v>
      </c>
      <c r="S10" s="287">
        <f>'9.14b'!T6</f>
        <v>329.53399999999999</v>
      </c>
      <c r="T10" s="287">
        <f>'9.14b'!U6</f>
        <v>330.65000000000003</v>
      </c>
      <c r="U10" s="287">
        <f>'9.14b'!V6</f>
        <v>337.76</v>
      </c>
      <c r="V10" s="287">
        <f>'9.14b'!W6</f>
        <v>335.59999999999991</v>
      </c>
      <c r="W10" s="287">
        <f>'9.14b'!X6</f>
        <v>328.4</v>
      </c>
      <c r="X10" s="287">
        <f>'9.14b'!Y6</f>
        <v>320.3</v>
      </c>
      <c r="Y10" s="287">
        <f>'9.14b'!Z6</f>
        <v>315.19999999999993</v>
      </c>
      <c r="Z10" s="287">
        <f>'9.14b'!AA6</f>
        <v>329.2</v>
      </c>
      <c r="AA10" s="287">
        <f>'9.14b'!AB6</f>
        <v>331.4</v>
      </c>
      <c r="AB10" s="287">
        <f>'9.14b'!AC6</f>
        <v>338.9</v>
      </c>
      <c r="AC10" s="287">
        <f>'9.14b'!AD6</f>
        <v>335.6</v>
      </c>
      <c r="AD10" s="287">
        <f>'9.14b'!AE6</f>
        <v>170.16499999999999</v>
      </c>
      <c r="AE10" s="287">
        <f>'9.14b'!AF6</f>
        <v>235.3</v>
      </c>
    </row>
    <row r="11" spans="1:31" x14ac:dyDescent="0.2">
      <c r="A11" s="233" t="s">
        <v>469</v>
      </c>
      <c r="B11" s="286">
        <f>Table14132122329111213141516[[#This Row],[1992]]</f>
        <v>0</v>
      </c>
      <c r="C11" s="286">
        <f>Table14132122329111213141516[[#This Row],[1993]]</f>
        <v>0</v>
      </c>
      <c r="D11" s="286">
        <f>Table14132122329111213141516[[#This Row],[1994]]</f>
        <v>0</v>
      </c>
      <c r="E11" s="286">
        <f>Table14132122329111213141516[[#This Row],[1995]]</f>
        <v>432.09399999999999</v>
      </c>
      <c r="F11" s="286">
        <f>Table14132122329111213141516[[#This Row],[1996]]</f>
        <v>551.08050000000003</v>
      </c>
      <c r="G11" s="286">
        <f>Table14132122329111213141516[[#This Row],[1997]]</f>
        <v>588.80349999999999</v>
      </c>
      <c r="H11" s="286">
        <f>Table14132122329111213141516[[#This Row],[1998]]</f>
        <v>676.54</v>
      </c>
      <c r="I11" s="286">
        <f>Table14132122329111213141516[[#This Row],[1999]]</f>
        <v>687.7</v>
      </c>
      <c r="J11" s="286">
        <f>Table14132122329111213141516[[#This Row],[2000]]</f>
        <v>667.00900000000001</v>
      </c>
      <c r="K11" s="286">
        <f>Table14132122329111213141516[[#This Row],[2001]]</f>
        <v>668.6</v>
      </c>
      <c r="L11" s="286">
        <f>Table14132122329111213141516[[#This Row],[2002]]</f>
        <v>732</v>
      </c>
      <c r="M11" s="286">
        <f>Table14132122329111213141516[[#This Row],[2003]]</f>
        <v>687.09999999999991</v>
      </c>
      <c r="N11" s="286">
        <f>Table14132122329111213141516[[#This Row],[2004]]</f>
        <v>745.3</v>
      </c>
      <c r="O11" s="286">
        <f>Table14132122329111213141516[[#This Row],[2005]]</f>
        <v>708.69999999999993</v>
      </c>
      <c r="P11" s="286">
        <f>Table14132122329111213141516[[#This Row],[2006]]</f>
        <v>760.53899999999999</v>
      </c>
      <c r="Q11" s="286">
        <f>Table14132122329111213141516[[#This Row],[2007]]</f>
        <v>795.58600000000001</v>
      </c>
      <c r="R11" s="286">
        <f>Table14132122329111213141516[[#This Row],[2008]]</f>
        <v>634.13199999999995</v>
      </c>
      <c r="S11" s="286">
        <f>Table14132122329111213141516[[#This Row],[2009]]</f>
        <v>636.5</v>
      </c>
      <c r="T11" s="286">
        <f>Table14132122329111213141516[[#This Row],[2010]]</f>
        <v>625</v>
      </c>
      <c r="U11" s="286">
        <f>Table14132122329111213141516[[#This Row],[2011]]</f>
        <v>615</v>
      </c>
      <c r="V11" s="286">
        <f>Table14132122329111213141516[[#This Row],[2012]]</f>
        <v>811.3</v>
      </c>
      <c r="W11" s="286">
        <f>Table14132122329111213141516[[#This Row],[2013]]</f>
        <v>777.11899999999991</v>
      </c>
      <c r="X11" s="286">
        <f>Table14132122329111213141516[[#This Row],[2014]]</f>
        <v>761.5</v>
      </c>
      <c r="Y11" s="286">
        <f>Table14132122329111213141516[[#This Row],[2015]]</f>
        <v>741.99400000000003</v>
      </c>
      <c r="Z11" s="286">
        <f>Table14132122329111213141516[[#This Row],[2016]]</f>
        <v>774.91</v>
      </c>
      <c r="AA11" s="286">
        <f>Table14132122329111213141516[[#This Row],[2017]]</f>
        <v>776.1400000000001</v>
      </c>
      <c r="AB11" s="286">
        <f>Table14132122329111213141516[[#This Row],[2018]]</f>
        <v>763.93899999999985</v>
      </c>
      <c r="AC11" s="286">
        <f>Table14132122329111213141516[[#This Row],[2019]]</f>
        <v>776.75200000000007</v>
      </c>
      <c r="AD11" s="286">
        <f>Table14132122329111213141516[[#This Row],[2020 '[note30']]]</f>
        <v>467.4</v>
      </c>
      <c r="AE11" s="286">
        <f>Table14132122329111213141516[[#This Row],[2021 '[note30']]]</f>
        <v>622.70000000000005</v>
      </c>
    </row>
    <row r="12" spans="1:31" x14ac:dyDescent="0.2">
      <c r="A12" s="233" t="s">
        <v>457</v>
      </c>
      <c r="B12" s="286">
        <f>'9.14b'!C15</f>
        <v>0</v>
      </c>
      <c r="C12" s="286">
        <f>'9.14b'!D15</f>
        <v>0</v>
      </c>
      <c r="D12" s="286">
        <f>'9.14b'!E15</f>
        <v>0</v>
      </c>
      <c r="E12" s="286">
        <f>'9.14b'!F15</f>
        <v>0</v>
      </c>
      <c r="F12" s="286">
        <f>'9.14b'!G15</f>
        <v>55.9</v>
      </c>
      <c r="G12" s="286">
        <f>'9.14b'!H15</f>
        <v>78.5</v>
      </c>
      <c r="H12" s="286">
        <f>'9.14b'!I15</f>
        <v>80.7</v>
      </c>
      <c r="I12" s="286">
        <f>'9.14b'!J15</f>
        <v>85.2</v>
      </c>
      <c r="J12" s="286">
        <f>'9.14b'!K15</f>
        <v>116.86699999999999</v>
      </c>
      <c r="K12" s="286">
        <f>'9.14b'!L15</f>
        <v>126.02500000000001</v>
      </c>
      <c r="L12" s="286">
        <f>'9.14b'!M15</f>
        <v>121.9</v>
      </c>
      <c r="M12" s="286">
        <f>'9.14b'!N15</f>
        <v>144.559</v>
      </c>
      <c r="N12" s="286">
        <f>'9.14b'!O15</f>
        <v>152.21600000000001</v>
      </c>
      <c r="O12" s="286">
        <f>'9.14b'!P15</f>
        <v>140.20000000000002</v>
      </c>
      <c r="P12" s="286">
        <f>'9.14b'!Q15</f>
        <v>138.4</v>
      </c>
      <c r="Q12" s="286">
        <f>'9.14b'!R15</f>
        <v>138.6</v>
      </c>
      <c r="R12" s="286">
        <f>'9.14b'!S15</f>
        <v>141.6</v>
      </c>
      <c r="S12" s="286">
        <f>'9.14b'!T15</f>
        <v>138</v>
      </c>
      <c r="T12" s="286">
        <f>'9.14b'!U15</f>
        <v>135.30000000000001</v>
      </c>
      <c r="U12" s="286">
        <f>'9.14b'!V15</f>
        <v>133.79999999999998</v>
      </c>
      <c r="V12" s="286">
        <f>'9.14b'!W15</f>
        <v>139.6</v>
      </c>
      <c r="W12" s="286">
        <f>'9.14b'!X15</f>
        <v>138.39999999999998</v>
      </c>
      <c r="X12" s="286">
        <f>'9.14b'!Y15</f>
        <v>138.20000000000002</v>
      </c>
      <c r="Y12" s="286">
        <f>'9.14b'!Z15</f>
        <v>141.19999999999999</v>
      </c>
      <c r="Z12" s="286">
        <f>'9.14b'!AA15</f>
        <v>149.5</v>
      </c>
      <c r="AA12" s="286">
        <f>'9.14b'!AB15</f>
        <v>144.19999999999999</v>
      </c>
      <c r="AB12" s="286">
        <f>'9.14b'!AC15</f>
        <v>138.9</v>
      </c>
      <c r="AC12" s="286">
        <f>'9.14b'!AD15</f>
        <v>141.1</v>
      </c>
      <c r="AD12" s="286">
        <f>'9.14b'!AE15</f>
        <v>90.300000000000011</v>
      </c>
      <c r="AE12" s="286">
        <f>'9.14b'!AF15</f>
        <v>151.9</v>
      </c>
    </row>
    <row r="13" spans="1:31" x14ac:dyDescent="0.2">
      <c r="A13" s="233" t="s">
        <v>470</v>
      </c>
      <c r="B13" s="286">
        <f>Table14132122329111213141516[[#This Row],[1992]]</f>
        <v>0</v>
      </c>
      <c r="C13" s="286">
        <f>Table14132122329111213141516[[#This Row],[1993]]</f>
        <v>0</v>
      </c>
      <c r="D13" s="286">
        <f>Table14132122329111213141516[[#This Row],[1994]]</f>
        <v>13.246</v>
      </c>
      <c r="E13" s="286">
        <f>Table14132122329111213141516[[#This Row],[1995]]</f>
        <v>13.923</v>
      </c>
      <c r="F13" s="286">
        <f>Table14132122329111213141516[[#This Row],[1996]]</f>
        <v>14.500999999999999</v>
      </c>
      <c r="G13" s="286">
        <f>Table14132122329111213141516[[#This Row],[1997]]</f>
        <v>13.337</v>
      </c>
      <c r="H13" s="286">
        <f>Table14132122329111213141516[[#This Row],[1998]]</f>
        <v>11.06</v>
      </c>
      <c r="I13" s="286">
        <f>Table14132122329111213141516[[#This Row],[1999]]</f>
        <v>13.882999999999999</v>
      </c>
      <c r="J13" s="286">
        <f>Table14132122329111213141516[[#This Row],[2000]]</f>
        <v>8.9030000000000005</v>
      </c>
      <c r="K13" s="286">
        <f>Table14132122329111213141516[[#This Row],[2001]]</f>
        <v>8.1180000000000003</v>
      </c>
      <c r="L13" s="286">
        <f>Table14132122329111213141516[[#This Row],[2002]]</f>
        <v>7.5309999999999997</v>
      </c>
      <c r="M13" s="286">
        <f>Table14132122329111213141516[[#This Row],[2003]]</f>
        <v>5.8</v>
      </c>
      <c r="N13" s="286">
        <f>Table14132122329111213141516[[#This Row],[2004]]</f>
        <v>5.95</v>
      </c>
      <c r="O13" s="286">
        <f>Table14132122329111213141516[[#This Row],[2005]]</f>
        <v>5.6</v>
      </c>
      <c r="P13" s="286">
        <f>Table14132122329111213141516[[#This Row],[2006]]</f>
        <v>7</v>
      </c>
      <c r="Q13" s="286">
        <f>Table14132122329111213141516[[#This Row],[2007]]</f>
        <v>16.7</v>
      </c>
      <c r="R13" s="286">
        <f>Table14132122329111213141516[[#This Row],[2008]]</f>
        <v>1.03</v>
      </c>
      <c r="S13" s="286">
        <f>Table14132122329111213141516[[#This Row],[2009]]</f>
        <v>3.9</v>
      </c>
      <c r="T13" s="286">
        <f>Table14132122329111213141516[[#This Row],[2010]]</f>
        <v>4.4000000000000004</v>
      </c>
      <c r="U13" s="286">
        <f>Table14132122329111213141516[[#This Row],[2011]]</f>
        <v>3</v>
      </c>
      <c r="V13" s="286">
        <f>Table14132122329111213141516[[#This Row],[2012]]</f>
        <v>5.0999999999999996</v>
      </c>
      <c r="W13" s="286">
        <f>Table14132122329111213141516[[#This Row],[2013]]</f>
        <v>10.3</v>
      </c>
      <c r="X13" s="286">
        <f>Table14132122329111213141516[[#This Row],[2014]]</f>
        <v>10</v>
      </c>
      <c r="Y13" s="286">
        <f>Table14132122329111213141516[[#This Row],[2015]]</f>
        <v>11.2</v>
      </c>
      <c r="Z13" s="286">
        <f>Table14132122329111213141516[[#This Row],[2016]]</f>
        <v>8.9</v>
      </c>
      <c r="AA13" s="286">
        <f>Table14132122329111213141516[[#This Row],[2017]]</f>
        <v>8.4</v>
      </c>
      <c r="AB13" s="286">
        <f>Table14132122329111213141516[[#This Row],[2018]]</f>
        <v>8.3000000000000007</v>
      </c>
      <c r="AC13" s="286">
        <f>Table14132122329111213141516[[#This Row],[2019]]</f>
        <v>8.1</v>
      </c>
      <c r="AD13" s="286">
        <f>Table14132122329111213141516[[#This Row],[2020 '[note30']]]</f>
        <v>4.9950000000000001</v>
      </c>
      <c r="AE13" s="286">
        <f>Table14132122329111213141516[[#This Row],[2021 '[note30']]]</f>
        <v>9</v>
      </c>
    </row>
    <row r="14" spans="1:31" x14ac:dyDescent="0.2">
      <c r="A14" s="233" t="s">
        <v>458</v>
      </c>
      <c r="B14" s="286">
        <f>'9.16a'!C8</f>
        <v>0</v>
      </c>
      <c r="C14" s="286">
        <f>'9.16a'!D8</f>
        <v>0</v>
      </c>
      <c r="D14" s="286">
        <f>'9.16a'!E8</f>
        <v>0</v>
      </c>
      <c r="E14" s="286">
        <f>'9.16a'!F8</f>
        <v>0</v>
      </c>
      <c r="F14" s="286">
        <f>'9.16a'!G8</f>
        <v>22</v>
      </c>
      <c r="G14" s="286">
        <f>'9.16a'!H8</f>
        <v>23.2</v>
      </c>
      <c r="H14" s="286">
        <f>'9.16a'!I8</f>
        <v>21</v>
      </c>
      <c r="I14" s="286">
        <f>'9.16a'!J8</f>
        <v>20.100000000000001</v>
      </c>
      <c r="J14" s="286">
        <f>'9.16a'!K8</f>
        <v>142.09</v>
      </c>
      <c r="K14" s="286">
        <f>'9.16a'!L8</f>
        <v>208</v>
      </c>
      <c r="L14" s="286">
        <f>'9.16a'!M8</f>
        <v>205.1</v>
      </c>
      <c r="M14" s="286">
        <f>'9.16a'!N8</f>
        <v>207.70000000000002</v>
      </c>
      <c r="N14" s="286">
        <f>'9.16a'!O8</f>
        <v>198.6</v>
      </c>
      <c r="O14" s="286">
        <f>'9.16a'!P8</f>
        <v>217.89999999999998</v>
      </c>
      <c r="P14" s="286">
        <f>'9.16a'!Q8</f>
        <v>224.72499999999999</v>
      </c>
      <c r="Q14" s="286">
        <f>'9.16a'!R8</f>
        <v>220.78</v>
      </c>
      <c r="R14" s="286">
        <f>'9.16a'!S8</f>
        <v>211.4</v>
      </c>
      <c r="S14" s="286">
        <f>'9.16a'!T8</f>
        <v>219.4</v>
      </c>
      <c r="T14" s="286">
        <f>'9.16a'!U8</f>
        <v>63.5</v>
      </c>
      <c r="U14" s="286">
        <f>'9.16a'!V8</f>
        <v>57.7</v>
      </c>
      <c r="V14" s="286">
        <f>'9.16a'!W8</f>
        <v>52.6</v>
      </c>
      <c r="W14" s="286">
        <f>'9.16a'!X8</f>
        <v>57</v>
      </c>
      <c r="X14" s="286">
        <f>'9.16a'!Y8</f>
        <v>54.4</v>
      </c>
      <c r="Y14" s="286">
        <f>'9.16a'!Z8</f>
        <v>53.6</v>
      </c>
      <c r="Z14" s="286">
        <f>'9.16a'!AA8</f>
        <v>55.5</v>
      </c>
      <c r="AA14" s="286">
        <f>'9.16a'!AB8</f>
        <v>41.2</v>
      </c>
      <c r="AB14" s="286">
        <f>'9.16a'!AC8</f>
        <v>42.9</v>
      </c>
      <c r="AC14" s="286">
        <f>'9.16a'!AD8</f>
        <v>41.024000000000001</v>
      </c>
      <c r="AD14" s="286">
        <f>'9.16a'!AE8</f>
        <v>1.3009999999999999</v>
      </c>
      <c r="AE14" s="286">
        <f>'9.16a'!AF8</f>
        <v>0</v>
      </c>
    </row>
    <row r="15" spans="1:31" x14ac:dyDescent="0.2">
      <c r="A15" s="233" t="s">
        <v>459</v>
      </c>
      <c r="B15" s="286">
        <f>'9.16a'!C5</f>
        <v>598.29999999999995</v>
      </c>
      <c r="C15" s="286">
        <f>'9.16a'!D5</f>
        <v>634.20000000000005</v>
      </c>
      <c r="D15" s="286">
        <f>'9.16a'!E5</f>
        <v>703.8</v>
      </c>
      <c r="E15" s="286">
        <f>'9.16a'!F5</f>
        <v>751.5</v>
      </c>
      <c r="F15" s="286">
        <f>'9.16a'!G5</f>
        <v>762.5</v>
      </c>
      <c r="G15" s="286">
        <f>'9.16a'!H5</f>
        <v>768.3</v>
      </c>
      <c r="H15" s="286">
        <f>'9.16a'!I5</f>
        <v>786.4</v>
      </c>
      <c r="I15" s="286">
        <f>'9.16a'!J5</f>
        <v>1062.5999999999999</v>
      </c>
      <c r="J15" s="286">
        <f>'9.16a'!K5</f>
        <v>1076.5999999999999</v>
      </c>
      <c r="K15" s="286">
        <f>'9.16a'!L5</f>
        <v>1129.3</v>
      </c>
      <c r="L15" s="286">
        <f>'9.16a'!M5</f>
        <v>1163.7</v>
      </c>
      <c r="M15" s="286">
        <f>'9.16a'!N5</f>
        <v>1259.597</v>
      </c>
      <c r="N15" s="286">
        <f>'9.16a'!O5</f>
        <v>1254.7</v>
      </c>
      <c r="O15" s="286">
        <f>'9.16a'!P5</f>
        <v>1280.3</v>
      </c>
      <c r="P15" s="286">
        <f>'9.16a'!Q5</f>
        <v>1306.9000000000001</v>
      </c>
      <c r="Q15" s="286">
        <f>'9.16a'!R5</f>
        <v>1329.4</v>
      </c>
      <c r="R15" s="286">
        <f>'9.16a'!S5</f>
        <v>1308.5</v>
      </c>
      <c r="S15" s="286">
        <f>'9.16a'!T5</f>
        <v>1336.2</v>
      </c>
      <c r="T15" s="286">
        <f>'9.16a'!U5</f>
        <v>1313.8</v>
      </c>
      <c r="U15" s="286">
        <f>'9.16a'!V5</f>
        <v>1332.7</v>
      </c>
      <c r="V15" s="286">
        <f>'9.16a'!W5</f>
        <v>1389.3</v>
      </c>
      <c r="W15" s="286">
        <f>'9.16a'!X5</f>
        <v>1342.7</v>
      </c>
      <c r="X15" s="286">
        <f>'9.16a'!Y5</f>
        <v>1347.2</v>
      </c>
      <c r="Y15" s="286">
        <f>'9.16a'!Z5</f>
        <v>1331.1</v>
      </c>
      <c r="Z15" s="286">
        <f>'9.16a'!AA5</f>
        <v>1341</v>
      </c>
      <c r="AA15" s="286">
        <f>'9.16a'!AB5</f>
        <v>1353.7</v>
      </c>
      <c r="AB15" s="286">
        <f>'9.16a'!AC5</f>
        <v>1372.7</v>
      </c>
      <c r="AC15" s="286">
        <f>'9.16a'!AD5</f>
        <v>1320.1</v>
      </c>
      <c r="AD15" s="286">
        <f>'9.16a'!AE5</f>
        <v>849.7</v>
      </c>
      <c r="AE15" s="286">
        <f>'9.16a'!AF5</f>
        <v>1063.3</v>
      </c>
    </row>
    <row r="16" spans="1:31" x14ac:dyDescent="0.2">
      <c r="A16" s="233" t="s">
        <v>471</v>
      </c>
      <c r="B16" s="288">
        <f>'9.16a'!C19</f>
        <v>0</v>
      </c>
      <c r="C16" s="288">
        <f>'9.16a'!D19</f>
        <v>0</v>
      </c>
      <c r="D16" s="288">
        <f>'9.16a'!E19</f>
        <v>0</v>
      </c>
      <c r="E16" s="288">
        <f>'9.16a'!F19</f>
        <v>0</v>
      </c>
      <c r="F16" s="288">
        <f>'9.16a'!G19</f>
        <v>0</v>
      </c>
      <c r="G16" s="288">
        <f>'9.16a'!H19</f>
        <v>0</v>
      </c>
      <c r="H16" s="288">
        <f>'9.16a'!I19</f>
        <v>0</v>
      </c>
      <c r="I16" s="288">
        <f>'9.16a'!J19</f>
        <v>0</v>
      </c>
      <c r="J16" s="288">
        <f>'9.16a'!K19</f>
        <v>0</v>
      </c>
      <c r="K16" s="288">
        <f>'9.16a'!L19</f>
        <v>2.2570000000000001</v>
      </c>
      <c r="L16" s="288">
        <f>'9.16a'!M19</f>
        <v>2.1</v>
      </c>
      <c r="M16" s="288">
        <f>'9.16a'!N19</f>
        <v>2.4</v>
      </c>
      <c r="N16" s="288">
        <f>'9.16a'!O19</f>
        <v>2.536</v>
      </c>
      <c r="O16" s="288">
        <f>'9.16a'!P19</f>
        <v>2.96</v>
      </c>
      <c r="P16" s="288">
        <f>'9.16a'!Q19</f>
        <v>3.3519999999999999</v>
      </c>
      <c r="Q16" s="288">
        <f>'9.16a'!R19</f>
        <v>2.62</v>
      </c>
      <c r="R16" s="288">
        <f>'9.16a'!S19</f>
        <v>4.9000000000000004</v>
      </c>
      <c r="S16" s="288">
        <f>'9.16a'!T19</f>
        <v>3.3</v>
      </c>
      <c r="T16" s="288">
        <f>'9.16a'!U19</f>
        <v>2.996</v>
      </c>
      <c r="U16" s="288">
        <f>'9.16a'!V19</f>
        <v>4.9000000000000004</v>
      </c>
      <c r="V16" s="288">
        <f>'9.16a'!W19</f>
        <v>4.6399999999999997</v>
      </c>
      <c r="W16" s="288">
        <f>'9.16a'!X19</f>
        <v>0</v>
      </c>
      <c r="X16" s="288">
        <f>'9.16a'!Y19</f>
        <v>0</v>
      </c>
      <c r="Y16" s="288">
        <f>'9.16a'!Z19</f>
        <v>0</v>
      </c>
      <c r="Z16" s="288">
        <f>'9.16a'!AA19</f>
        <v>0</v>
      </c>
      <c r="AA16" s="288">
        <f>'9.16a'!AB19</f>
        <v>0</v>
      </c>
      <c r="AB16" s="288">
        <f>'9.16a'!AC19</f>
        <v>0</v>
      </c>
      <c r="AC16" s="288">
        <f>'9.16a'!AD19</f>
        <v>0</v>
      </c>
      <c r="AD16" s="288">
        <f>'9.16a'!AE19</f>
        <v>0</v>
      </c>
      <c r="AE16" s="288">
        <f>'9.16a'!AF19</f>
        <v>0</v>
      </c>
    </row>
    <row r="17" spans="1:31" x14ac:dyDescent="0.2">
      <c r="A17" s="233" t="s">
        <v>460</v>
      </c>
      <c r="B17" s="288">
        <f>'9.16a'!C36</f>
        <v>0</v>
      </c>
      <c r="C17" s="288">
        <f>'9.16a'!D36</f>
        <v>0</v>
      </c>
      <c r="D17" s="288">
        <f>'9.16a'!E36</f>
        <v>0</v>
      </c>
      <c r="E17" s="288">
        <f>'9.16a'!F36</f>
        <v>0</v>
      </c>
      <c r="F17" s="288">
        <f>'9.16a'!G36</f>
        <v>0</v>
      </c>
      <c r="G17" s="288">
        <f>'9.16a'!H36</f>
        <v>0</v>
      </c>
      <c r="H17" s="288">
        <f>'9.16a'!I36</f>
        <v>22.119</v>
      </c>
      <c r="I17" s="288">
        <f>'9.16a'!J36</f>
        <v>24.178999999999998</v>
      </c>
      <c r="J17" s="288">
        <f>'9.16a'!K36</f>
        <v>12.616</v>
      </c>
      <c r="K17" s="288">
        <f>'9.16a'!L36</f>
        <v>10.3</v>
      </c>
      <c r="L17" s="288">
        <f>'9.16a'!M36</f>
        <v>13.4</v>
      </c>
      <c r="M17" s="288">
        <f>'9.16a'!N36</f>
        <v>12.8</v>
      </c>
      <c r="N17" s="288">
        <f>'9.16a'!O36</f>
        <v>9.6289999999999996</v>
      </c>
      <c r="O17" s="288">
        <f>'9.16a'!P36</f>
        <v>0</v>
      </c>
      <c r="P17" s="288">
        <f>'9.16a'!Q36</f>
        <v>0</v>
      </c>
      <c r="Q17" s="288">
        <f>'9.16a'!R36</f>
        <v>0</v>
      </c>
      <c r="R17" s="288">
        <f>'9.16a'!S36</f>
        <v>0</v>
      </c>
      <c r="S17" s="288">
        <f>'9.16a'!T36</f>
        <v>0</v>
      </c>
      <c r="T17" s="288">
        <f>'9.16a'!U36</f>
        <v>0</v>
      </c>
      <c r="U17" s="288">
        <f>'9.16a'!V36</f>
        <v>0</v>
      </c>
      <c r="V17" s="288">
        <f>'9.16a'!W36</f>
        <v>0</v>
      </c>
      <c r="W17" s="288">
        <f>'9.16a'!X36</f>
        <v>0</v>
      </c>
      <c r="X17" s="288">
        <f>'9.16a'!Y36</f>
        <v>0</v>
      </c>
      <c r="Y17" s="288">
        <f>'9.16a'!Z36</f>
        <v>0</v>
      </c>
      <c r="Z17" s="288">
        <f>'9.16a'!AA36</f>
        <v>0</v>
      </c>
      <c r="AA17" s="288">
        <f>'9.16a'!AB36</f>
        <v>0</v>
      </c>
      <c r="AB17" s="288">
        <f>'9.16a'!AC36</f>
        <v>0</v>
      </c>
      <c r="AC17" s="288">
        <f>'9.16a'!AD36</f>
        <v>0</v>
      </c>
      <c r="AD17" s="288">
        <f>'9.16a'!AE36</f>
        <v>0</v>
      </c>
      <c r="AE17" s="288">
        <f>'9.16a'!AF36</f>
        <v>0</v>
      </c>
    </row>
    <row r="18" spans="1:31" x14ac:dyDescent="0.2">
      <c r="A18" s="233" t="s">
        <v>461</v>
      </c>
      <c r="B18" s="287">
        <f>Table1413212232911121314151625[[#This Row],[1992]]</f>
        <v>0</v>
      </c>
      <c r="C18" s="287">
        <f>Table1413212232911121314151625[[#This Row],[1993]]</f>
        <v>0</v>
      </c>
      <c r="D18" s="287">
        <f>Table1413212232911121314151625[[#This Row],[1994]]</f>
        <v>0</v>
      </c>
      <c r="E18" s="287">
        <f>Table1413212232911121314151625[[#This Row],[1995]]</f>
        <v>96.3035</v>
      </c>
      <c r="F18" s="287">
        <f>Table1413212232911121314151625[[#This Row],[1996]]</f>
        <v>137.94300000000001</v>
      </c>
      <c r="G18" s="287">
        <f>Table1413212232911121314151625[[#This Row],[1997]]</f>
        <v>145.672</v>
      </c>
      <c r="H18" s="287">
        <f>Table1413212232911121314151625[[#This Row],[1998]]</f>
        <v>125.68600000000001</v>
      </c>
      <c r="I18" s="287">
        <f>Table1413212232911121314151625[[#This Row],[1999]]</f>
        <v>120.4</v>
      </c>
      <c r="J18" s="287">
        <f>Table1413212232911121314151625[[#This Row],[2000]]</f>
        <v>0</v>
      </c>
      <c r="K18" s="287">
        <f>Table1413212232911121314151625[[#This Row],[2001]]</f>
        <v>0</v>
      </c>
      <c r="L18" s="287">
        <f>Table1413212232911121314151625[[#This Row],[2002]]</f>
        <v>0</v>
      </c>
      <c r="M18" s="287">
        <f>Table1413212232911121314151625[[#This Row],[2003]]</f>
        <v>0</v>
      </c>
      <c r="N18" s="287">
        <f>Table1413212232911121314151625[[#This Row],[2004]]</f>
        <v>2.6539999999999999</v>
      </c>
      <c r="O18" s="287">
        <f>Table1413212232911121314151625[[#This Row],[2005]]</f>
        <v>0</v>
      </c>
      <c r="P18" s="287">
        <f>Table1413212232911121314151625[[#This Row],[2006]]</f>
        <v>0</v>
      </c>
      <c r="Q18" s="287">
        <f>Table1413212232911121314151625[[#This Row],[2007]]</f>
        <v>0</v>
      </c>
      <c r="R18" s="287">
        <f>Table1413212232911121314151625[[#This Row],[2008]]</f>
        <v>0</v>
      </c>
      <c r="S18" s="287">
        <f>Table1413212232911121314151625[[#This Row],[2009]]</f>
        <v>0</v>
      </c>
      <c r="T18" s="287">
        <f>Table1413212232911121314151625[[#This Row],[2010]]</f>
        <v>0</v>
      </c>
      <c r="U18" s="287">
        <f>Table1413212232911121314151625[[#This Row],[2011]]</f>
        <v>0</v>
      </c>
      <c r="V18" s="287">
        <f>Table1413212232911121314151625[[#This Row],[2012]]</f>
        <v>0</v>
      </c>
      <c r="W18" s="287">
        <f>Table1413212232911121314151625[[#This Row],[2013]]</f>
        <v>0</v>
      </c>
      <c r="X18" s="287">
        <f>Table1413212232911121314151625[[#This Row],[2014]]</f>
        <v>0</v>
      </c>
      <c r="Y18" s="287">
        <f>Table1413212232911121314151625[[#This Row],[2015]]</f>
        <v>0</v>
      </c>
      <c r="Z18" s="287">
        <f>Table1413212232911121314151625[[#This Row],[2016]]</f>
        <v>0</v>
      </c>
      <c r="AA18" s="287">
        <f>Table1413212232911121314151625[[#This Row],[2017]]</f>
        <v>0</v>
      </c>
      <c r="AB18" s="287">
        <f>Table1413212232911121314151625[[#This Row],[2018]]</f>
        <v>0</v>
      </c>
      <c r="AC18" s="287">
        <f>Table1413212232911121314151625[[#This Row],[2019]]</f>
        <v>0</v>
      </c>
      <c r="AD18" s="287">
        <f>Table1413212232911121314151625[[#This Row],[2020 '[note30']]]</f>
        <v>0</v>
      </c>
      <c r="AE18" s="287">
        <f>Table1413212232911121314151625[[#This Row],[2021 '[note30']]]</f>
        <v>0</v>
      </c>
    </row>
    <row r="19" spans="1:31" x14ac:dyDescent="0.2">
      <c r="A19" s="233" t="s">
        <v>472</v>
      </c>
      <c r="B19" s="286">
        <f>'9.16a'!C26</f>
        <v>1.8</v>
      </c>
      <c r="C19" s="286">
        <f>'9.16a'!D26</f>
        <v>2.2999999999999998</v>
      </c>
      <c r="D19" s="286">
        <f>'9.16a'!E26</f>
        <v>2.7</v>
      </c>
      <c r="E19" s="286">
        <f>'9.16a'!F26</f>
        <v>2.1</v>
      </c>
      <c r="F19" s="286">
        <f>'9.16a'!G26</f>
        <v>1.6</v>
      </c>
      <c r="G19" s="286">
        <f>'9.16a'!H26</f>
        <v>1.6</v>
      </c>
      <c r="H19" s="286">
        <f>'9.16a'!I26</f>
        <v>1.9</v>
      </c>
      <c r="I19" s="286">
        <f>'9.16a'!J26</f>
        <v>1.6</v>
      </c>
      <c r="J19" s="286">
        <f>'9.16a'!K26</f>
        <v>1.3</v>
      </c>
      <c r="K19" s="286">
        <f>'9.16a'!L26</f>
        <v>0.25</v>
      </c>
      <c r="L19" s="286" t="str">
        <f>'9.16a'!M26</f>
        <v>..</v>
      </c>
      <c r="M19" s="286" t="str">
        <f>'9.16a'!N26</f>
        <v>..</v>
      </c>
      <c r="N19" s="286" t="str">
        <f>'9.16a'!O26</f>
        <v>..</v>
      </c>
      <c r="O19" s="286" t="str">
        <f>'9.16a'!P26</f>
        <v>..</v>
      </c>
      <c r="P19" s="286" t="str">
        <f>'9.16a'!Q26</f>
        <v>..</v>
      </c>
      <c r="Q19" s="286" t="str">
        <f>'9.16a'!R26</f>
        <v>..</v>
      </c>
      <c r="R19" s="286" t="str">
        <f>'9.16a'!S26</f>
        <v>..</v>
      </c>
      <c r="S19" s="286" t="str">
        <f>'9.16a'!T26</f>
        <v>..</v>
      </c>
      <c r="T19" s="286" t="str">
        <f>'9.16a'!U26</f>
        <v>..</v>
      </c>
      <c r="U19" s="286" t="str">
        <f>'9.16a'!V26</f>
        <v>..</v>
      </c>
      <c r="V19" s="286" t="str">
        <f>'9.16a'!W26</f>
        <v>..</v>
      </c>
      <c r="W19" s="286" t="str">
        <f>'9.16a'!X26</f>
        <v>..</v>
      </c>
      <c r="X19" s="286">
        <f>'9.16a'!Y26</f>
        <v>0</v>
      </c>
      <c r="Y19" s="286">
        <f>'9.16a'!Z26</f>
        <v>0</v>
      </c>
      <c r="Z19" s="286">
        <f>'9.16a'!AA26</f>
        <v>0</v>
      </c>
      <c r="AA19" s="286">
        <f>'9.16a'!AB26</f>
        <v>0</v>
      </c>
      <c r="AB19" s="286">
        <f>'9.16a'!AC26</f>
        <v>0</v>
      </c>
      <c r="AC19" s="286">
        <f>'9.16a'!AD26</f>
        <v>0</v>
      </c>
      <c r="AD19" s="286">
        <f>'9.16a'!AE26</f>
        <v>0</v>
      </c>
      <c r="AE19" s="286">
        <f>'9.16a'!AF26</f>
        <v>0</v>
      </c>
    </row>
    <row r="20" spans="1:31" x14ac:dyDescent="0.2">
      <c r="A20" s="233" t="s">
        <v>462</v>
      </c>
      <c r="B20" s="286">
        <f>SUM(B5:B19)</f>
        <v>7223.9740000000002</v>
      </c>
      <c r="C20" s="286">
        <f>SUM(C5:C19)</f>
        <v>7269.8219999999992</v>
      </c>
      <c r="D20" s="286">
        <f t="shared" ref="D20:AD20" si="0">SUM(D5:D19)</f>
        <v>7367.9860000000008</v>
      </c>
      <c r="E20" s="286">
        <f t="shared" si="0"/>
        <v>8151.0865000000003</v>
      </c>
      <c r="F20" s="286">
        <f t="shared" si="0"/>
        <v>7122.1845000000003</v>
      </c>
      <c r="G20" s="286">
        <f t="shared" si="0"/>
        <v>7237.5145000000002</v>
      </c>
      <c r="H20" s="286">
        <f t="shared" si="0"/>
        <v>7040.8049999999994</v>
      </c>
      <c r="I20" s="286">
        <f t="shared" si="0"/>
        <v>7342.1620000000003</v>
      </c>
      <c r="J20" s="286">
        <f t="shared" si="0"/>
        <v>7318.8850000000011</v>
      </c>
      <c r="K20" s="286">
        <f t="shared" si="0"/>
        <v>7456.35</v>
      </c>
      <c r="L20" s="286">
        <f t="shared" si="0"/>
        <v>7575.558</v>
      </c>
      <c r="M20" s="286">
        <f t="shared" si="0"/>
        <v>8033.7749999999996</v>
      </c>
      <c r="N20" s="286">
        <f t="shared" si="0"/>
        <v>8293.0520000000033</v>
      </c>
      <c r="O20" s="286">
        <f t="shared" si="0"/>
        <v>8327.4359999999979</v>
      </c>
      <c r="P20" s="286">
        <f t="shared" si="0"/>
        <v>8452.6670000000013</v>
      </c>
      <c r="Q20" s="286">
        <f t="shared" si="0"/>
        <v>8466.4860000000008</v>
      </c>
      <c r="R20" s="286">
        <f t="shared" si="0"/>
        <v>8000.63</v>
      </c>
      <c r="S20" s="286">
        <f t="shared" si="0"/>
        <v>8271.6459999999988</v>
      </c>
      <c r="T20" s="286">
        <f t="shared" si="0"/>
        <v>8016.4259999999995</v>
      </c>
      <c r="U20" s="286">
        <f t="shared" si="0"/>
        <v>7773.0959999999995</v>
      </c>
      <c r="V20" s="286">
        <f t="shared" si="0"/>
        <v>7888.1470000000018</v>
      </c>
      <c r="W20" s="286">
        <f t="shared" si="0"/>
        <v>7830.5429999999988</v>
      </c>
      <c r="X20" s="286">
        <f t="shared" si="0"/>
        <v>7884.3119999999999</v>
      </c>
      <c r="Y20" s="286">
        <f t="shared" si="0"/>
        <v>7824.3799999999992</v>
      </c>
      <c r="Z20" s="286">
        <f t="shared" si="0"/>
        <v>8319.9539999999979</v>
      </c>
      <c r="AA20" s="286">
        <f t="shared" si="0"/>
        <v>8501.3559999999998</v>
      </c>
      <c r="AB20" s="286">
        <f t="shared" si="0"/>
        <v>8529.137999999999</v>
      </c>
      <c r="AC20" s="286">
        <f t="shared" si="0"/>
        <v>8656.3170000000009</v>
      </c>
      <c r="AD20" s="286">
        <f t="shared" si="0"/>
        <v>4076.0929999999998</v>
      </c>
      <c r="AE20" s="286">
        <f t="shared" ref="AE20" si="1">SUM(AE5:AE19)</f>
        <v>6261.3319999999994</v>
      </c>
    </row>
    <row r="21" spans="1:31" ht="33" customHeight="1" x14ac:dyDescent="0.2">
      <c r="A21" s="233" t="s">
        <v>463</v>
      </c>
      <c r="B21" s="285">
        <f>'9.13a'!C20</f>
        <v>1935</v>
      </c>
      <c r="C21" s="285">
        <f>'9.13a'!D20</f>
        <v>2264</v>
      </c>
      <c r="D21" s="285">
        <f>'9.13a'!E20</f>
        <v>2268</v>
      </c>
      <c r="E21" s="285">
        <f>'9.13a'!F20</f>
        <v>2342</v>
      </c>
      <c r="F21" s="285">
        <f>'9.13a'!G20</f>
        <v>2205</v>
      </c>
      <c r="G21" s="285">
        <f>'9.13a'!H20</f>
        <v>2687</v>
      </c>
      <c r="H21" s="285">
        <f>'9.13a'!I20</f>
        <v>2600</v>
      </c>
      <c r="I21" s="285">
        <f>'9.13a'!J20</f>
        <v>2618</v>
      </c>
      <c r="J21" s="285">
        <f>'9.13a'!K20</f>
        <v>2470</v>
      </c>
      <c r="K21" s="285">
        <f>'9.13a'!L20</f>
        <v>2326</v>
      </c>
      <c r="L21" s="285">
        <f>'9.13a'!M20</f>
        <v>2284</v>
      </c>
      <c r="M21" s="285">
        <f>'9.13a'!N20</f>
        <v>2430</v>
      </c>
      <c r="N21" s="285">
        <f>'9.13a'!O20</f>
        <v>2337</v>
      </c>
      <c r="O21" s="285">
        <f>'9.13a'!P20</f>
        <v>2051</v>
      </c>
      <c r="P21" s="285">
        <f>'9.13a'!Q20</f>
        <v>2015</v>
      </c>
      <c r="Q21" s="285">
        <f>'9.13a'!R20</f>
        <v>2094</v>
      </c>
      <c r="R21" s="285">
        <f>'9.13a'!S20</f>
        <v>1938</v>
      </c>
      <c r="S21" s="285">
        <f>'9.13a'!T20</f>
        <v>1916</v>
      </c>
      <c r="T21" s="285">
        <f>'9.13a'!U20</f>
        <v>1920</v>
      </c>
      <c r="U21" s="285">
        <f>'9.13a'!V20</f>
        <v>1857.7449999999999</v>
      </c>
      <c r="V21" s="285">
        <f>'9.13a'!W20</f>
        <v>1809.415</v>
      </c>
      <c r="W21" s="285">
        <f>'9.13a'!X20</f>
        <v>1831</v>
      </c>
      <c r="X21" s="285">
        <f>'9.13a'!Y20</f>
        <v>1794.16</v>
      </c>
      <c r="Y21" s="285">
        <f>'9.13a'!Z20</f>
        <v>1729.336</v>
      </c>
      <c r="Z21" s="285">
        <f>'9.13a'!AA20</f>
        <v>1752.722</v>
      </c>
      <c r="AA21" s="285">
        <f>'9.13a'!AB20</f>
        <v>1753.06</v>
      </c>
      <c r="AB21" s="285">
        <f>'9.13a'!AC20</f>
        <v>1750</v>
      </c>
      <c r="AC21" s="285">
        <f>'9.13a'!AD20</f>
        <v>1771</v>
      </c>
      <c r="AD21" s="285">
        <f>'9.13a'!AE20</f>
        <v>850</v>
      </c>
      <c r="AE21" s="285">
        <f>'9.13a'!AF20</f>
        <v>1391</v>
      </c>
    </row>
    <row r="22" spans="1:31" x14ac:dyDescent="0.2">
      <c r="A22" s="233" t="s">
        <v>464</v>
      </c>
      <c r="B22" s="285"/>
      <c r="C22" s="285"/>
      <c r="D22" s="285"/>
      <c r="E22" s="285"/>
      <c r="F22" s="285"/>
      <c r="G22" s="285"/>
      <c r="H22" s="285"/>
      <c r="I22" s="285"/>
      <c r="J22" s="285">
        <f>'9.13b'!B15</f>
        <v>5.681</v>
      </c>
      <c r="K22" s="285">
        <f>'9.13b'!C15</f>
        <v>6.1050000000000004</v>
      </c>
      <c r="L22" s="285">
        <f>'9.13b'!D15</f>
        <v>111.875</v>
      </c>
      <c r="M22" s="285">
        <f>'9.13b'!E15</f>
        <v>207.58699999999999</v>
      </c>
      <c r="N22" s="285">
        <f>'9.13b'!F15</f>
        <v>207</v>
      </c>
      <c r="O22" s="285">
        <f>'9.13b'!G15</f>
        <v>194.32300000000001</v>
      </c>
      <c r="P22" s="285">
        <f>'9.13b'!H15</f>
        <v>121</v>
      </c>
      <c r="Q22" s="285">
        <f>'9.13b'!I15</f>
        <v>111</v>
      </c>
      <c r="R22" s="285">
        <f>'9.13b'!J15</f>
        <v>75</v>
      </c>
      <c r="S22" s="285">
        <f>'9.13b'!K15</f>
        <v>31</v>
      </c>
      <c r="T22" s="285">
        <f>'9.13b'!L15</f>
        <v>54.015999999999998</v>
      </c>
      <c r="U22" s="285">
        <f>'9.13b'!M15</f>
        <v>0.56299999999999994</v>
      </c>
      <c r="V22" s="285">
        <f>'9.13b'!N15</f>
        <v>0.70599999999999996</v>
      </c>
      <c r="W22" s="285">
        <f>'9.13b'!O15</f>
        <v>0.68600000000000005</v>
      </c>
      <c r="X22" s="285">
        <f>'9.13b'!P15</f>
        <v>0.67300000000000004</v>
      </c>
      <c r="Y22" s="285">
        <f>'9.13b'!Q15</f>
        <v>0.47899999999999998</v>
      </c>
      <c r="Z22" s="285">
        <f>'9.13b'!R15</f>
        <v>0.72099999999999997</v>
      </c>
      <c r="AA22" s="285">
        <f>'9.13b'!S15</f>
        <v>0.41099999999999998</v>
      </c>
      <c r="AB22" s="285">
        <f>'9.13b'!T15</f>
        <v>4.4999999999999998E-2</v>
      </c>
      <c r="AC22" s="285">
        <v>0</v>
      </c>
      <c r="AD22" s="285">
        <v>0</v>
      </c>
      <c r="AE22" s="285">
        <v>0</v>
      </c>
    </row>
    <row r="23" spans="1:31" ht="36" customHeight="1" x14ac:dyDescent="0.2">
      <c r="A23" s="234" t="s">
        <v>485</v>
      </c>
      <c r="B23" s="285">
        <f>SUM(B20:B22)</f>
        <v>9158.9740000000002</v>
      </c>
      <c r="C23" s="285">
        <f t="shared" ref="C23:AD23" si="2">SUM(C20:C22)</f>
        <v>9533.8220000000001</v>
      </c>
      <c r="D23" s="285">
        <f t="shared" si="2"/>
        <v>9635.9860000000008</v>
      </c>
      <c r="E23" s="285">
        <f t="shared" si="2"/>
        <v>10493.086500000001</v>
      </c>
      <c r="F23" s="285">
        <f t="shared" si="2"/>
        <v>9327.1844999999994</v>
      </c>
      <c r="G23" s="285">
        <f t="shared" si="2"/>
        <v>9924.5145000000011</v>
      </c>
      <c r="H23" s="285">
        <f t="shared" si="2"/>
        <v>9640.8050000000003</v>
      </c>
      <c r="I23" s="285">
        <f t="shared" si="2"/>
        <v>9960.1620000000003</v>
      </c>
      <c r="J23" s="285">
        <f t="shared" si="2"/>
        <v>9794.5660000000025</v>
      </c>
      <c r="K23" s="285">
        <f t="shared" si="2"/>
        <v>9788.4549999999999</v>
      </c>
      <c r="L23" s="285">
        <f t="shared" si="2"/>
        <v>9971.4330000000009</v>
      </c>
      <c r="M23" s="285">
        <f t="shared" si="2"/>
        <v>10671.361999999999</v>
      </c>
      <c r="N23" s="285">
        <f t="shared" si="2"/>
        <v>10837.052000000003</v>
      </c>
      <c r="O23" s="285">
        <f t="shared" si="2"/>
        <v>10572.758999999998</v>
      </c>
      <c r="P23" s="285">
        <f t="shared" si="2"/>
        <v>10588.667000000001</v>
      </c>
      <c r="Q23" s="285">
        <f t="shared" si="2"/>
        <v>10671.486000000001</v>
      </c>
      <c r="R23" s="285">
        <f t="shared" si="2"/>
        <v>10013.630000000001</v>
      </c>
      <c r="S23" s="285">
        <f t="shared" si="2"/>
        <v>10218.645999999999</v>
      </c>
      <c r="T23" s="285">
        <f t="shared" si="2"/>
        <v>9990.4419999999991</v>
      </c>
      <c r="U23" s="285">
        <f t="shared" si="2"/>
        <v>9631.4040000000005</v>
      </c>
      <c r="V23" s="285">
        <f t="shared" si="2"/>
        <v>9698.2680000000018</v>
      </c>
      <c r="W23" s="285">
        <f t="shared" si="2"/>
        <v>9662.2289999999975</v>
      </c>
      <c r="X23" s="285">
        <f t="shared" si="2"/>
        <v>9679.1450000000004</v>
      </c>
      <c r="Y23" s="285">
        <f t="shared" si="2"/>
        <v>9554.1949999999979</v>
      </c>
      <c r="Z23" s="285">
        <f t="shared" si="2"/>
        <v>10073.396999999997</v>
      </c>
      <c r="AA23" s="285">
        <f t="shared" si="2"/>
        <v>10254.826999999999</v>
      </c>
      <c r="AB23" s="285">
        <f t="shared" si="2"/>
        <v>10279.182999999999</v>
      </c>
      <c r="AC23" s="285">
        <f t="shared" si="2"/>
        <v>10427.317000000001</v>
      </c>
      <c r="AD23" s="285">
        <f t="shared" si="2"/>
        <v>4926.0929999999998</v>
      </c>
      <c r="AE23" s="285">
        <f t="shared" ref="AE23" si="3">SUM(AE20:AE22)</f>
        <v>7652.3319999999994</v>
      </c>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19"/>
  <sheetViews>
    <sheetView zoomScaleNormal="100" workbookViewId="0">
      <pane xSplit="1" topLeftCell="Q1" activePane="topRight" state="frozen"/>
      <selection activeCell="B8" sqref="B8"/>
      <selection pane="topRight" activeCell="B8" sqref="B8"/>
    </sheetView>
  </sheetViews>
  <sheetFormatPr defaultRowHeight="15" x14ac:dyDescent="0.2"/>
  <cols>
    <col min="1" max="1" width="54.77734375" style="6" customWidth="1"/>
    <col min="2" max="30" width="9.109375" style="6" customWidth="1"/>
    <col min="31" max="16384" width="8.88671875" style="6"/>
  </cols>
  <sheetData>
    <row r="1" spans="1:31" s="5" customFormat="1" ht="15.75" x14ac:dyDescent="0.25">
      <c r="A1" s="1" t="s">
        <v>841</v>
      </c>
      <c r="B1" s="1"/>
      <c r="C1" s="1"/>
      <c r="D1" s="1"/>
      <c r="E1" s="1"/>
      <c r="F1" s="1"/>
      <c r="G1" s="1"/>
      <c r="H1" s="1"/>
      <c r="I1" s="1"/>
      <c r="J1" s="2"/>
      <c r="K1" s="3"/>
      <c r="L1" s="4"/>
      <c r="M1" s="4"/>
      <c r="N1" s="2"/>
    </row>
    <row r="2" spans="1:31" s="5" customFormat="1" ht="15.75" x14ac:dyDescent="0.25">
      <c r="A2" s="2" t="s">
        <v>5</v>
      </c>
      <c r="B2" s="2"/>
      <c r="C2" s="2"/>
      <c r="D2" s="2"/>
      <c r="E2" s="2"/>
      <c r="F2" s="2"/>
      <c r="G2" s="2"/>
      <c r="H2" s="2"/>
      <c r="I2" s="2"/>
      <c r="J2" s="2"/>
      <c r="K2" s="3"/>
      <c r="L2" s="4"/>
      <c r="M2" s="4"/>
      <c r="N2" s="2"/>
    </row>
    <row r="3" spans="1:31" s="5" customFormat="1" ht="15.75" x14ac:dyDescent="0.25">
      <c r="A3" s="5" t="s">
        <v>452</v>
      </c>
      <c r="J3" s="2"/>
      <c r="K3" s="3"/>
      <c r="L3" s="4"/>
      <c r="M3" s="4"/>
      <c r="N3" s="2"/>
    </row>
    <row r="4" spans="1:31" s="260" customFormat="1" ht="27.75" customHeight="1" x14ac:dyDescent="0.25">
      <c r="A4" s="259" t="s">
        <v>453</v>
      </c>
      <c r="B4" s="260" t="s">
        <v>63</v>
      </c>
      <c r="C4" s="260" t="s">
        <v>54</v>
      </c>
      <c r="D4" s="260" t="s">
        <v>55</v>
      </c>
      <c r="E4" s="260" t="s">
        <v>56</v>
      </c>
      <c r="F4" s="260" t="s">
        <v>40</v>
      </c>
      <c r="G4" s="260" t="s">
        <v>41</v>
      </c>
      <c r="H4" s="260" t="s">
        <v>42</v>
      </c>
      <c r="I4" s="260" t="s">
        <v>43</v>
      </c>
      <c r="J4" s="260" t="s">
        <v>17</v>
      </c>
      <c r="K4" s="260" t="s">
        <v>18</v>
      </c>
      <c r="L4" s="260" t="s">
        <v>44</v>
      </c>
      <c r="M4" s="260" t="s">
        <v>19</v>
      </c>
      <c r="N4" s="260" t="s">
        <v>20</v>
      </c>
      <c r="O4" s="260" t="s">
        <v>21</v>
      </c>
      <c r="P4" s="260" t="s">
        <v>22</v>
      </c>
      <c r="Q4" s="260" t="s">
        <v>23</v>
      </c>
      <c r="R4" s="260" t="s">
        <v>24</v>
      </c>
      <c r="S4" s="260" t="s">
        <v>25</v>
      </c>
      <c r="T4" s="260" t="s">
        <v>26</v>
      </c>
      <c r="U4" s="260" t="s">
        <v>27</v>
      </c>
      <c r="V4" s="260" t="s">
        <v>28</v>
      </c>
      <c r="W4" s="260" t="s">
        <v>29</v>
      </c>
      <c r="X4" s="260" t="s">
        <v>30</v>
      </c>
      <c r="Y4" s="260" t="s">
        <v>31</v>
      </c>
      <c r="Z4" s="260" t="s">
        <v>32</v>
      </c>
      <c r="AA4" s="260" t="s">
        <v>33</v>
      </c>
      <c r="AB4" s="260" t="s">
        <v>34</v>
      </c>
      <c r="AC4" s="260" t="s">
        <v>35</v>
      </c>
      <c r="AD4" s="260" t="s">
        <v>484</v>
      </c>
      <c r="AE4" s="245" t="s">
        <v>854</v>
      </c>
    </row>
    <row r="5" spans="1:31" x14ac:dyDescent="0.2">
      <c r="A5" s="106" t="s">
        <v>454</v>
      </c>
      <c r="B5" s="34">
        <f>SUM('9.14a'!C5:C6)</f>
        <v>1427.3</v>
      </c>
      <c r="C5" s="34">
        <f>SUM('9.14a'!D5:D6)</f>
        <v>1429.5</v>
      </c>
      <c r="D5" s="34">
        <f>SUM('9.14a'!E5:E6)</f>
        <v>1432</v>
      </c>
      <c r="E5" s="34">
        <f>SUM('9.14a'!F5:F6)</f>
        <v>1418.2</v>
      </c>
      <c r="F5" s="34">
        <f>SUM('9.14a'!G5:G6)</f>
        <v>1031.9000000000001</v>
      </c>
      <c r="G5" s="34">
        <f>SUM('9.14a'!H5:H6)</f>
        <v>1024.7</v>
      </c>
      <c r="H5" s="34">
        <f>SUM('9.14a'!I5:I6)</f>
        <v>1000.8</v>
      </c>
      <c r="I5" s="34">
        <f>SUM('9.14a'!J5:J6)</f>
        <v>995.28800000000001</v>
      </c>
      <c r="J5" s="34">
        <f>SUM('9.14a'!K5:K6)</f>
        <v>1017.1809999999999</v>
      </c>
      <c r="K5" s="34">
        <f>SUM('9.14a'!L5:L6)</f>
        <v>1063.037</v>
      </c>
      <c r="L5" s="34">
        <f>SUM('9.14a'!M5:M6)</f>
        <v>997.39100000000008</v>
      </c>
      <c r="M5" s="34">
        <f>SUM('9.14a'!N5:N6)</f>
        <v>1056.75</v>
      </c>
      <c r="N5" s="34">
        <f>SUM('9.14a'!O5:O6)</f>
        <v>1100.1689999999999</v>
      </c>
      <c r="O5" s="34">
        <f>SUM('9.14a'!P5:P6)</f>
        <v>1123.3200000000002</v>
      </c>
      <c r="P5" s="34">
        <f>SUM('9.14a'!Q5:Q6)</f>
        <v>1136.5910000000001</v>
      </c>
      <c r="Q5" s="34">
        <f>SUM('9.14a'!R5:R6)</f>
        <v>1177.6999999999998</v>
      </c>
      <c r="R5" s="34">
        <f>SUM('9.14a'!S5:S6)</f>
        <v>1151.8490000000002</v>
      </c>
      <c r="S5" s="34">
        <f>SUM('9.14a'!T5:T6)</f>
        <v>1215.8440000000001</v>
      </c>
      <c r="T5" s="34">
        <f>SUM('9.14a'!U5:U6)</f>
        <v>1186.7829999999999</v>
      </c>
      <c r="U5" s="34">
        <f>SUM('9.14a'!V5:V6)</f>
        <v>1173.3410000000001</v>
      </c>
      <c r="V5" s="34">
        <f>SUM('9.14a'!W5:W6)</f>
        <v>1156.027</v>
      </c>
      <c r="W5" s="34">
        <f>SUM('9.14a'!X5:X6)</f>
        <v>1168.1189999999999</v>
      </c>
      <c r="X5" s="34">
        <f>SUM('9.14a'!Y5:Y6)</f>
        <v>1200</v>
      </c>
      <c r="Y5" s="34">
        <f>SUM('9.14a'!Z5:Z6)</f>
        <v>1267</v>
      </c>
      <c r="Z5" s="34">
        <f>SUM('9.14a'!AA5:AA6)</f>
        <v>1445</v>
      </c>
      <c r="AA5" s="34">
        <f>SUM('9.14a'!AB5:AB6)</f>
        <v>1519</v>
      </c>
      <c r="AB5" s="34">
        <f>SUM('9.14a'!AC5:AC6)</f>
        <v>1520</v>
      </c>
      <c r="AC5" s="34">
        <f>SUM('9.14a'!AD5:AD6)</f>
        <v>1585</v>
      </c>
      <c r="AD5" s="34">
        <f>SUM('9.14a'!AE5:AE6)</f>
        <v>873.55499999999995</v>
      </c>
      <c r="AE5" s="34">
        <f>SUM('9.14a'!AF5:AF6)</f>
        <v>1344.174</v>
      </c>
    </row>
    <row r="6" spans="1:31" x14ac:dyDescent="0.2">
      <c r="A6" s="106" t="s">
        <v>466</v>
      </c>
      <c r="B6" s="34">
        <f>'9.14a'!C7</f>
        <v>0</v>
      </c>
      <c r="C6" s="34">
        <f>SUM('9.14a'!D7)</f>
        <v>0</v>
      </c>
      <c r="D6" s="34">
        <f>SUM('9.14a'!E7)</f>
        <v>0</v>
      </c>
      <c r="E6" s="34">
        <f>SUM('9.14a'!F7)</f>
        <v>0</v>
      </c>
      <c r="F6" s="34">
        <f>SUM('9.14a'!G7)</f>
        <v>0</v>
      </c>
      <c r="G6" s="34">
        <f>SUM('9.14a'!H7)</f>
        <v>0</v>
      </c>
      <c r="H6" s="34">
        <f>SUM('9.14a'!I7)</f>
        <v>0</v>
      </c>
      <c r="I6" s="34">
        <f>SUM('9.14a'!J7)</f>
        <v>0</v>
      </c>
      <c r="J6" s="34">
        <f>SUM('9.14a'!K7)</f>
        <v>0</v>
      </c>
      <c r="K6" s="34">
        <f>SUM('9.14a'!L7)</f>
        <v>0</v>
      </c>
      <c r="L6" s="34">
        <f>SUM('9.14a'!M7)</f>
        <v>0</v>
      </c>
      <c r="M6" s="34">
        <f>SUM('9.14a'!N7)</f>
        <v>0</v>
      </c>
      <c r="N6" s="34">
        <f>SUM('9.14a'!O7)</f>
        <v>0</v>
      </c>
      <c r="O6" s="34">
        <f>SUM('9.14a'!P7)</f>
        <v>0</v>
      </c>
      <c r="P6" s="34">
        <f>SUM('9.14a'!Q7)</f>
        <v>83.816000000000003</v>
      </c>
      <c r="Q6" s="34">
        <f>SUM('9.14a'!R7)</f>
        <v>83.816000000000003</v>
      </c>
      <c r="R6" s="34">
        <f>SUM('9.14a'!S7)</f>
        <v>85.399000000000001</v>
      </c>
      <c r="S6" s="34">
        <f>SUM('9.14a'!T7)</f>
        <v>75.606000000000009</v>
      </c>
      <c r="T6" s="34">
        <f>SUM('9.14a'!U7)</f>
        <v>74.516999999999996</v>
      </c>
      <c r="U6" s="34">
        <f>SUM('9.14a'!V7)</f>
        <v>64.900000000000006</v>
      </c>
      <c r="V6" s="34">
        <f>SUM('9.14a'!W7)</f>
        <v>27.349</v>
      </c>
      <c r="W6" s="34">
        <f>SUM('9.14a'!X7)</f>
        <v>0</v>
      </c>
      <c r="X6" s="34">
        <f>SUM('9.14a'!Y7)</f>
        <v>0</v>
      </c>
      <c r="Y6" s="34">
        <f>SUM('9.14a'!Z7)</f>
        <v>0</v>
      </c>
      <c r="Z6" s="34">
        <f>SUM('9.14a'!AA7)</f>
        <v>0</v>
      </c>
      <c r="AA6" s="34">
        <f>SUM('9.14a'!AB7)</f>
        <v>0</v>
      </c>
      <c r="AB6" s="34">
        <f>SUM('9.14a'!AC7)</f>
        <v>0</v>
      </c>
      <c r="AC6" s="34">
        <f>SUM('9.14a'!AD7)</f>
        <v>0</v>
      </c>
      <c r="AD6" s="34">
        <f>SUM('9.14a'!AE7)</f>
        <v>0</v>
      </c>
      <c r="AE6" s="34">
        <f>SUM('9.14a'!AF7)</f>
        <v>0</v>
      </c>
    </row>
    <row r="7" spans="1:31" x14ac:dyDescent="0.2">
      <c r="A7" s="107" t="s">
        <v>467</v>
      </c>
      <c r="B7" s="34">
        <f>'9.14a'!C8</f>
        <v>0</v>
      </c>
      <c r="C7" s="34">
        <f>'9.14a'!D8</f>
        <v>0</v>
      </c>
      <c r="D7" s="34">
        <f>'9.14a'!E8</f>
        <v>0</v>
      </c>
      <c r="E7" s="34">
        <f>'9.14a'!F8</f>
        <v>0</v>
      </c>
      <c r="F7" s="34">
        <f>'9.14a'!G8</f>
        <v>0</v>
      </c>
      <c r="G7" s="34">
        <f>'9.14a'!H8</f>
        <v>0</v>
      </c>
      <c r="H7" s="34">
        <f>'9.14a'!I8</f>
        <v>0</v>
      </c>
      <c r="I7" s="34">
        <f>'9.14a'!J8</f>
        <v>0</v>
      </c>
      <c r="J7" s="34">
        <f>'9.14a'!K8</f>
        <v>0</v>
      </c>
      <c r="K7" s="34">
        <f>'9.14a'!L8</f>
        <v>0</v>
      </c>
      <c r="L7" s="34">
        <f>'9.14a'!M8</f>
        <v>0</v>
      </c>
      <c r="M7" s="34">
        <f>'9.14a'!N8</f>
        <v>0</v>
      </c>
      <c r="N7" s="34">
        <f>'9.14a'!O8</f>
        <v>0</v>
      </c>
      <c r="O7" s="34">
        <f>'9.14a'!P8</f>
        <v>0</v>
      </c>
      <c r="P7" s="34">
        <f>'9.14a'!Q8</f>
        <v>0</v>
      </c>
      <c r="Q7" s="34">
        <f>'9.14a'!R8</f>
        <v>0</v>
      </c>
      <c r="R7" s="34">
        <f>'9.14a'!S8</f>
        <v>0</v>
      </c>
      <c r="S7" s="34">
        <f>'9.14a'!T8</f>
        <v>0</v>
      </c>
      <c r="T7" s="34">
        <f>'9.14a'!U8</f>
        <v>0</v>
      </c>
      <c r="U7" s="34">
        <f>'9.14a'!V8</f>
        <v>0</v>
      </c>
      <c r="V7" s="34">
        <f>'9.14a'!W8</f>
        <v>0</v>
      </c>
      <c r="W7" s="34">
        <f>'9.14a'!X8</f>
        <v>0</v>
      </c>
      <c r="X7" s="34">
        <f>'9.14a'!Y8</f>
        <v>0</v>
      </c>
      <c r="Y7" s="34">
        <f>'9.14a'!Z8</f>
        <v>0</v>
      </c>
      <c r="Z7" s="34">
        <f>'9.14a'!AA8</f>
        <v>0</v>
      </c>
      <c r="AA7" s="34">
        <f>'9.14a'!AB8</f>
        <v>0</v>
      </c>
      <c r="AB7" s="34">
        <f>'9.14a'!AC8</f>
        <v>0</v>
      </c>
      <c r="AC7" s="34">
        <f>'9.14a'!AD8</f>
        <v>0</v>
      </c>
      <c r="AD7" s="34">
        <f>'9.14a'!AE8</f>
        <v>0</v>
      </c>
      <c r="AE7" s="34">
        <f>'9.14a'!AF8</f>
        <v>0</v>
      </c>
    </row>
    <row r="8" spans="1:31" x14ac:dyDescent="0.2">
      <c r="A8" s="5" t="s">
        <v>455</v>
      </c>
      <c r="B8" s="34">
        <f>SUM('9.14a'!C17:C18)</f>
        <v>60.9</v>
      </c>
      <c r="C8" s="34">
        <f>SUM('9.14a'!D17:D18)</f>
        <v>61.6</v>
      </c>
      <c r="D8" s="34">
        <f>SUM('9.14a'!E17:E18)</f>
        <v>62.3</v>
      </c>
      <c r="E8" s="34">
        <f>SUM('9.14a'!F17:F18)</f>
        <v>66.8</v>
      </c>
      <c r="F8" s="34">
        <f>SUM('9.14a'!G17:G18)</f>
        <v>72.5</v>
      </c>
      <c r="G8" s="34">
        <f>SUM('9.14a'!H17:H18)</f>
        <v>75.599999999999994</v>
      </c>
      <c r="H8" s="34">
        <f>SUM('9.14a'!I17:I18)</f>
        <v>77</v>
      </c>
      <c r="I8" s="34">
        <f>SUM('9.14a'!J17:J18)</f>
        <v>78</v>
      </c>
      <c r="J8" s="34">
        <f>SUM('9.14a'!K17:K18)</f>
        <v>82</v>
      </c>
      <c r="K8" s="34">
        <f>SUM('9.14a'!L17:L18)</f>
        <v>73</v>
      </c>
      <c r="L8" s="34">
        <f>SUM('9.14a'!M17:M18)</f>
        <v>56.1</v>
      </c>
      <c r="M8" s="34">
        <f>SUM('9.14a'!N17:N18)</f>
        <v>0</v>
      </c>
      <c r="N8" s="34">
        <f>SUM('9.14a'!O17:O18)</f>
        <v>0</v>
      </c>
      <c r="O8" s="34">
        <f>SUM('9.14a'!P17:P18)</f>
        <v>0</v>
      </c>
      <c r="P8" s="34">
        <f>SUM('9.14a'!Q17:Q18)</f>
        <v>0</v>
      </c>
      <c r="Q8" s="34">
        <f>SUM('9.14a'!R17:R18)</f>
        <v>0</v>
      </c>
      <c r="R8" s="34">
        <f>SUM('9.14a'!S17:S18)</f>
        <v>0</v>
      </c>
      <c r="S8" s="34">
        <f>SUM('9.14a'!T17:T18)</f>
        <v>0</v>
      </c>
      <c r="T8" s="34">
        <f>SUM('9.14a'!U17:U18)</f>
        <v>0</v>
      </c>
      <c r="U8" s="34">
        <f>SUM('9.14a'!V17:V18)</f>
        <v>0</v>
      </c>
      <c r="V8" s="34">
        <f>SUM('9.14a'!W17:W18)</f>
        <v>0</v>
      </c>
      <c r="W8" s="34">
        <f>SUM('9.14a'!X17:X18)</f>
        <v>0</v>
      </c>
      <c r="X8" s="34">
        <f>SUM('9.14a'!Y17:Y18)</f>
        <v>0</v>
      </c>
      <c r="Y8" s="34">
        <f>SUM('9.14a'!Z17:Z18)</f>
        <v>0</v>
      </c>
      <c r="Z8" s="34">
        <f>SUM('9.14a'!AA17:AA18)</f>
        <v>0</v>
      </c>
      <c r="AA8" s="34">
        <f>SUM('9.14a'!AB17:AB18)</f>
        <v>0</v>
      </c>
      <c r="AB8" s="34">
        <f>SUM('9.14a'!AC17:AC18)</f>
        <v>0</v>
      </c>
      <c r="AC8" s="34">
        <f>SUM('9.14a'!AD17:AD18)</f>
        <v>0</v>
      </c>
      <c r="AD8" s="34">
        <f>SUM('9.14a'!AE17:AE18)</f>
        <v>0</v>
      </c>
      <c r="AE8" s="34">
        <f>SUM('9.14a'!AF17:AF18)</f>
        <v>0</v>
      </c>
    </row>
    <row r="9" spans="1:31" x14ac:dyDescent="0.2">
      <c r="A9" s="107" t="s">
        <v>468</v>
      </c>
      <c r="B9" s="34">
        <f>SUM('9.14a'!C23:C24)</f>
        <v>0</v>
      </c>
      <c r="C9" s="34">
        <f>SUM('9.14a'!D23:D24)</f>
        <v>0</v>
      </c>
      <c r="D9" s="34">
        <f>SUM('9.14a'!E23:E24)</f>
        <v>0</v>
      </c>
      <c r="E9" s="34">
        <f>SUM('9.14a'!F23:F24)</f>
        <v>0</v>
      </c>
      <c r="F9" s="34">
        <f>SUM('9.14a'!G23:G24)</f>
        <v>0</v>
      </c>
      <c r="G9" s="34">
        <f>SUM('9.14a'!H23:H24)</f>
        <v>0</v>
      </c>
      <c r="H9" s="34">
        <f>SUM('9.14a'!I23:I24)</f>
        <v>0</v>
      </c>
      <c r="I9" s="34">
        <f>SUM('9.14a'!J23:J24)</f>
        <v>0</v>
      </c>
      <c r="J9" s="34">
        <f>SUM('9.14a'!K23:K24)</f>
        <v>0</v>
      </c>
      <c r="K9" s="34">
        <f>SUM('9.14a'!L23:L24)</f>
        <v>0</v>
      </c>
      <c r="L9" s="34">
        <f>SUM('9.14a'!M23:M24)</f>
        <v>0</v>
      </c>
      <c r="M9" s="34">
        <f>SUM('9.14a'!N23:N24)</f>
        <v>59.414999999999999</v>
      </c>
      <c r="N9" s="34">
        <f>SUM('9.14a'!O23:O24)</f>
        <v>65.016000000000005</v>
      </c>
      <c r="O9" s="34">
        <f>SUM('9.14a'!P23:P24)</f>
        <v>67.5</v>
      </c>
      <c r="P9" s="34">
        <f>SUM('9.14a'!Q23:Q24)</f>
        <v>69</v>
      </c>
      <c r="Q9" s="34">
        <f>SUM('9.14a'!R23:R24)</f>
        <v>70</v>
      </c>
      <c r="R9" s="34">
        <f>SUM('9.14a'!S23:S24)</f>
        <v>68</v>
      </c>
      <c r="S9" s="34">
        <f>SUM('9.14a'!T23:T24)</f>
        <v>68</v>
      </c>
      <c r="T9" s="34">
        <f>SUM('9.14a'!U23:U24)</f>
        <v>64</v>
      </c>
      <c r="U9" s="34">
        <f>SUM('9.14a'!V23:V24)</f>
        <v>63</v>
      </c>
      <c r="V9" s="34">
        <f>SUM('9.14a'!W23:W24)</f>
        <v>61.2</v>
      </c>
      <c r="W9" s="34">
        <f>SUM('9.14a'!X23:X24)</f>
        <v>56.061</v>
      </c>
      <c r="X9" s="34">
        <f>SUM('9.14a'!Y23:Y24)</f>
        <v>55.789000000000001</v>
      </c>
      <c r="Y9" s="34">
        <f>SUM('9.14a'!Z23:Z24)</f>
        <v>58.945999999999998</v>
      </c>
      <c r="Z9" s="34">
        <f>SUM('9.14a'!AA23:AA24)</f>
        <v>63.241</v>
      </c>
      <c r="AA9" s="34">
        <f>SUM('9.14a'!AB23:AB24)</f>
        <v>67.56</v>
      </c>
      <c r="AB9" s="34">
        <f>SUM('9.14a'!AC23:AC24)</f>
        <v>71.971999999999994</v>
      </c>
      <c r="AC9" s="34">
        <f>SUM('9.14a'!AD23:AD24)</f>
        <v>77.082999999999998</v>
      </c>
      <c r="AD9" s="34">
        <f>SUM('9.14a'!AE23:AE24)</f>
        <v>34.658000000000001</v>
      </c>
      <c r="AE9" s="34">
        <f>SUM('9.14a'!AF23:AF24)</f>
        <v>63.048999999999999</v>
      </c>
    </row>
    <row r="10" spans="1:31" x14ac:dyDescent="0.2">
      <c r="A10" s="107" t="s">
        <v>456</v>
      </c>
      <c r="B10" s="31">
        <f>SUM('9.16b'!C16,'9.16c'!C16)</f>
        <v>35.1</v>
      </c>
      <c r="C10" s="31">
        <f>SUM('9.16b'!D16,'9.16c'!D16)</f>
        <v>54</v>
      </c>
      <c r="D10" s="31">
        <f>SUM('9.16b'!E16,'9.16c'!E16)</f>
        <v>62.2</v>
      </c>
      <c r="E10" s="31">
        <f>SUM('9.16b'!F16,'9.16c'!F16)</f>
        <v>63.9</v>
      </c>
      <c r="F10" s="31">
        <f>SUM('9.16b'!G16,'9.16c'!G16)</f>
        <v>64.900000000000006</v>
      </c>
      <c r="G10" s="31">
        <f>SUM('9.16b'!H16,'9.16c'!H16)</f>
        <v>66.199999999999989</v>
      </c>
      <c r="H10" s="31">
        <f>SUM('9.16b'!I16,'9.16c'!I16)</f>
        <v>69.599999999999994</v>
      </c>
      <c r="I10" s="31">
        <f>SUM('9.16b'!J16,'9.16c'!J16)</f>
        <v>73.099999999999994</v>
      </c>
      <c r="J10" s="31">
        <f>SUM('9.16b'!K16,'9.16c'!K16)</f>
        <v>70.400000000000006</v>
      </c>
      <c r="K10" s="31">
        <f>SUM('9.16b'!L16,'9.16c'!L16)</f>
        <v>74.400000000000006</v>
      </c>
      <c r="L10" s="31">
        <f>SUM('9.16b'!M16,'9.16c'!M16)</f>
        <v>74.900000000000006</v>
      </c>
      <c r="M10" s="31">
        <f>SUM('9.16b'!N16,'9.16c'!N16)</f>
        <v>79.8</v>
      </c>
      <c r="N10" s="31">
        <f>SUM('9.16b'!O16,'9.16c'!O16)</f>
        <v>82.6</v>
      </c>
      <c r="O10" s="31">
        <f>SUM('9.16b'!P16,'9.16c'!P16)</f>
        <v>82.944000000000003</v>
      </c>
      <c r="P10" s="31">
        <f>SUM('9.16b'!Q16,'9.16c'!Q16)</f>
        <v>83</v>
      </c>
      <c r="Q10" s="31">
        <f>SUM('9.16b'!R16,'9.16c'!R16)</f>
        <v>81.2</v>
      </c>
      <c r="R10" s="31">
        <f>SUM('9.16b'!S16,'9.16c'!S16)</f>
        <v>81.199999999999989</v>
      </c>
      <c r="S10" s="31">
        <f>SUM('9.16b'!T16,'9.16c'!T16)</f>
        <v>87.415999999999997</v>
      </c>
      <c r="T10" s="31">
        <f>SUM('9.16b'!U16,'9.16c'!U16)</f>
        <v>88.7</v>
      </c>
      <c r="U10" s="31">
        <f>SUM('9.16b'!V16,'9.16c'!V16)</f>
        <v>86.639999999999986</v>
      </c>
      <c r="V10" s="31">
        <f>SUM('9.16b'!W16,'9.16c'!W16)</f>
        <v>87.44</v>
      </c>
      <c r="W10" s="31">
        <f>SUM('9.16b'!X16,'9.16c'!X16)</f>
        <v>83.81</v>
      </c>
      <c r="X10" s="31">
        <f>SUM('9.16b'!Y16,'9.16c'!Y16)</f>
        <v>83.9</v>
      </c>
      <c r="Y10" s="31">
        <f>SUM('9.16b'!Z16,'9.16c'!Z16)</f>
        <v>84.7</v>
      </c>
      <c r="Z10" s="31">
        <f>SUM('9.16b'!AA16,'9.16c'!AA16)</f>
        <v>87.3</v>
      </c>
      <c r="AA10" s="31">
        <f>SUM('9.16b'!AB16,'9.16c'!AB16)</f>
        <v>89.26</v>
      </c>
      <c r="AB10" s="31">
        <f>SUM('9.16b'!AC16,'9.16c'!AC16)</f>
        <v>93.5</v>
      </c>
      <c r="AC10" s="31">
        <f>SUM('9.16b'!AD16,'9.16c'!AD16)</f>
        <v>94.4</v>
      </c>
      <c r="AD10" s="31">
        <f>SUM('9.16b'!AE16,'9.16c'!AE16)</f>
        <v>65.506</v>
      </c>
      <c r="AE10" s="31">
        <f>SUM('9.16b'!AF16,'9.16c'!AF16)</f>
        <v>80.8</v>
      </c>
    </row>
    <row r="11" spans="1:31" x14ac:dyDescent="0.2">
      <c r="A11" s="107" t="s">
        <v>469</v>
      </c>
      <c r="B11" s="34">
        <f>'9.14b'!C10</f>
        <v>0</v>
      </c>
      <c r="C11" s="34">
        <f>'9.14b'!D10</f>
        <v>0</v>
      </c>
      <c r="D11" s="34">
        <f>'9.14b'!E10</f>
        <v>0</v>
      </c>
      <c r="E11" s="34">
        <f>'9.14b'!F10</f>
        <v>215.87799999999996</v>
      </c>
      <c r="F11" s="34">
        <f>'9.14b'!G10</f>
        <v>285.35199999999998</v>
      </c>
      <c r="G11" s="34">
        <f>'9.14b'!H10</f>
        <v>305.024</v>
      </c>
      <c r="H11" s="34">
        <f>'9.14b'!I10</f>
        <v>271.74799999999999</v>
      </c>
      <c r="I11" s="34">
        <f>'9.14b'!J10</f>
        <v>274.44900000000001</v>
      </c>
      <c r="J11" s="34">
        <f>'9.14b'!K10</f>
        <v>288.315</v>
      </c>
      <c r="K11" s="34">
        <f>'9.14b'!L10</f>
        <v>297.09999999999997</v>
      </c>
      <c r="L11" s="34">
        <f>'9.14b'!M10</f>
        <v>327</v>
      </c>
      <c r="M11" s="34">
        <f>'9.14b'!N10</f>
        <v>314.40000000000003</v>
      </c>
      <c r="N11" s="34">
        <f>'9.14b'!O10</f>
        <v>337.5</v>
      </c>
      <c r="O11" s="34">
        <f>'9.14b'!P10</f>
        <v>319.8</v>
      </c>
      <c r="P11" s="34">
        <f>'9.14b'!Q10</f>
        <v>342.16700000000003</v>
      </c>
      <c r="Q11" s="34">
        <f>'9.14b'!R10</f>
        <v>363.57499999999999</v>
      </c>
      <c r="R11" s="34">
        <f>'9.14b'!S10</f>
        <v>273.45799999999997</v>
      </c>
      <c r="S11" s="34">
        <f>'9.14b'!T10</f>
        <v>281.20000000000005</v>
      </c>
      <c r="T11" s="34">
        <f>'9.14b'!U10</f>
        <v>282.79999999999995</v>
      </c>
      <c r="U11" s="34">
        <f>'9.14b'!V10</f>
        <v>297.38</v>
      </c>
      <c r="V11" s="34">
        <f>'9.14b'!W10</f>
        <v>392.3</v>
      </c>
      <c r="W11" s="34">
        <f>'9.14b'!X10</f>
        <v>376.959</v>
      </c>
      <c r="X11" s="34">
        <f>'9.14b'!Y10</f>
        <v>366.3</v>
      </c>
      <c r="Y11" s="34">
        <f>'9.14b'!Z10</f>
        <v>366.60799999999995</v>
      </c>
      <c r="Z11" s="34">
        <f>'9.14b'!AA10</f>
        <v>387.14</v>
      </c>
      <c r="AA11" s="34">
        <f>'9.14b'!AB10</f>
        <v>412.92199999999997</v>
      </c>
      <c r="AB11" s="34">
        <f>'9.14b'!AC10</f>
        <v>374.64399999999995</v>
      </c>
      <c r="AC11" s="34">
        <f>'9.14b'!AD10</f>
        <v>382.399</v>
      </c>
      <c r="AD11" s="34">
        <f>'9.14b'!AE10</f>
        <v>263.8</v>
      </c>
      <c r="AE11" s="34">
        <f>'9.14b'!AF10</f>
        <v>333.00000000000006</v>
      </c>
    </row>
    <row r="12" spans="1:31" x14ac:dyDescent="0.2">
      <c r="A12" s="107" t="s">
        <v>457</v>
      </c>
      <c r="B12" s="34">
        <f>SUM('9.16b'!C8,'9.16c'!C8)</f>
        <v>0</v>
      </c>
      <c r="C12" s="34">
        <f>SUM('9.16b'!D8,'9.16c'!D8)</f>
        <v>0</v>
      </c>
      <c r="D12" s="34">
        <f>SUM('9.16b'!E8,'9.16c'!E8)</f>
        <v>0</v>
      </c>
      <c r="E12" s="34">
        <f>SUM('9.16b'!F8,'9.16c'!F8)</f>
        <v>0</v>
      </c>
      <c r="F12" s="34">
        <f>SUM('9.16b'!G8,'9.16c'!G8)</f>
        <v>22.400000000000002</v>
      </c>
      <c r="G12" s="34">
        <f>SUM('9.16b'!H8,'9.16c'!H8)</f>
        <v>21.1</v>
      </c>
      <c r="H12" s="34">
        <f>SUM('9.16b'!I8,'9.16c'!I8)</f>
        <v>22.400000000000002</v>
      </c>
      <c r="I12" s="34">
        <f>SUM('9.16b'!J8,'9.16c'!J8)</f>
        <v>21.400000000000002</v>
      </c>
      <c r="J12" s="34">
        <f>SUM('9.16b'!K8,'9.16c'!K8)</f>
        <v>47.693000000000005</v>
      </c>
      <c r="K12" s="34">
        <f>SUM('9.16b'!L8,'9.16c'!L8)</f>
        <v>47.548000000000002</v>
      </c>
      <c r="L12" s="34">
        <f>SUM('9.16b'!M8,'9.16c'!M8)</f>
        <v>34.9</v>
      </c>
      <c r="M12" s="34">
        <f>SUM('9.16b'!N8,'9.16c'!N8)</f>
        <v>38.991</v>
      </c>
      <c r="N12" s="34">
        <f>SUM('9.16b'!O8,'9.16c'!O8)</f>
        <v>35.021000000000001</v>
      </c>
      <c r="O12" s="34">
        <f>SUM('9.16b'!P8,'9.16c'!P8)</f>
        <v>45</v>
      </c>
      <c r="P12" s="34">
        <f>SUM('9.16b'!Q8,'9.16c'!Q8)</f>
        <v>39.9</v>
      </c>
      <c r="Q12" s="34">
        <f>SUM('9.16b'!R8,'9.16c'!R8)</f>
        <v>36.56</v>
      </c>
      <c r="R12" s="34">
        <f>SUM('9.16b'!S8,'9.16c'!S8)</f>
        <v>36.5</v>
      </c>
      <c r="S12" s="34">
        <f>SUM('9.16b'!T8,'9.16c'!T8)</f>
        <v>36.450000000000003</v>
      </c>
      <c r="T12" s="34">
        <f>SUM('9.16b'!U8,'9.16c'!U8)</f>
        <v>33.799999999999997</v>
      </c>
      <c r="U12" s="34">
        <f>SUM('9.16b'!V8,'9.16c'!V8)</f>
        <v>33.4</v>
      </c>
      <c r="V12" s="34">
        <f>SUM('9.16b'!W8,'9.16c'!W8)</f>
        <v>32.799999999999997</v>
      </c>
      <c r="W12" s="34">
        <f>SUM('9.16b'!X8,'9.16c'!X8)</f>
        <v>29.85</v>
      </c>
      <c r="X12" s="34">
        <f>SUM('9.16b'!Y8,'9.16c'!Y8)</f>
        <v>32.9</v>
      </c>
      <c r="Y12" s="34">
        <f>SUM('9.16b'!Z8,'9.16c'!Z8)</f>
        <v>35.9</v>
      </c>
      <c r="Z12" s="34">
        <f>SUM('9.16b'!AA8,'9.16c'!AA8)</f>
        <v>43.2</v>
      </c>
      <c r="AA12" s="34">
        <f>SUM('9.16b'!AB8,'9.16c'!AB8)</f>
        <v>41.800000000000004</v>
      </c>
      <c r="AB12" s="34">
        <f>SUM('9.16b'!AC8,'9.16c'!AC8)</f>
        <v>40.5</v>
      </c>
      <c r="AC12" s="34">
        <f>SUM('9.16b'!AD8,'9.16c'!AD8)</f>
        <v>41.7</v>
      </c>
      <c r="AD12" s="34">
        <f>SUM('9.16b'!AE8,'9.16c'!AE8)</f>
        <v>31.85</v>
      </c>
      <c r="AE12" s="34">
        <f>SUM('9.16b'!AF8,'9.16c'!AF8)</f>
        <v>50.2</v>
      </c>
    </row>
    <row r="13" spans="1:31" x14ac:dyDescent="0.2">
      <c r="A13" s="107" t="s">
        <v>470</v>
      </c>
      <c r="B13" s="34">
        <f>SUM('9.16b'!C11,'9.16c'!C11)</f>
        <v>185.3</v>
      </c>
      <c r="C13" s="34">
        <f>SUM('9.16b'!D11,'9.16c'!D11)</f>
        <v>205.8</v>
      </c>
      <c r="D13" s="34">
        <f>SUM('9.16b'!E11,'9.16c'!E11)</f>
        <v>206.2</v>
      </c>
      <c r="E13" s="34">
        <f>SUM('9.16b'!F11,'9.16c'!F11)</f>
        <v>219.4</v>
      </c>
      <c r="F13" s="34">
        <f>SUM('9.16b'!G11,'9.16c'!G11)</f>
        <v>231</v>
      </c>
      <c r="G13" s="34">
        <f>SUM('9.16b'!H11,'9.16c'!H11)</f>
        <v>230.4</v>
      </c>
      <c r="H13" s="34">
        <f>SUM('9.16b'!I11,'9.16c'!I11)</f>
        <v>227.2</v>
      </c>
      <c r="I13" s="34">
        <f>SUM('9.16b'!J11,'9.16c'!J11)</f>
        <v>223.1</v>
      </c>
      <c r="J13" s="34">
        <f>SUM('9.16b'!K11,'9.16c'!K11)</f>
        <v>217.1</v>
      </c>
      <c r="K13" s="34">
        <f>SUM('9.16b'!L11,'9.16c'!L11)</f>
        <v>220.4</v>
      </c>
      <c r="L13" s="34">
        <f>SUM('9.16b'!M11,'9.16c'!M11)</f>
        <v>244.23499999999999</v>
      </c>
      <c r="M13" s="34">
        <f>SUM('9.16b'!N11,'9.16c'!N11)</f>
        <v>256.60000000000002</v>
      </c>
      <c r="N13" s="34">
        <f>SUM('9.16b'!O11,'9.16c'!O11)</f>
        <v>266.24799999999999</v>
      </c>
      <c r="O13" s="34">
        <f>SUM('9.16b'!P11,'9.16c'!P11)</f>
        <v>257.89999999999998</v>
      </c>
      <c r="P13" s="34">
        <f>SUM('9.16b'!Q11,'9.16c'!Q11)</f>
        <v>244.2</v>
      </c>
      <c r="Q13" s="34">
        <f>SUM('9.16b'!R11,'9.16c'!R11)</f>
        <v>262.2</v>
      </c>
      <c r="R13" s="34">
        <f>SUM('9.16b'!S11,'9.16c'!S11)</f>
        <v>262.10000000000002</v>
      </c>
      <c r="S13" s="34">
        <f>SUM('9.16b'!T11,'9.16c'!T11)</f>
        <v>266.3</v>
      </c>
      <c r="T13" s="34">
        <f>SUM('9.16b'!U11,'9.16c'!U11)</f>
        <v>235.8</v>
      </c>
      <c r="U13" s="34">
        <f>SUM('9.16b'!V11,'9.16c'!V11)</f>
        <v>254.44899999999998</v>
      </c>
      <c r="V13" s="34">
        <f>SUM('9.16b'!W11,'9.16c'!W11)</f>
        <v>252.8</v>
      </c>
      <c r="W13" s="34">
        <f>SUM('9.16b'!X11,'9.16c'!X11)</f>
        <v>246</v>
      </c>
      <c r="X13" s="34">
        <f>SUM('9.16b'!Y11,'9.16c'!Y11)</f>
        <v>259.2</v>
      </c>
      <c r="Y13" s="34">
        <f>SUM('9.16b'!Z11,'9.16c'!Z11)</f>
        <v>258.59999999999997</v>
      </c>
      <c r="Z13" s="34">
        <f>SUM('9.16b'!AA11,'9.16c'!AA11)</f>
        <v>262.5</v>
      </c>
      <c r="AA13" s="34">
        <f>SUM('9.16b'!AB11,'9.16c'!AB11)</f>
        <v>270.10000000000002</v>
      </c>
      <c r="AB13" s="34">
        <f>SUM('9.16b'!AC11,'9.16c'!AC11)</f>
        <v>272.20000000000005</v>
      </c>
      <c r="AC13" s="34">
        <f>SUM('9.16b'!AD11,'9.16c'!AD11)</f>
        <v>276.85599999999999</v>
      </c>
      <c r="AD13" s="34">
        <f>SUM('9.16b'!AE11,'9.16c'!AE11)</f>
        <v>126.9</v>
      </c>
      <c r="AE13" s="34">
        <f>SUM('9.16b'!AF11,'9.16c'!AF11)</f>
        <v>201</v>
      </c>
    </row>
    <row r="14" spans="1:31" x14ac:dyDescent="0.2">
      <c r="A14" s="107" t="s">
        <v>459</v>
      </c>
      <c r="B14" s="34">
        <f>SUM('9.16b'!C5,'9.16c'!C5)</f>
        <v>358.70000000000005</v>
      </c>
      <c r="C14" s="34">
        <f>SUM('9.16b'!D5,'9.16c'!D5)</f>
        <v>370.8</v>
      </c>
      <c r="D14" s="34">
        <f>SUM('9.16b'!E5,'9.16c'!E5)</f>
        <v>399.1</v>
      </c>
      <c r="E14" s="34">
        <f>SUM('9.16b'!F5,'9.16c'!F5)</f>
        <v>426.9</v>
      </c>
      <c r="F14" s="34">
        <f>SUM('9.16b'!G5,'9.16c'!G5)</f>
        <v>433.9</v>
      </c>
      <c r="G14" s="34">
        <f>SUM('9.16b'!H5,'9.16c'!H5)</f>
        <v>421.7</v>
      </c>
      <c r="H14" s="34">
        <f>SUM('9.16b'!I5,'9.16c'!I5)</f>
        <v>432.2</v>
      </c>
      <c r="I14" s="34">
        <f>SUM('9.16b'!J5,'9.16c'!J5)</f>
        <v>451.3</v>
      </c>
      <c r="J14" s="34">
        <f>SUM('9.16b'!K5,'9.16c'!K5)</f>
        <v>462.90000000000003</v>
      </c>
      <c r="K14" s="34">
        <f>SUM('9.16b'!L5,'9.16c'!L5)</f>
        <v>493</v>
      </c>
      <c r="L14" s="34">
        <f>SUM('9.16b'!M5,'9.16c'!M5)</f>
        <v>521.4</v>
      </c>
      <c r="M14" s="34">
        <f>SUM('9.16b'!N5,'9.16c'!N5)</f>
        <v>578.26400000000001</v>
      </c>
      <c r="N14" s="34">
        <f>SUM('9.16b'!O5,'9.16c'!O5)</f>
        <v>586.19999999999993</v>
      </c>
      <c r="O14" s="34">
        <f>SUM('9.16b'!P5,'9.16c'!P5)</f>
        <v>606.79999999999995</v>
      </c>
      <c r="P14" s="34">
        <f>SUM('9.16b'!Q5,'9.16c'!Q5)</f>
        <v>611.5</v>
      </c>
      <c r="Q14" s="34">
        <f>SUM('9.16b'!R5,'9.16c'!R5)</f>
        <v>635</v>
      </c>
      <c r="R14" s="34">
        <f>SUM('9.16b'!S5,'9.16c'!S5)</f>
        <v>620.20000000000005</v>
      </c>
      <c r="S14" s="34">
        <f>SUM('9.16b'!T5,'9.16c'!T5)</f>
        <v>617.79999999999995</v>
      </c>
      <c r="T14" s="34">
        <f>SUM('9.16b'!U5,'9.16c'!U5)</f>
        <v>597.20000000000005</v>
      </c>
      <c r="U14" s="34">
        <f>SUM('9.16b'!V5,'9.16c'!V5)</f>
        <v>615.79999999999995</v>
      </c>
      <c r="V14" s="34">
        <f>SUM('9.16b'!W5,'9.16c'!W5)</f>
        <v>645.5</v>
      </c>
      <c r="W14" s="34">
        <f>SUM('9.16b'!X5,'9.16c'!X5)</f>
        <v>616.4</v>
      </c>
      <c r="X14" s="34">
        <f>SUM('9.16b'!Y5,'9.16c'!Y5)</f>
        <v>627.9</v>
      </c>
      <c r="Y14" s="34">
        <f>SUM('9.16b'!Z5,'9.16c'!Z5)</f>
        <v>634.5</v>
      </c>
      <c r="Z14" s="34">
        <f>SUM('9.16b'!AA5,'9.16c'!AA5)</f>
        <v>641.79999999999995</v>
      </c>
      <c r="AA14" s="34">
        <f>SUM('9.16b'!AB5,'9.16c'!AB5)</f>
        <v>659.4</v>
      </c>
      <c r="AB14" s="34">
        <f>SUM('9.16b'!AC5,'9.16c'!AC5)</f>
        <v>670.59999999999991</v>
      </c>
      <c r="AC14" s="34">
        <f>SUM('9.16b'!AD5,'9.16c'!AD5)</f>
        <v>662.5</v>
      </c>
      <c r="AD14" s="34">
        <f>SUM('9.16b'!AE5,'9.16c'!AE5)</f>
        <v>464.5</v>
      </c>
      <c r="AE14" s="34">
        <f>SUM('9.16b'!AF5,'9.16c'!AF5)</f>
        <v>566.20000000000005</v>
      </c>
    </row>
    <row r="15" spans="1:31" x14ac:dyDescent="0.2">
      <c r="A15" s="107" t="s">
        <v>472</v>
      </c>
      <c r="B15" s="34">
        <f>SUM('9.16b'!C17,'9.16c'!C17)</f>
        <v>3.9</v>
      </c>
      <c r="C15" s="34">
        <f>SUM('9.16b'!D17,'9.16c'!D17)</f>
        <v>5.6</v>
      </c>
      <c r="D15" s="34">
        <f>SUM('9.16b'!E17,'9.16c'!E17)</f>
        <v>5.8</v>
      </c>
      <c r="E15" s="34">
        <f>SUM('9.16b'!F17,'9.16c'!F17)</f>
        <v>5.6</v>
      </c>
      <c r="F15" s="34">
        <f>SUM('9.16b'!G17,'9.16c'!G17)</f>
        <v>5.5</v>
      </c>
      <c r="G15" s="34">
        <f>SUM('9.16b'!H17,'9.16c'!H17)</f>
        <v>5.8000000000000007</v>
      </c>
      <c r="H15" s="34">
        <f>SUM('9.16b'!I17,'9.16c'!I17)</f>
        <v>6.6000000000000005</v>
      </c>
      <c r="I15" s="34">
        <f>SUM('9.16b'!J17,'9.16c'!J17)</f>
        <v>6.1999999999999993</v>
      </c>
      <c r="J15" s="34">
        <f>SUM('9.16b'!K17,'9.16c'!K17)</f>
        <v>4.9000000000000004</v>
      </c>
      <c r="K15" s="34">
        <f>SUM('9.16b'!L17,'9.16c'!L17)</f>
        <v>1.23</v>
      </c>
      <c r="L15" s="34">
        <f>SUM('9.16b'!M17,'9.16c'!M17)</f>
        <v>0</v>
      </c>
      <c r="M15" s="34">
        <f>SUM('9.16b'!N17,'9.16c'!N17)</f>
        <v>0</v>
      </c>
      <c r="N15" s="34">
        <f>SUM('9.16b'!O17,'9.16c'!O17)</f>
        <v>0</v>
      </c>
      <c r="O15" s="34">
        <f>SUM('9.16b'!P17,'9.16c'!P17)</f>
        <v>0</v>
      </c>
      <c r="P15" s="34">
        <f>SUM('9.16b'!Q17,'9.16c'!Q17)</f>
        <v>0</v>
      </c>
      <c r="Q15" s="34">
        <f>SUM('9.16b'!R17,'9.16c'!R17)</f>
        <v>0</v>
      </c>
      <c r="R15" s="34">
        <f>SUM('9.16b'!S17,'9.16c'!S17)</f>
        <v>0</v>
      </c>
      <c r="S15" s="34">
        <f>SUM('9.16b'!T17,'9.16c'!T17)</f>
        <v>0</v>
      </c>
      <c r="T15" s="34">
        <f>SUM('9.16b'!U17,'9.16c'!U17)</f>
        <v>0</v>
      </c>
      <c r="U15" s="34">
        <f>SUM('9.16b'!V17,'9.16c'!V17)</f>
        <v>0</v>
      </c>
      <c r="V15" s="34">
        <f>SUM('9.16b'!W17,'9.16c'!W17)</f>
        <v>0</v>
      </c>
      <c r="W15" s="34">
        <f>SUM('9.16b'!X17,'9.16c'!X17)</f>
        <v>0</v>
      </c>
      <c r="X15" s="34">
        <f>SUM('9.16b'!Y17,'9.16c'!Y17)</f>
        <v>0</v>
      </c>
      <c r="Y15" s="34">
        <f>SUM('9.16b'!Z17,'9.16c'!Z17)</f>
        <v>0</v>
      </c>
      <c r="Z15" s="34">
        <f>SUM('9.16b'!AA17,'9.16c'!AA17)</f>
        <v>0</v>
      </c>
      <c r="AA15" s="34">
        <f>SUM('9.16b'!AB17,'9.16c'!AB17)</f>
        <v>0</v>
      </c>
      <c r="AB15" s="34">
        <f>SUM('9.16b'!AC17,'9.16c'!AC17)</f>
        <v>0</v>
      </c>
      <c r="AC15" s="34">
        <f>SUM('9.16b'!AD17,'9.16c'!AD17)</f>
        <v>0</v>
      </c>
      <c r="AD15" s="34">
        <f>SUM('9.16b'!AE17,'9.16c'!AE17)</f>
        <v>0</v>
      </c>
      <c r="AE15" s="34">
        <f>SUM('9.16b'!AF17,'9.16c'!AF17)</f>
        <v>0</v>
      </c>
    </row>
    <row r="16" spans="1:31" x14ac:dyDescent="0.2">
      <c r="A16" s="107" t="s">
        <v>462</v>
      </c>
      <c r="B16" s="34">
        <f>SUM(B5:B14)</f>
        <v>2067.3000000000002</v>
      </c>
      <c r="C16" s="34">
        <f t="shared" ref="C16:AD16" si="0">SUM(C5:C14)</f>
        <v>2121.6999999999998</v>
      </c>
      <c r="D16" s="34">
        <f t="shared" si="0"/>
        <v>2161.8000000000002</v>
      </c>
      <c r="E16" s="34">
        <f t="shared" si="0"/>
        <v>2411.078</v>
      </c>
      <c r="F16" s="34">
        <f t="shared" si="0"/>
        <v>2141.9520000000002</v>
      </c>
      <c r="G16" s="34">
        <f t="shared" si="0"/>
        <v>2144.7239999999997</v>
      </c>
      <c r="H16" s="34">
        <f t="shared" si="0"/>
        <v>2100.9479999999999</v>
      </c>
      <c r="I16" s="34">
        <f t="shared" si="0"/>
        <v>2116.6370000000002</v>
      </c>
      <c r="J16" s="34">
        <f t="shared" si="0"/>
        <v>2185.5889999999999</v>
      </c>
      <c r="K16" s="34">
        <f t="shared" si="0"/>
        <v>2268.4850000000001</v>
      </c>
      <c r="L16" s="34">
        <f t="shared" si="0"/>
        <v>2255.9259999999999</v>
      </c>
      <c r="M16" s="34">
        <f t="shared" si="0"/>
        <v>2384.2200000000003</v>
      </c>
      <c r="N16" s="34">
        <f t="shared" si="0"/>
        <v>2472.7539999999999</v>
      </c>
      <c r="O16" s="34">
        <f t="shared" si="0"/>
        <v>2503.2640000000001</v>
      </c>
      <c r="P16" s="34">
        <f t="shared" si="0"/>
        <v>2610.174</v>
      </c>
      <c r="Q16" s="34">
        <f t="shared" si="0"/>
        <v>2710.0509999999999</v>
      </c>
      <c r="R16" s="34">
        <f t="shared" si="0"/>
        <v>2578.7060000000001</v>
      </c>
      <c r="S16" s="34">
        <f t="shared" si="0"/>
        <v>2648.616</v>
      </c>
      <c r="T16" s="34">
        <f t="shared" si="0"/>
        <v>2563.6</v>
      </c>
      <c r="U16" s="34">
        <f t="shared" si="0"/>
        <v>2588.9100000000008</v>
      </c>
      <c r="V16" s="34">
        <f t="shared" si="0"/>
        <v>2655.4160000000002</v>
      </c>
      <c r="W16" s="34">
        <f t="shared" si="0"/>
        <v>2577.1989999999996</v>
      </c>
      <c r="X16" s="34">
        <f t="shared" si="0"/>
        <v>2625.989</v>
      </c>
      <c r="Y16" s="34">
        <f t="shared" si="0"/>
        <v>2706.2539999999999</v>
      </c>
      <c r="Z16" s="34">
        <f t="shared" si="0"/>
        <v>2930.1810000000005</v>
      </c>
      <c r="AA16" s="34">
        <f t="shared" si="0"/>
        <v>3060.0419999999999</v>
      </c>
      <c r="AB16" s="34">
        <f t="shared" si="0"/>
        <v>3043.4159999999997</v>
      </c>
      <c r="AC16" s="34">
        <f t="shared" si="0"/>
        <v>3119.9380000000001</v>
      </c>
      <c r="AD16" s="34">
        <f t="shared" si="0"/>
        <v>1860.769</v>
      </c>
      <c r="AE16" s="34">
        <f t="shared" ref="AE16" si="1">SUM(AE5:AE14)</f>
        <v>2638.4229999999998</v>
      </c>
    </row>
    <row r="17" spans="1:31" ht="39" customHeight="1" x14ac:dyDescent="0.2">
      <c r="A17" s="107" t="s">
        <v>463</v>
      </c>
      <c r="B17" s="285">
        <f>'9.13a'!C19</f>
        <v>421</v>
      </c>
      <c r="C17" s="285">
        <f>'9.13a'!D19</f>
        <v>454</v>
      </c>
      <c r="D17" s="285">
        <f>'9.13a'!E19</f>
        <v>516</v>
      </c>
      <c r="E17" s="285">
        <f>'9.13a'!F19</f>
        <v>576</v>
      </c>
      <c r="F17" s="285">
        <f>'9.13a'!G19</f>
        <v>506</v>
      </c>
      <c r="G17" s="285">
        <f>'9.13a'!H19</f>
        <v>571</v>
      </c>
      <c r="H17" s="285">
        <f>'9.13a'!I19</f>
        <v>561</v>
      </c>
      <c r="I17" s="285">
        <f>'9.13a'!J19</f>
        <v>570</v>
      </c>
      <c r="J17" s="285">
        <f>'9.13a'!K19</f>
        <v>501</v>
      </c>
      <c r="K17" s="285">
        <f>'9.13a'!L19</f>
        <v>464</v>
      </c>
      <c r="L17" s="285">
        <f>'9.13a'!M19</f>
        <v>487</v>
      </c>
      <c r="M17" s="285">
        <f>'9.13a'!N19</f>
        <v>490</v>
      </c>
      <c r="N17" s="285">
        <f>'9.13a'!O19</f>
        <v>513</v>
      </c>
      <c r="O17" s="285">
        <f>'9.13a'!P19</f>
        <v>435</v>
      </c>
      <c r="P17" s="285">
        <f>'9.13a'!Q19</f>
        <v>440</v>
      </c>
      <c r="Q17" s="285">
        <f>'9.13a'!R19</f>
        <v>479</v>
      </c>
      <c r="R17" s="285">
        <f>'9.13a'!S19</f>
        <v>452</v>
      </c>
      <c r="S17" s="285">
        <f>'9.13a'!T19</f>
        <v>460</v>
      </c>
      <c r="T17" s="285">
        <f>'9.13a'!U19</f>
        <v>457</v>
      </c>
      <c r="U17" s="285">
        <f>'9.13a'!V19</f>
        <v>479.01800000000003</v>
      </c>
      <c r="V17" s="285">
        <f>'9.13a'!W19</f>
        <v>411.76800000000003</v>
      </c>
      <c r="W17" s="285">
        <f>'9.13a'!X19</f>
        <v>354.30599999999998</v>
      </c>
      <c r="X17" s="285">
        <f>'9.13a'!Y19</f>
        <v>407.916</v>
      </c>
      <c r="Y17" s="285">
        <f>'9.13a'!Z19</f>
        <v>398.10200000000003</v>
      </c>
      <c r="Z17" s="285">
        <f>'9.13a'!AA19</f>
        <v>408.15199999999999</v>
      </c>
      <c r="AA17" s="285">
        <f>'9.13a'!AB19</f>
        <v>412.62700000000001</v>
      </c>
      <c r="AB17" s="285">
        <f>'9.13a'!AC19</f>
        <v>405.05399999999997</v>
      </c>
      <c r="AC17" s="285">
        <f>'9.13a'!AD19</f>
        <v>414.55099999999999</v>
      </c>
      <c r="AD17" s="285">
        <f>'9.13a'!AE19</f>
        <v>252</v>
      </c>
      <c r="AE17" s="285">
        <f>'9.13a'!AF19</f>
        <v>444</v>
      </c>
    </row>
    <row r="18" spans="1:31" x14ac:dyDescent="0.2">
      <c r="A18" s="107" t="s">
        <v>464</v>
      </c>
      <c r="B18" s="285">
        <v>0</v>
      </c>
      <c r="C18" s="285">
        <v>0</v>
      </c>
      <c r="D18" s="285">
        <v>0</v>
      </c>
      <c r="E18" s="285">
        <v>0</v>
      </c>
      <c r="F18" s="285">
        <v>0</v>
      </c>
      <c r="G18" s="285">
        <v>0</v>
      </c>
      <c r="H18" s="285">
        <v>0</v>
      </c>
      <c r="I18" s="285">
        <v>0</v>
      </c>
      <c r="J18" s="285">
        <f>'9.13b'!B16</f>
        <v>0</v>
      </c>
      <c r="K18" s="285">
        <f>'9.13b'!C16</f>
        <v>0</v>
      </c>
      <c r="L18" s="285">
        <f>'9.13b'!D16</f>
        <v>44</v>
      </c>
      <c r="M18" s="285">
        <f>'9.13b'!E16</f>
        <v>77</v>
      </c>
      <c r="N18" s="285">
        <f>'9.13b'!F16</f>
        <v>85</v>
      </c>
      <c r="O18" s="285">
        <f>'9.13b'!G16</f>
        <v>88</v>
      </c>
      <c r="P18" s="285">
        <f>'9.13b'!H16</f>
        <v>63</v>
      </c>
      <c r="Q18" s="285">
        <f>'9.13b'!I16</f>
        <v>55</v>
      </c>
      <c r="R18" s="285">
        <f>'9.13b'!J16</f>
        <v>35</v>
      </c>
      <c r="S18" s="285">
        <f>'9.13b'!K16</f>
        <v>27.368000000000002</v>
      </c>
      <c r="T18" s="285">
        <f>'9.13b'!L16</f>
        <v>60.555</v>
      </c>
      <c r="U18" s="285">
        <f>'9.13b'!M16</f>
        <v>41.075999999999993</v>
      </c>
      <c r="V18" s="285">
        <f>'9.13b'!N16</f>
        <v>36.347999999999999</v>
      </c>
      <c r="W18" s="285">
        <f>'9.13b'!O16</f>
        <v>41.165000000000006</v>
      </c>
      <c r="X18" s="285">
        <f>'9.13b'!P16</f>
        <v>40.64</v>
      </c>
      <c r="Y18" s="285">
        <f>'9.13b'!Q16</f>
        <v>43.397999999999996</v>
      </c>
      <c r="Z18" s="285">
        <f>'9.13b'!R16</f>
        <v>32.841000000000001</v>
      </c>
      <c r="AA18" s="285">
        <f>'9.13b'!S16</f>
        <v>33.120999999999995</v>
      </c>
      <c r="AB18" s="285">
        <f>'9.13b'!T16</f>
        <v>7.9950000000000001</v>
      </c>
      <c r="AC18" s="285">
        <v>0</v>
      </c>
      <c r="AD18" s="285">
        <v>0</v>
      </c>
      <c r="AE18" s="285">
        <v>0</v>
      </c>
    </row>
    <row r="19" spans="1:31" x14ac:dyDescent="0.2">
      <c r="A19" s="5" t="s">
        <v>485</v>
      </c>
      <c r="B19" s="285">
        <f>SUM(B16:B18)</f>
        <v>2488.3000000000002</v>
      </c>
      <c r="C19" s="285">
        <f>SUM(C16:C18)</f>
        <v>2575.6999999999998</v>
      </c>
      <c r="D19" s="285">
        <f t="shared" ref="D19:AE19" si="2">SUM(D16:D18)</f>
        <v>2677.8</v>
      </c>
      <c r="E19" s="285">
        <f t="shared" si="2"/>
        <v>2987.078</v>
      </c>
      <c r="F19" s="285">
        <f t="shared" si="2"/>
        <v>2647.9520000000002</v>
      </c>
      <c r="G19" s="285">
        <f t="shared" si="2"/>
        <v>2715.7239999999997</v>
      </c>
      <c r="H19" s="285">
        <f t="shared" si="2"/>
        <v>2661.9479999999999</v>
      </c>
      <c r="I19" s="285">
        <f t="shared" si="2"/>
        <v>2686.6370000000002</v>
      </c>
      <c r="J19" s="285">
        <f t="shared" si="2"/>
        <v>2686.5889999999999</v>
      </c>
      <c r="K19" s="285">
        <f t="shared" si="2"/>
        <v>2732.4850000000001</v>
      </c>
      <c r="L19" s="285">
        <f t="shared" si="2"/>
        <v>2786.9259999999999</v>
      </c>
      <c r="M19" s="285">
        <f t="shared" si="2"/>
        <v>2951.2200000000003</v>
      </c>
      <c r="N19" s="285">
        <f t="shared" si="2"/>
        <v>3070.7539999999999</v>
      </c>
      <c r="O19" s="285">
        <f t="shared" si="2"/>
        <v>3026.2640000000001</v>
      </c>
      <c r="P19" s="285">
        <f t="shared" si="2"/>
        <v>3113.174</v>
      </c>
      <c r="Q19" s="285">
        <f t="shared" si="2"/>
        <v>3244.0509999999999</v>
      </c>
      <c r="R19" s="285">
        <f t="shared" si="2"/>
        <v>3065.7060000000001</v>
      </c>
      <c r="S19" s="285">
        <f t="shared" si="2"/>
        <v>3135.9839999999999</v>
      </c>
      <c r="T19" s="285">
        <f t="shared" si="2"/>
        <v>3081.1549999999997</v>
      </c>
      <c r="U19" s="285">
        <f t="shared" si="2"/>
        <v>3109.0040000000008</v>
      </c>
      <c r="V19" s="285">
        <f t="shared" si="2"/>
        <v>3103.5320000000002</v>
      </c>
      <c r="W19" s="285">
        <f t="shared" si="2"/>
        <v>2972.6699999999996</v>
      </c>
      <c r="X19" s="285">
        <f t="shared" si="2"/>
        <v>3074.5450000000001</v>
      </c>
      <c r="Y19" s="285">
        <f t="shared" si="2"/>
        <v>3147.7539999999999</v>
      </c>
      <c r="Z19" s="285">
        <f t="shared" si="2"/>
        <v>3371.1740000000004</v>
      </c>
      <c r="AA19" s="285">
        <f t="shared" si="2"/>
        <v>3505.79</v>
      </c>
      <c r="AB19" s="285">
        <f t="shared" si="2"/>
        <v>3456.4649999999997</v>
      </c>
      <c r="AC19" s="285">
        <f t="shared" si="2"/>
        <v>3534.489</v>
      </c>
      <c r="AD19" s="285">
        <f t="shared" si="2"/>
        <v>2112.7690000000002</v>
      </c>
      <c r="AE19" s="285">
        <f t="shared" si="2"/>
        <v>3082.4229999999998</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1"/>
  <sheetViews>
    <sheetView topLeftCell="A40" workbookViewId="0">
      <selection activeCell="B8" sqref="B8"/>
    </sheetView>
  </sheetViews>
  <sheetFormatPr defaultRowHeight="15" x14ac:dyDescent="0.2"/>
  <cols>
    <col min="1" max="1" width="13.88671875" style="6" customWidth="1"/>
    <col min="2" max="2" width="82.88671875" style="6" customWidth="1"/>
    <col min="3" max="9" width="10.44140625" style="6" bestFit="1" customWidth="1"/>
    <col min="10" max="16384" width="8.88671875" style="6"/>
  </cols>
  <sheetData>
    <row r="1" spans="1:2" ht="19.5" x14ac:dyDescent="0.3">
      <c r="A1" s="253" t="s">
        <v>7</v>
      </c>
      <c r="B1" s="305"/>
    </row>
    <row r="2" spans="1:2" x14ac:dyDescent="0.2">
      <c r="A2" s="6" t="s">
        <v>8</v>
      </c>
      <c r="B2" s="305"/>
    </row>
    <row r="3" spans="1:2" ht="15.75" x14ac:dyDescent="0.25">
      <c r="A3" s="306" t="s">
        <v>9</v>
      </c>
      <c r="B3" s="307" t="s">
        <v>10</v>
      </c>
    </row>
    <row r="4" spans="1:2" x14ac:dyDescent="0.2">
      <c r="A4" s="6" t="s">
        <v>11</v>
      </c>
      <c r="B4" s="254" t="s">
        <v>84</v>
      </c>
    </row>
    <row r="5" spans="1:2" x14ac:dyDescent="0.2">
      <c r="A5" s="6" t="s">
        <v>12</v>
      </c>
      <c r="B5" s="254" t="s">
        <v>85</v>
      </c>
    </row>
    <row r="6" spans="1:2" ht="38.25" customHeight="1" x14ac:dyDescent="0.2">
      <c r="A6" s="6" t="s">
        <v>13</v>
      </c>
      <c r="B6" s="254" t="s">
        <v>86</v>
      </c>
    </row>
    <row r="7" spans="1:2" ht="30" x14ac:dyDescent="0.2">
      <c r="A7" s="6" t="s">
        <v>14</v>
      </c>
      <c r="B7" s="254" t="s">
        <v>108</v>
      </c>
    </row>
    <row r="8" spans="1:2" ht="30" x14ac:dyDescent="0.2">
      <c r="A8" s="6" t="s">
        <v>15</v>
      </c>
      <c r="B8" s="254" t="s">
        <v>87</v>
      </c>
    </row>
    <row r="9" spans="1:2" ht="30" x14ac:dyDescent="0.2">
      <c r="A9" s="6" t="s">
        <v>38</v>
      </c>
      <c r="B9" s="254" t="s">
        <v>105</v>
      </c>
    </row>
    <row r="10" spans="1:2" ht="45" x14ac:dyDescent="0.2">
      <c r="A10" s="6" t="s">
        <v>39</v>
      </c>
      <c r="B10" s="254" t="s">
        <v>88</v>
      </c>
    </row>
    <row r="11" spans="1:2" ht="30" x14ac:dyDescent="0.2">
      <c r="A11" s="6" t="s">
        <v>16</v>
      </c>
      <c r="B11" s="254" t="s">
        <v>89</v>
      </c>
    </row>
    <row r="12" spans="1:2" ht="30" x14ac:dyDescent="0.2">
      <c r="A12" s="6" t="s">
        <v>45</v>
      </c>
      <c r="B12" s="254" t="s">
        <v>102</v>
      </c>
    </row>
    <row r="13" spans="1:2" ht="30" x14ac:dyDescent="0.2">
      <c r="A13" s="6" t="s">
        <v>47</v>
      </c>
      <c r="B13" s="254" t="s">
        <v>103</v>
      </c>
    </row>
    <row r="14" spans="1:2" ht="30" x14ac:dyDescent="0.2">
      <c r="A14" s="6" t="s">
        <v>48</v>
      </c>
      <c r="B14" s="254" t="s">
        <v>104</v>
      </c>
    </row>
    <row r="15" spans="1:2" ht="30" x14ac:dyDescent="0.2">
      <c r="A15" s="6" t="s">
        <v>49</v>
      </c>
      <c r="B15" s="254" t="s">
        <v>109</v>
      </c>
    </row>
    <row r="16" spans="1:2" x14ac:dyDescent="0.2">
      <c r="A16" s="6" t="s">
        <v>50</v>
      </c>
      <c r="B16" s="254" t="s">
        <v>179</v>
      </c>
    </row>
    <row r="17" spans="1:2" x14ac:dyDescent="0.2">
      <c r="A17" s="6" t="s">
        <v>51</v>
      </c>
      <c r="B17" s="254" t="s">
        <v>180</v>
      </c>
    </row>
    <row r="18" spans="1:2" ht="30" x14ac:dyDescent="0.2">
      <c r="A18" s="6" t="s">
        <v>52</v>
      </c>
      <c r="B18" s="254" t="s">
        <v>181</v>
      </c>
    </row>
    <row r="19" spans="1:2" ht="30" x14ac:dyDescent="0.2">
      <c r="A19" s="6" t="s">
        <v>53</v>
      </c>
      <c r="B19" s="254" t="s">
        <v>178</v>
      </c>
    </row>
    <row r="20" spans="1:2" x14ac:dyDescent="0.2">
      <c r="A20" s="6" t="s">
        <v>57</v>
      </c>
      <c r="B20" s="254" t="s">
        <v>182</v>
      </c>
    </row>
    <row r="21" spans="1:2" x14ac:dyDescent="0.2">
      <c r="A21" s="6" t="s">
        <v>58</v>
      </c>
      <c r="B21" s="254" t="s">
        <v>183</v>
      </c>
    </row>
    <row r="22" spans="1:2" x14ac:dyDescent="0.2">
      <c r="A22" s="6" t="s">
        <v>59</v>
      </c>
      <c r="B22" s="254" t="s">
        <v>184</v>
      </c>
    </row>
    <row r="23" spans="1:2" ht="30" x14ac:dyDescent="0.2">
      <c r="A23" s="6" t="s">
        <v>60</v>
      </c>
      <c r="B23" s="254" t="s">
        <v>268</v>
      </c>
    </row>
    <row r="24" spans="1:2" x14ac:dyDescent="0.2">
      <c r="A24" s="6" t="s">
        <v>61</v>
      </c>
      <c r="B24" s="254" t="s">
        <v>421</v>
      </c>
    </row>
    <row r="25" spans="1:2" x14ac:dyDescent="0.2">
      <c r="A25" s="6" t="s">
        <v>64</v>
      </c>
      <c r="B25" s="254" t="s">
        <v>425</v>
      </c>
    </row>
    <row r="26" spans="1:2" ht="30" x14ac:dyDescent="0.2">
      <c r="A26" s="6" t="s">
        <v>65</v>
      </c>
      <c r="B26" s="254" t="s">
        <v>432</v>
      </c>
    </row>
    <row r="27" spans="1:2" ht="45" x14ac:dyDescent="0.2">
      <c r="A27" s="6" t="s">
        <v>66</v>
      </c>
      <c r="B27" s="254" t="s">
        <v>479</v>
      </c>
    </row>
    <row r="28" spans="1:2" ht="45" x14ac:dyDescent="0.2">
      <c r="A28" s="6" t="s">
        <v>67</v>
      </c>
      <c r="B28" s="254" t="s">
        <v>480</v>
      </c>
    </row>
    <row r="29" spans="1:2" x14ac:dyDescent="0.2">
      <c r="A29" s="6" t="s">
        <v>473</v>
      </c>
      <c r="B29" s="254" t="s">
        <v>481</v>
      </c>
    </row>
    <row r="30" spans="1:2" x14ac:dyDescent="0.2">
      <c r="A30" s="6" t="s">
        <v>474</v>
      </c>
      <c r="B30" s="254" t="s">
        <v>482</v>
      </c>
    </row>
    <row r="31" spans="1:2" x14ac:dyDescent="0.2">
      <c r="A31" s="6" t="s">
        <v>475</v>
      </c>
      <c r="B31" s="254" t="s">
        <v>483</v>
      </c>
    </row>
    <row r="32" spans="1:2" x14ac:dyDescent="0.2">
      <c r="A32" s="6" t="s">
        <v>476</v>
      </c>
      <c r="B32" s="254" t="s">
        <v>486</v>
      </c>
    </row>
    <row r="33" spans="1:2" x14ac:dyDescent="0.2">
      <c r="A33" s="6" t="s">
        <v>477</v>
      </c>
      <c r="B33" s="254" t="s">
        <v>855</v>
      </c>
    </row>
    <row r="34" spans="1:2" x14ac:dyDescent="0.2">
      <c r="A34" s="6" t="s">
        <v>478</v>
      </c>
      <c r="B34" s="254" t="s">
        <v>603</v>
      </c>
    </row>
    <row r="35" spans="1:2" x14ac:dyDescent="0.2">
      <c r="A35" s="6" t="s">
        <v>599</v>
      </c>
      <c r="B35" s="254" t="s">
        <v>604</v>
      </c>
    </row>
    <row r="36" spans="1:2" x14ac:dyDescent="0.2">
      <c r="A36" s="6" t="s">
        <v>600</v>
      </c>
      <c r="B36" s="254" t="s">
        <v>605</v>
      </c>
    </row>
    <row r="37" spans="1:2" ht="51.75" customHeight="1" x14ac:dyDescent="0.2">
      <c r="A37" s="6" t="s">
        <v>601</v>
      </c>
      <c r="B37" s="254" t="s">
        <v>622</v>
      </c>
    </row>
    <row r="38" spans="1:2" x14ac:dyDescent="0.2">
      <c r="A38" s="6" t="s">
        <v>602</v>
      </c>
      <c r="B38" s="254" t="s">
        <v>623</v>
      </c>
    </row>
    <row r="39" spans="1:2" ht="45" x14ac:dyDescent="0.2">
      <c r="A39" s="6" t="s">
        <v>616</v>
      </c>
      <c r="B39" s="254" t="s">
        <v>624</v>
      </c>
    </row>
    <row r="40" spans="1:2" x14ac:dyDescent="0.2">
      <c r="A40" s="6" t="s">
        <v>617</v>
      </c>
      <c r="B40" s="254" t="s">
        <v>627</v>
      </c>
    </row>
    <row r="41" spans="1:2" ht="30" x14ac:dyDescent="0.2">
      <c r="A41" s="6" t="s">
        <v>618</v>
      </c>
      <c r="B41" s="254" t="s">
        <v>628</v>
      </c>
    </row>
    <row r="42" spans="1:2" x14ac:dyDescent="0.2">
      <c r="A42" s="6" t="s">
        <v>619</v>
      </c>
      <c r="B42" s="254" t="s">
        <v>631</v>
      </c>
    </row>
    <row r="43" spans="1:2" x14ac:dyDescent="0.2">
      <c r="A43" s="6" t="s">
        <v>620</v>
      </c>
      <c r="B43" s="254" t="s">
        <v>632</v>
      </c>
    </row>
    <row r="44" spans="1:2" x14ac:dyDescent="0.2">
      <c r="A44" s="6" t="s">
        <v>621</v>
      </c>
      <c r="B44" s="254" t="s">
        <v>635</v>
      </c>
    </row>
    <row r="45" spans="1:2" ht="45" x14ac:dyDescent="0.2">
      <c r="A45" s="6" t="s">
        <v>636</v>
      </c>
      <c r="B45" s="254" t="s">
        <v>643</v>
      </c>
    </row>
    <row r="46" spans="1:2" ht="30" x14ac:dyDescent="0.2">
      <c r="A46" s="6" t="s">
        <v>637</v>
      </c>
      <c r="B46" s="254" t="s">
        <v>645</v>
      </c>
    </row>
    <row r="47" spans="1:2" ht="45" x14ac:dyDescent="0.2">
      <c r="A47" s="6" t="s">
        <v>638</v>
      </c>
      <c r="B47" s="254" t="s">
        <v>647</v>
      </c>
    </row>
    <row r="48" spans="1:2" ht="30" x14ac:dyDescent="0.2">
      <c r="A48" s="6" t="s">
        <v>639</v>
      </c>
      <c r="B48" s="254" t="s">
        <v>649</v>
      </c>
    </row>
    <row r="49" spans="1:2" ht="30" x14ac:dyDescent="0.2">
      <c r="A49" s="6" t="s">
        <v>640</v>
      </c>
      <c r="B49" s="254" t="s">
        <v>652</v>
      </c>
    </row>
    <row r="50" spans="1:2" ht="45" x14ac:dyDescent="0.2">
      <c r="A50" s="6" t="s">
        <v>641</v>
      </c>
      <c r="B50" s="254" t="s">
        <v>653</v>
      </c>
    </row>
    <row r="51" spans="1:2" x14ac:dyDescent="0.2">
      <c r="A51" s="6" t="s">
        <v>656</v>
      </c>
      <c r="B51" s="254" t="s">
        <v>657</v>
      </c>
    </row>
    <row r="52" spans="1:2" x14ac:dyDescent="0.2">
      <c r="A52" s="6" t="s">
        <v>658</v>
      </c>
      <c r="B52" s="254" t="s">
        <v>665</v>
      </c>
    </row>
    <row r="53" spans="1:2" ht="30" x14ac:dyDescent="0.2">
      <c r="A53" s="6" t="s">
        <v>659</v>
      </c>
      <c r="B53" s="254" t="s">
        <v>666</v>
      </c>
    </row>
    <row r="54" spans="1:2" x14ac:dyDescent="0.2">
      <c r="A54" s="6" t="s">
        <v>660</v>
      </c>
      <c r="B54" s="254" t="s">
        <v>667</v>
      </c>
    </row>
    <row r="55" spans="1:2" x14ac:dyDescent="0.2">
      <c r="A55" s="6" t="s">
        <v>661</v>
      </c>
      <c r="B55" s="254" t="s">
        <v>668</v>
      </c>
    </row>
    <row r="56" spans="1:2" x14ac:dyDescent="0.2">
      <c r="A56" s="6" t="s">
        <v>662</v>
      </c>
      <c r="B56" s="254" t="s">
        <v>669</v>
      </c>
    </row>
    <row r="57" spans="1:2" ht="45" x14ac:dyDescent="0.2">
      <c r="A57" s="6" t="s">
        <v>663</v>
      </c>
      <c r="B57" s="254" t="s">
        <v>479</v>
      </c>
    </row>
    <row r="58" spans="1:2" ht="30" x14ac:dyDescent="0.2">
      <c r="A58" s="6" t="s">
        <v>664</v>
      </c>
      <c r="B58" s="254" t="s">
        <v>674</v>
      </c>
    </row>
    <row r="59" spans="1:2" ht="45" x14ac:dyDescent="0.2">
      <c r="A59" s="6" t="s">
        <v>675</v>
      </c>
      <c r="B59" s="254" t="s">
        <v>684</v>
      </c>
    </row>
    <row r="60" spans="1:2" x14ac:dyDescent="0.2">
      <c r="A60" s="6" t="s">
        <v>676</v>
      </c>
      <c r="B60" s="254" t="s">
        <v>690</v>
      </c>
    </row>
    <row r="61" spans="1:2" ht="30" x14ac:dyDescent="0.2">
      <c r="A61" s="6" t="s">
        <v>677</v>
      </c>
      <c r="B61" s="254" t="s">
        <v>691</v>
      </c>
    </row>
    <row r="62" spans="1:2" ht="30" x14ac:dyDescent="0.2">
      <c r="A62" s="6" t="s">
        <v>678</v>
      </c>
      <c r="B62" s="254" t="s">
        <v>692</v>
      </c>
    </row>
    <row r="63" spans="1:2" x14ac:dyDescent="0.2">
      <c r="A63" s="6" t="s">
        <v>679</v>
      </c>
      <c r="B63" s="254" t="s">
        <v>694</v>
      </c>
    </row>
    <row r="64" spans="1:2" x14ac:dyDescent="0.2">
      <c r="A64" s="6" t="s">
        <v>680</v>
      </c>
      <c r="B64" s="254" t="s">
        <v>695</v>
      </c>
    </row>
    <row r="65" spans="1:2" x14ac:dyDescent="0.2">
      <c r="A65" s="6" t="s">
        <v>681</v>
      </c>
      <c r="B65" s="254" t="s">
        <v>696</v>
      </c>
    </row>
    <row r="66" spans="1:2" ht="45" x14ac:dyDescent="0.2">
      <c r="A66" s="6" t="s">
        <v>682</v>
      </c>
      <c r="B66" s="254" t="s">
        <v>726</v>
      </c>
    </row>
    <row r="67" spans="1:2" ht="30" x14ac:dyDescent="0.2">
      <c r="A67" s="6" t="s">
        <v>683</v>
      </c>
      <c r="B67" s="254" t="s">
        <v>729</v>
      </c>
    </row>
    <row r="68" spans="1:2" x14ac:dyDescent="0.2">
      <c r="A68" s="6" t="s">
        <v>731</v>
      </c>
      <c r="B68" s="254" t="s">
        <v>739</v>
      </c>
    </row>
    <row r="69" spans="1:2" ht="30" x14ac:dyDescent="0.2">
      <c r="A69" s="6" t="s">
        <v>732</v>
      </c>
      <c r="B69" s="254" t="s">
        <v>740</v>
      </c>
    </row>
    <row r="70" spans="1:2" ht="45" x14ac:dyDescent="0.2">
      <c r="A70" s="6" t="s">
        <v>733</v>
      </c>
      <c r="B70" s="254" t="s">
        <v>742</v>
      </c>
    </row>
    <row r="71" spans="1:2" x14ac:dyDescent="0.2">
      <c r="A71" s="6" t="s">
        <v>734</v>
      </c>
      <c r="B71" s="254" t="s">
        <v>744</v>
      </c>
    </row>
    <row r="72" spans="1:2" ht="75" x14ac:dyDescent="0.2">
      <c r="A72" s="6" t="s">
        <v>735</v>
      </c>
      <c r="B72" s="254" t="s">
        <v>746</v>
      </c>
    </row>
    <row r="73" spans="1:2" ht="105" x14ac:dyDescent="0.2">
      <c r="A73" s="6" t="s">
        <v>736</v>
      </c>
      <c r="B73" s="254" t="s">
        <v>748</v>
      </c>
    </row>
    <row r="74" spans="1:2" ht="30" x14ac:dyDescent="0.2">
      <c r="A74" s="6" t="s">
        <v>737</v>
      </c>
      <c r="B74" s="254" t="s">
        <v>750</v>
      </c>
    </row>
    <row r="75" spans="1:2" x14ac:dyDescent="0.2">
      <c r="A75" s="6" t="s">
        <v>738</v>
      </c>
      <c r="B75" s="254" t="s">
        <v>754</v>
      </c>
    </row>
    <row r="76" spans="1:2" ht="30" x14ac:dyDescent="0.2">
      <c r="A76" s="6" t="s">
        <v>757</v>
      </c>
      <c r="B76" s="254" t="s">
        <v>756</v>
      </c>
    </row>
    <row r="77" spans="1:2" ht="30" x14ac:dyDescent="0.2">
      <c r="A77" s="6" t="s">
        <v>760</v>
      </c>
      <c r="B77" s="254" t="s">
        <v>759</v>
      </c>
    </row>
    <row r="78" spans="1:2" ht="30" x14ac:dyDescent="0.2">
      <c r="A78" s="6" t="s">
        <v>763</v>
      </c>
      <c r="B78" s="254" t="s">
        <v>762</v>
      </c>
    </row>
    <row r="79" spans="1:2" ht="45" x14ac:dyDescent="0.2">
      <c r="A79" s="6" t="s">
        <v>764</v>
      </c>
      <c r="B79" s="254" t="s">
        <v>766</v>
      </c>
    </row>
    <row r="80" spans="1:2" x14ac:dyDescent="0.2">
      <c r="A80" s="6" t="s">
        <v>765</v>
      </c>
      <c r="B80" s="254" t="s">
        <v>767</v>
      </c>
    </row>
    <row r="81" spans="1:2" ht="30" x14ac:dyDescent="0.2">
      <c r="A81" s="6" t="s">
        <v>768</v>
      </c>
      <c r="B81" s="254" t="s">
        <v>769</v>
      </c>
    </row>
  </sheetData>
  <pageMargins left="0.7" right="0.7" top="0.75" bottom="0.75" header="0.3" footer="0.3"/>
  <pageSetup paperSize="9" orientation="portrait" horizontalDpi="90" verticalDpi="9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20"/>
  <sheetViews>
    <sheetView zoomScaleNormal="100" workbookViewId="0">
      <pane xSplit="1" topLeftCell="U1" activePane="topRight" state="frozen"/>
      <selection activeCell="B8" sqref="B8"/>
      <selection pane="topRight" activeCell="B8" sqref="B8"/>
    </sheetView>
  </sheetViews>
  <sheetFormatPr defaultRowHeight="15" x14ac:dyDescent="0.2"/>
  <cols>
    <col min="1" max="1" width="54.77734375" style="6" customWidth="1"/>
    <col min="2" max="31" width="8.109375" style="6" customWidth="1"/>
    <col min="32" max="16384" width="8.88671875" style="6"/>
  </cols>
  <sheetData>
    <row r="1" spans="1:32" s="5" customFormat="1" ht="15.75" x14ac:dyDescent="0.25">
      <c r="A1" s="1" t="s">
        <v>840</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69</v>
      </c>
      <c r="K3" s="2"/>
      <c r="L3" s="3"/>
      <c r="M3" s="4"/>
      <c r="N3" s="4"/>
      <c r="O3" s="2"/>
    </row>
    <row r="4" spans="1:32" s="260" customFormat="1" ht="32.25" customHeight="1" x14ac:dyDescent="0.25">
      <c r="A4" s="259" t="s">
        <v>487</v>
      </c>
      <c r="B4" s="245" t="s">
        <v>62</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484</v>
      </c>
      <c r="AF4" s="245" t="s">
        <v>854</v>
      </c>
    </row>
    <row r="5" spans="1:32" x14ac:dyDescent="0.2">
      <c r="A5" s="106" t="s">
        <v>488</v>
      </c>
      <c r="B5" s="109">
        <v>107</v>
      </c>
      <c r="C5" s="109">
        <v>92</v>
      </c>
      <c r="D5" s="109">
        <v>104</v>
      </c>
      <c r="E5" s="109">
        <v>147</v>
      </c>
      <c r="F5" s="109">
        <v>155</v>
      </c>
      <c r="G5" s="109">
        <v>115</v>
      </c>
      <c r="H5" s="109">
        <v>169</v>
      </c>
      <c r="I5" s="109">
        <v>183</v>
      </c>
      <c r="J5" s="230">
        <v>182</v>
      </c>
      <c r="K5" s="106">
        <v>151</v>
      </c>
      <c r="L5" s="107">
        <v>140</v>
      </c>
      <c r="M5" s="107">
        <v>153</v>
      </c>
      <c r="N5" s="29">
        <v>139</v>
      </c>
      <c r="O5" s="110">
        <v>137</v>
      </c>
      <c r="P5" s="110">
        <v>140</v>
      </c>
      <c r="Q5" s="110">
        <v>134</v>
      </c>
      <c r="R5" s="110">
        <v>156</v>
      </c>
      <c r="S5" s="110">
        <v>154</v>
      </c>
      <c r="T5" s="110">
        <v>154</v>
      </c>
      <c r="U5" s="110">
        <v>151</v>
      </c>
      <c r="V5" s="110">
        <v>153</v>
      </c>
      <c r="W5" s="229">
        <v>125.643</v>
      </c>
      <c r="X5" s="229">
        <v>117.17400000000001</v>
      </c>
      <c r="Y5" s="229">
        <v>121.471</v>
      </c>
      <c r="Z5" s="229">
        <v>119.093</v>
      </c>
      <c r="AA5" s="229">
        <v>135.01</v>
      </c>
      <c r="AB5" s="229">
        <v>136.30000000000001</v>
      </c>
      <c r="AC5" s="229">
        <v>131.73699999999999</v>
      </c>
      <c r="AD5" s="229">
        <v>123.133</v>
      </c>
      <c r="AE5" s="229">
        <v>58</v>
      </c>
      <c r="AF5" s="229">
        <v>110</v>
      </c>
    </row>
    <row r="6" spans="1:32" x14ac:dyDescent="0.2">
      <c r="A6" s="106" t="s">
        <v>489</v>
      </c>
      <c r="B6" s="109">
        <v>407</v>
      </c>
      <c r="C6" s="109">
        <v>424</v>
      </c>
      <c r="D6" s="109">
        <v>572</v>
      </c>
      <c r="E6" s="109">
        <v>593</v>
      </c>
      <c r="F6" s="109">
        <v>551</v>
      </c>
      <c r="G6" s="109">
        <v>501</v>
      </c>
      <c r="H6" s="109">
        <v>751</v>
      </c>
      <c r="I6" s="109">
        <v>769</v>
      </c>
      <c r="J6" s="230">
        <v>740</v>
      </c>
      <c r="K6" s="106">
        <v>644</v>
      </c>
      <c r="L6" s="107">
        <v>604</v>
      </c>
      <c r="M6" s="107">
        <v>651</v>
      </c>
      <c r="N6" s="29">
        <v>599</v>
      </c>
      <c r="O6" s="29">
        <v>595</v>
      </c>
      <c r="P6" s="106">
        <v>602</v>
      </c>
      <c r="Q6" s="107">
        <v>595</v>
      </c>
      <c r="R6" s="107">
        <v>646</v>
      </c>
      <c r="S6" s="107">
        <v>628</v>
      </c>
      <c r="T6" s="107">
        <v>602</v>
      </c>
      <c r="U6" s="107">
        <v>611</v>
      </c>
      <c r="V6" s="229">
        <v>631.42200000000003</v>
      </c>
      <c r="W6" s="106">
        <v>524</v>
      </c>
      <c r="X6" s="106">
        <v>501</v>
      </c>
      <c r="Y6" s="235">
        <v>491.83499999999998</v>
      </c>
      <c r="Z6" s="229">
        <v>471.51</v>
      </c>
      <c r="AA6" s="229">
        <v>536.06500000000005</v>
      </c>
      <c r="AB6" s="229">
        <v>551.06399999999996</v>
      </c>
      <c r="AC6" s="229">
        <v>521</v>
      </c>
      <c r="AD6" s="106">
        <v>467</v>
      </c>
      <c r="AE6" s="106">
        <v>242</v>
      </c>
      <c r="AF6" s="56">
        <v>396</v>
      </c>
    </row>
    <row r="7" spans="1:32" ht="40.5" customHeight="1" x14ac:dyDescent="0.2">
      <c r="A7" s="106" t="s">
        <v>589</v>
      </c>
      <c r="B7" s="110" t="s">
        <v>777</v>
      </c>
      <c r="C7" s="110" t="s">
        <v>46</v>
      </c>
      <c r="D7" s="110" t="s">
        <v>46</v>
      </c>
      <c r="E7" s="110" t="s">
        <v>46</v>
      </c>
      <c r="F7" s="110" t="s">
        <v>46</v>
      </c>
      <c r="G7" s="110" t="s">
        <v>46</v>
      </c>
      <c r="H7" s="110" t="s">
        <v>46</v>
      </c>
      <c r="I7" s="110" t="s">
        <v>46</v>
      </c>
      <c r="J7" s="110" t="s">
        <v>46</v>
      </c>
      <c r="K7" s="110" t="s">
        <v>46</v>
      </c>
      <c r="L7" s="110" t="s">
        <v>46</v>
      </c>
      <c r="M7" s="113" t="s">
        <v>46</v>
      </c>
      <c r="N7" s="113" t="s">
        <v>46</v>
      </c>
      <c r="O7" s="113" t="s">
        <v>46</v>
      </c>
      <c r="P7" s="113" t="s">
        <v>46</v>
      </c>
      <c r="Q7" s="113" t="s">
        <v>46</v>
      </c>
      <c r="R7" s="113" t="s">
        <v>46</v>
      </c>
      <c r="S7" s="113" t="s">
        <v>46</v>
      </c>
      <c r="T7" s="113" t="s">
        <v>46</v>
      </c>
      <c r="U7" s="113" t="s">
        <v>46</v>
      </c>
      <c r="V7" s="110">
        <v>49.018000000000001</v>
      </c>
      <c r="W7" s="235">
        <v>239.38800000000001</v>
      </c>
      <c r="X7" s="106">
        <v>187</v>
      </c>
      <c r="Y7" s="235">
        <v>236.84399999999999</v>
      </c>
      <c r="Z7" s="229">
        <v>243.20400000000001</v>
      </c>
      <c r="AA7" s="229">
        <v>273.142</v>
      </c>
      <c r="AB7" s="229">
        <v>276.327</v>
      </c>
      <c r="AC7" s="229">
        <v>273.31700000000001</v>
      </c>
      <c r="AD7" s="229">
        <v>291.41800000000001</v>
      </c>
      <c r="AE7" s="229">
        <v>194</v>
      </c>
      <c r="AF7" s="56">
        <v>334</v>
      </c>
    </row>
    <row r="8" spans="1:32" x14ac:dyDescent="0.2">
      <c r="A8" s="106" t="s">
        <v>590</v>
      </c>
      <c r="B8" s="110" t="s">
        <v>46</v>
      </c>
      <c r="C8" s="110" t="s">
        <v>46</v>
      </c>
      <c r="D8" s="110" t="s">
        <v>46</v>
      </c>
      <c r="E8" s="110" t="s">
        <v>46</v>
      </c>
      <c r="F8" s="110" t="s">
        <v>46</v>
      </c>
      <c r="G8" s="110" t="s">
        <v>46</v>
      </c>
      <c r="H8" s="110" t="s">
        <v>46</v>
      </c>
      <c r="I8" s="110" t="s">
        <v>46</v>
      </c>
      <c r="J8" s="110" t="s">
        <v>46</v>
      </c>
      <c r="K8" s="106">
        <v>4</v>
      </c>
      <c r="L8" s="107">
        <v>1</v>
      </c>
      <c r="M8" s="113" t="s">
        <v>46</v>
      </c>
      <c r="N8" s="113" t="s">
        <v>46</v>
      </c>
      <c r="O8" s="113" t="s">
        <v>46</v>
      </c>
      <c r="P8" s="113" t="s">
        <v>46</v>
      </c>
      <c r="Q8" s="113" t="s">
        <v>46</v>
      </c>
      <c r="R8" s="113" t="s">
        <v>46</v>
      </c>
      <c r="S8" s="113" t="s">
        <v>46</v>
      </c>
      <c r="T8" s="113" t="s">
        <v>46</v>
      </c>
      <c r="U8" s="113" t="s">
        <v>46</v>
      </c>
      <c r="V8" s="110">
        <v>96.108000000000004</v>
      </c>
      <c r="W8" s="30">
        <v>1116.415</v>
      </c>
      <c r="X8" s="30">
        <v>1150</v>
      </c>
      <c r="Y8" s="30">
        <v>1124.2670000000001</v>
      </c>
      <c r="Z8" s="26">
        <v>1126.373</v>
      </c>
      <c r="AA8" s="26">
        <v>1216.6569999999999</v>
      </c>
      <c r="AB8" s="26">
        <v>1201.9960000000001</v>
      </c>
      <c r="AC8" s="26">
        <v>1229</v>
      </c>
      <c r="AD8" s="230">
        <v>1304</v>
      </c>
      <c r="AE8" s="230">
        <v>608</v>
      </c>
      <c r="AF8" s="56">
        <v>995</v>
      </c>
    </row>
    <row r="9" spans="1:32" ht="42" customHeight="1" x14ac:dyDescent="0.2">
      <c r="A9" s="106" t="s">
        <v>591</v>
      </c>
      <c r="B9" s="110" t="s">
        <v>46</v>
      </c>
      <c r="C9" s="110" t="s">
        <v>46</v>
      </c>
      <c r="D9" s="110" t="s">
        <v>46</v>
      </c>
      <c r="E9" s="110" t="s">
        <v>46</v>
      </c>
      <c r="F9" s="110" t="s">
        <v>46</v>
      </c>
      <c r="G9" s="110" t="s">
        <v>46</v>
      </c>
      <c r="H9" s="109">
        <v>6</v>
      </c>
      <c r="I9" s="109">
        <v>6</v>
      </c>
      <c r="J9" s="230">
        <v>6</v>
      </c>
      <c r="K9" s="110" t="s">
        <v>46</v>
      </c>
      <c r="L9" s="110" t="s">
        <v>46</v>
      </c>
      <c r="M9" s="110" t="s">
        <v>46</v>
      </c>
      <c r="N9" s="110" t="s">
        <v>46</v>
      </c>
      <c r="O9" s="110" t="s">
        <v>46</v>
      </c>
      <c r="P9" s="110" t="s">
        <v>46</v>
      </c>
      <c r="Q9" s="110" t="s">
        <v>46</v>
      </c>
      <c r="R9" s="110" t="s">
        <v>46</v>
      </c>
      <c r="S9" s="110" t="s">
        <v>46</v>
      </c>
      <c r="T9" s="110" t="s">
        <v>46</v>
      </c>
      <c r="U9" s="110" t="s">
        <v>46</v>
      </c>
      <c r="V9" s="110" t="s">
        <v>46</v>
      </c>
      <c r="W9" s="110" t="s">
        <v>46</v>
      </c>
      <c r="X9" s="106"/>
      <c r="Y9" s="106"/>
      <c r="Z9" s="107"/>
      <c r="AA9" s="106"/>
      <c r="AB9" s="106"/>
      <c r="AC9" s="106"/>
      <c r="AD9" s="106"/>
      <c r="AE9" s="106"/>
      <c r="AF9" s="56"/>
    </row>
    <row r="10" spans="1:32" x14ac:dyDescent="0.2">
      <c r="A10" s="106" t="s">
        <v>592</v>
      </c>
      <c r="B10" s="110" t="s">
        <v>46</v>
      </c>
      <c r="C10" s="110" t="s">
        <v>46</v>
      </c>
      <c r="D10" s="110" t="s">
        <v>46</v>
      </c>
      <c r="E10" s="110" t="s">
        <v>46</v>
      </c>
      <c r="F10" s="110" t="s">
        <v>46</v>
      </c>
      <c r="G10" s="110" t="s">
        <v>46</v>
      </c>
      <c r="H10" s="109">
        <v>27</v>
      </c>
      <c r="I10" s="109">
        <v>28</v>
      </c>
      <c r="J10" s="230">
        <v>24</v>
      </c>
      <c r="K10" s="110" t="s">
        <v>46</v>
      </c>
      <c r="L10" s="110" t="s">
        <v>46</v>
      </c>
      <c r="M10" s="110" t="s">
        <v>46</v>
      </c>
      <c r="N10" s="110" t="s">
        <v>46</v>
      </c>
      <c r="O10" s="110" t="s">
        <v>46</v>
      </c>
      <c r="P10" s="110" t="s">
        <v>46</v>
      </c>
      <c r="Q10" s="110" t="s">
        <v>46</v>
      </c>
      <c r="R10" s="110" t="s">
        <v>46</v>
      </c>
      <c r="S10" s="110" t="s">
        <v>46</v>
      </c>
      <c r="T10" s="110" t="s">
        <v>46</v>
      </c>
      <c r="U10" s="110" t="s">
        <v>46</v>
      </c>
      <c r="V10" s="110" t="s">
        <v>46</v>
      </c>
      <c r="W10" s="110" t="s">
        <v>46</v>
      </c>
      <c r="X10" s="106"/>
      <c r="Y10" s="106"/>
      <c r="Z10" s="107"/>
      <c r="AA10" s="106"/>
      <c r="AB10" s="106"/>
      <c r="AC10" s="106"/>
      <c r="AD10" s="106"/>
      <c r="AE10" s="106"/>
      <c r="AF10" s="56"/>
    </row>
    <row r="11" spans="1:32" ht="36" customHeight="1" x14ac:dyDescent="0.2">
      <c r="A11" s="106" t="s">
        <v>593</v>
      </c>
      <c r="B11" s="109">
        <v>272</v>
      </c>
      <c r="C11" s="109">
        <v>329</v>
      </c>
      <c r="D11" s="109">
        <v>350</v>
      </c>
      <c r="E11" s="109">
        <v>369</v>
      </c>
      <c r="F11" s="109">
        <v>421</v>
      </c>
      <c r="G11" s="109">
        <v>391</v>
      </c>
      <c r="H11" s="109">
        <v>396</v>
      </c>
      <c r="I11" s="109">
        <v>372</v>
      </c>
      <c r="J11" s="230">
        <v>338</v>
      </c>
      <c r="K11" s="106">
        <v>270</v>
      </c>
      <c r="L11" s="107">
        <v>248</v>
      </c>
      <c r="M11" s="107">
        <v>257</v>
      </c>
      <c r="N11" s="106">
        <v>239</v>
      </c>
      <c r="O11" s="110">
        <v>275</v>
      </c>
      <c r="P11" s="110">
        <v>239</v>
      </c>
      <c r="Q11" s="110">
        <v>250</v>
      </c>
      <c r="R11" s="110">
        <v>257</v>
      </c>
      <c r="S11" s="110">
        <v>239</v>
      </c>
      <c r="T11" s="110">
        <v>244</v>
      </c>
      <c r="U11" s="110">
        <v>244</v>
      </c>
      <c r="V11" s="110">
        <v>217</v>
      </c>
      <c r="W11" s="113" t="s">
        <v>46</v>
      </c>
      <c r="X11" s="113" t="s">
        <v>46</v>
      </c>
      <c r="Y11" s="113" t="s">
        <v>46</v>
      </c>
      <c r="Z11" s="113" t="s">
        <v>46</v>
      </c>
      <c r="AA11" s="113" t="s">
        <v>46</v>
      </c>
      <c r="AB11" s="113" t="s">
        <v>46</v>
      </c>
      <c r="AC11" s="113" t="s">
        <v>46</v>
      </c>
      <c r="AD11" s="113" t="s">
        <v>46</v>
      </c>
      <c r="AE11" s="113" t="s">
        <v>46</v>
      </c>
      <c r="AF11" s="56"/>
    </row>
    <row r="12" spans="1:32" x14ac:dyDescent="0.2">
      <c r="A12" s="106" t="s">
        <v>594</v>
      </c>
      <c r="B12" s="109">
        <v>1271</v>
      </c>
      <c r="C12" s="109">
        <v>1511</v>
      </c>
      <c r="D12" s="109">
        <v>1692</v>
      </c>
      <c r="E12" s="109">
        <v>1675</v>
      </c>
      <c r="F12" s="109">
        <v>1791</v>
      </c>
      <c r="G12" s="109">
        <v>1704</v>
      </c>
      <c r="H12" s="109">
        <v>1909</v>
      </c>
      <c r="I12" s="109">
        <v>1803</v>
      </c>
      <c r="J12" s="230">
        <v>1652</v>
      </c>
      <c r="K12" s="29">
        <v>1458</v>
      </c>
      <c r="L12" s="28">
        <v>1358</v>
      </c>
      <c r="M12" s="28">
        <v>1296</v>
      </c>
      <c r="N12" s="29">
        <v>1363</v>
      </c>
      <c r="O12" s="29">
        <v>1319</v>
      </c>
      <c r="P12" s="29">
        <v>1235</v>
      </c>
      <c r="Q12" s="28">
        <v>1212</v>
      </c>
      <c r="R12" s="28">
        <v>1217</v>
      </c>
      <c r="S12" s="28">
        <v>1104</v>
      </c>
      <c r="T12" s="28">
        <v>1101</v>
      </c>
      <c r="U12" s="28">
        <v>1084</v>
      </c>
      <c r="V12" s="28">
        <v>922.11599999999999</v>
      </c>
      <c r="W12" s="113" t="s">
        <v>46</v>
      </c>
      <c r="X12" s="113" t="s">
        <v>46</v>
      </c>
      <c r="Y12" s="113" t="s">
        <v>46</v>
      </c>
      <c r="Z12" s="113" t="s">
        <v>46</v>
      </c>
      <c r="AA12" s="113" t="s">
        <v>46</v>
      </c>
      <c r="AB12" s="113" t="s">
        <v>46</v>
      </c>
      <c r="AC12" s="113" t="s">
        <v>46</v>
      </c>
      <c r="AD12" s="113" t="s">
        <v>46</v>
      </c>
      <c r="AE12" s="113" t="s">
        <v>46</v>
      </c>
      <c r="AF12" s="56"/>
    </row>
    <row r="13" spans="1:32" ht="40.5" customHeight="1" x14ac:dyDescent="0.2">
      <c r="A13" s="107" t="s">
        <v>491</v>
      </c>
      <c r="B13" s="110"/>
      <c r="C13" s="110"/>
      <c r="D13" s="110"/>
      <c r="E13" s="110"/>
      <c r="F13" s="110"/>
      <c r="G13" s="110"/>
      <c r="H13" s="110"/>
      <c r="I13" s="110"/>
      <c r="J13" s="110"/>
      <c r="K13" s="110" t="s">
        <v>37</v>
      </c>
      <c r="L13" s="110" t="s">
        <v>37</v>
      </c>
      <c r="M13" s="113">
        <v>0</v>
      </c>
      <c r="N13" s="113">
        <v>0</v>
      </c>
      <c r="O13" s="113">
        <v>0</v>
      </c>
      <c r="P13" s="113">
        <v>0</v>
      </c>
      <c r="Q13" s="113">
        <v>0</v>
      </c>
      <c r="R13" s="113">
        <v>0</v>
      </c>
      <c r="S13" s="113">
        <v>0</v>
      </c>
      <c r="T13" s="113">
        <v>0</v>
      </c>
      <c r="U13" s="113">
        <v>0</v>
      </c>
      <c r="V13" s="113">
        <v>0</v>
      </c>
      <c r="W13" s="113">
        <v>0</v>
      </c>
      <c r="X13" s="107"/>
      <c r="Y13" s="107"/>
      <c r="Z13" s="107"/>
      <c r="AA13" s="107"/>
      <c r="AB13" s="107"/>
      <c r="AC13" s="107"/>
      <c r="AD13" s="107"/>
      <c r="AE13" s="107"/>
      <c r="AF13" s="56"/>
    </row>
    <row r="14" spans="1:32" x14ac:dyDescent="0.2">
      <c r="A14" s="107" t="s">
        <v>490</v>
      </c>
      <c r="B14" s="110"/>
      <c r="C14" s="110"/>
      <c r="D14" s="110"/>
      <c r="E14" s="110"/>
      <c r="F14" s="110"/>
      <c r="G14" s="110"/>
      <c r="H14" s="109"/>
      <c r="I14" s="109"/>
      <c r="J14" s="109"/>
      <c r="K14" s="110" t="s">
        <v>37</v>
      </c>
      <c r="L14" s="110" t="s">
        <v>37</v>
      </c>
      <c r="M14" s="113">
        <v>0</v>
      </c>
      <c r="N14" s="113">
        <v>0</v>
      </c>
      <c r="O14" s="113">
        <v>0</v>
      </c>
      <c r="P14" s="113">
        <v>0</v>
      </c>
      <c r="Q14" s="113">
        <v>0</v>
      </c>
      <c r="R14" s="113">
        <v>0</v>
      </c>
      <c r="S14" s="113">
        <v>0</v>
      </c>
      <c r="T14" s="113">
        <v>0</v>
      </c>
      <c r="U14" s="113">
        <v>0</v>
      </c>
      <c r="V14" s="113">
        <v>0</v>
      </c>
      <c r="W14" s="113">
        <v>0</v>
      </c>
      <c r="X14" s="107"/>
      <c r="Y14" s="107"/>
      <c r="Z14" s="107"/>
      <c r="AA14" s="107"/>
      <c r="AB14" s="107"/>
      <c r="AC14" s="107"/>
      <c r="AD14" s="107"/>
      <c r="AE14" s="107"/>
      <c r="AF14" s="56"/>
    </row>
    <row r="15" spans="1:32" ht="40.5" customHeight="1" x14ac:dyDescent="0.2">
      <c r="A15" s="106" t="s">
        <v>595</v>
      </c>
      <c r="B15" s="110" t="s">
        <v>46</v>
      </c>
      <c r="C15" s="110" t="s">
        <v>46</v>
      </c>
      <c r="D15" s="110" t="s">
        <v>46</v>
      </c>
      <c r="E15" s="110" t="s">
        <v>46</v>
      </c>
      <c r="F15" s="110" t="s">
        <v>46</v>
      </c>
      <c r="G15" s="110" t="s">
        <v>46</v>
      </c>
      <c r="H15" s="110" t="s">
        <v>46</v>
      </c>
      <c r="I15" s="110" t="s">
        <v>46</v>
      </c>
      <c r="J15" s="230">
        <v>44</v>
      </c>
      <c r="K15" s="106">
        <v>80</v>
      </c>
      <c r="L15" s="107">
        <v>76</v>
      </c>
      <c r="M15" s="107">
        <v>76</v>
      </c>
      <c r="N15" s="29">
        <v>87</v>
      </c>
      <c r="O15" s="110">
        <v>74</v>
      </c>
      <c r="P15" s="113" t="s">
        <v>46</v>
      </c>
      <c r="Q15" s="113" t="s">
        <v>46</v>
      </c>
      <c r="R15" s="113" t="s">
        <v>46</v>
      </c>
      <c r="S15" s="113" t="s">
        <v>46</v>
      </c>
      <c r="T15" s="113" t="s">
        <v>46</v>
      </c>
      <c r="U15" s="113" t="s">
        <v>46</v>
      </c>
      <c r="V15" s="113" t="s">
        <v>46</v>
      </c>
      <c r="W15" s="113" t="s">
        <v>46</v>
      </c>
      <c r="X15" s="113" t="s">
        <v>46</v>
      </c>
      <c r="Y15" s="113" t="s">
        <v>46</v>
      </c>
      <c r="Z15" s="113" t="s">
        <v>46</v>
      </c>
      <c r="AA15" s="113" t="s">
        <v>46</v>
      </c>
      <c r="AB15" s="113" t="s">
        <v>46</v>
      </c>
      <c r="AC15" s="113" t="s">
        <v>46</v>
      </c>
      <c r="AD15" s="113" t="s">
        <v>46</v>
      </c>
      <c r="AE15" s="113" t="s">
        <v>46</v>
      </c>
      <c r="AF15" s="113" t="s">
        <v>46</v>
      </c>
    </row>
    <row r="16" spans="1:32" x14ac:dyDescent="0.2">
      <c r="A16" s="106" t="s">
        <v>596</v>
      </c>
      <c r="B16" s="110" t="s">
        <v>46</v>
      </c>
      <c r="C16" s="110" t="s">
        <v>46</v>
      </c>
      <c r="D16" s="110" t="s">
        <v>46</v>
      </c>
      <c r="E16" s="110" t="s">
        <v>46</v>
      </c>
      <c r="F16" s="110" t="s">
        <v>46</v>
      </c>
      <c r="G16" s="110" t="s">
        <v>46</v>
      </c>
      <c r="H16" s="110" t="s">
        <v>46</v>
      </c>
      <c r="I16" s="110" t="s">
        <v>46</v>
      </c>
      <c r="J16" s="230">
        <v>202</v>
      </c>
      <c r="K16" s="106">
        <v>364</v>
      </c>
      <c r="L16" s="107">
        <v>362</v>
      </c>
      <c r="M16" s="107">
        <v>332</v>
      </c>
      <c r="N16" s="29">
        <v>368</v>
      </c>
      <c r="O16" s="29">
        <v>303</v>
      </c>
      <c r="P16" s="113" t="s">
        <v>46</v>
      </c>
      <c r="Q16" s="113" t="s">
        <v>46</v>
      </c>
      <c r="R16" s="113" t="s">
        <v>46</v>
      </c>
      <c r="S16" s="113" t="s">
        <v>46</v>
      </c>
      <c r="T16" s="113" t="s">
        <v>46</v>
      </c>
      <c r="U16" s="113" t="s">
        <v>46</v>
      </c>
      <c r="V16" s="113" t="s">
        <v>46</v>
      </c>
      <c r="W16" s="113" t="s">
        <v>46</v>
      </c>
      <c r="X16" s="113" t="s">
        <v>46</v>
      </c>
      <c r="Y16" s="113" t="s">
        <v>46</v>
      </c>
      <c r="Z16" s="113" t="s">
        <v>46</v>
      </c>
      <c r="AA16" s="113" t="s">
        <v>46</v>
      </c>
      <c r="AB16" s="113" t="s">
        <v>46</v>
      </c>
      <c r="AC16" s="113" t="s">
        <v>46</v>
      </c>
      <c r="AD16" s="113" t="s">
        <v>46</v>
      </c>
      <c r="AE16" s="113" t="s">
        <v>46</v>
      </c>
      <c r="AF16" s="113" t="s">
        <v>46</v>
      </c>
    </row>
    <row r="17" spans="1:32" ht="34.5" customHeight="1" x14ac:dyDescent="0.2">
      <c r="A17" s="106" t="s">
        <v>597</v>
      </c>
      <c r="B17" s="106" t="s">
        <v>46</v>
      </c>
      <c r="C17" s="106" t="s">
        <v>46</v>
      </c>
      <c r="D17" s="106" t="s">
        <v>46</v>
      </c>
      <c r="E17" s="106" t="s">
        <v>46</v>
      </c>
      <c r="F17" s="106" t="s">
        <v>46</v>
      </c>
      <c r="G17" s="106" t="s">
        <v>46</v>
      </c>
      <c r="H17" s="106" t="s">
        <v>46</v>
      </c>
      <c r="I17" s="106" t="s">
        <v>46</v>
      </c>
      <c r="J17" s="106" t="s">
        <v>46</v>
      </c>
      <c r="K17" s="106" t="s">
        <v>46</v>
      </c>
      <c r="L17" s="110" t="s">
        <v>46</v>
      </c>
      <c r="M17" s="107">
        <v>1</v>
      </c>
      <c r="N17" s="29">
        <v>25</v>
      </c>
      <c r="O17" s="110">
        <v>27</v>
      </c>
      <c r="P17" s="110">
        <v>56</v>
      </c>
      <c r="Q17" s="110">
        <v>56</v>
      </c>
      <c r="R17" s="110">
        <v>66</v>
      </c>
      <c r="S17" s="110">
        <v>59</v>
      </c>
      <c r="T17" s="110">
        <v>62</v>
      </c>
      <c r="U17" s="110">
        <v>62</v>
      </c>
      <c r="V17" s="110">
        <v>60</v>
      </c>
      <c r="W17" s="229">
        <v>46.737000000000002</v>
      </c>
      <c r="X17" s="229">
        <v>50.131999999999998</v>
      </c>
      <c r="Y17" s="225">
        <v>49.600999999999999</v>
      </c>
      <c r="Z17" s="229">
        <v>35.805</v>
      </c>
      <c r="AA17" s="231">
        <v>0</v>
      </c>
      <c r="AB17" s="231">
        <v>0</v>
      </c>
      <c r="AC17" s="231">
        <v>0</v>
      </c>
      <c r="AD17" s="231">
        <v>0</v>
      </c>
      <c r="AE17" s="231">
        <v>0</v>
      </c>
      <c r="AF17" s="231">
        <v>0</v>
      </c>
    </row>
    <row r="18" spans="1:32" x14ac:dyDescent="0.2">
      <c r="A18" s="106" t="s">
        <v>598</v>
      </c>
      <c r="B18" s="106" t="s">
        <v>46</v>
      </c>
      <c r="C18" s="106" t="s">
        <v>46</v>
      </c>
      <c r="D18" s="106" t="s">
        <v>46</v>
      </c>
      <c r="E18" s="106" t="s">
        <v>46</v>
      </c>
      <c r="F18" s="106" t="s">
        <v>46</v>
      </c>
      <c r="G18" s="106" t="s">
        <v>46</v>
      </c>
      <c r="H18" s="106" t="s">
        <v>46</v>
      </c>
      <c r="I18" s="106" t="s">
        <v>46</v>
      </c>
      <c r="J18" s="106" t="s">
        <v>46</v>
      </c>
      <c r="K18" s="106" t="s">
        <v>46</v>
      </c>
      <c r="L18" s="110">
        <v>1</v>
      </c>
      <c r="M18" s="107">
        <v>5</v>
      </c>
      <c r="N18" s="29">
        <v>100</v>
      </c>
      <c r="O18" s="29">
        <v>120</v>
      </c>
      <c r="P18" s="106">
        <v>214</v>
      </c>
      <c r="Q18" s="107">
        <v>208</v>
      </c>
      <c r="R18" s="107">
        <v>231</v>
      </c>
      <c r="S18" s="107">
        <v>206</v>
      </c>
      <c r="T18" s="107">
        <v>213</v>
      </c>
      <c r="U18" s="107">
        <v>225</v>
      </c>
      <c r="V18" s="229">
        <v>208.09899999999999</v>
      </c>
      <c r="W18" s="106">
        <v>169</v>
      </c>
      <c r="X18" s="106">
        <v>180</v>
      </c>
      <c r="Y18" s="235">
        <v>178.05799999999999</v>
      </c>
      <c r="Z18" s="229">
        <v>131.453</v>
      </c>
      <c r="AA18" s="231">
        <v>0</v>
      </c>
      <c r="AB18" s="231">
        <v>0</v>
      </c>
      <c r="AC18" s="231">
        <v>0</v>
      </c>
      <c r="AD18" s="231">
        <v>0</v>
      </c>
      <c r="AE18" s="231">
        <v>0</v>
      </c>
      <c r="AF18" s="231">
        <v>0</v>
      </c>
    </row>
    <row r="19" spans="1:32" ht="31.5" customHeight="1" x14ac:dyDescent="0.2">
      <c r="A19" s="106" t="s">
        <v>492</v>
      </c>
      <c r="B19" s="109">
        <f t="shared" ref="B19:AE19" si="0">SUM(B2,B5,B7,B9,B11,B13,B15,B17)</f>
        <v>379</v>
      </c>
      <c r="C19" s="109">
        <f t="shared" si="0"/>
        <v>421</v>
      </c>
      <c r="D19" s="109">
        <f t="shared" si="0"/>
        <v>454</v>
      </c>
      <c r="E19" s="109">
        <f t="shared" si="0"/>
        <v>516</v>
      </c>
      <c r="F19" s="109">
        <f t="shared" si="0"/>
        <v>576</v>
      </c>
      <c r="G19" s="109">
        <f t="shared" si="0"/>
        <v>506</v>
      </c>
      <c r="H19" s="109">
        <f t="shared" si="0"/>
        <v>571</v>
      </c>
      <c r="I19" s="109">
        <f t="shared" si="0"/>
        <v>561</v>
      </c>
      <c r="J19" s="109">
        <f t="shared" si="0"/>
        <v>570</v>
      </c>
      <c r="K19" s="109">
        <f t="shared" si="0"/>
        <v>501</v>
      </c>
      <c r="L19" s="109">
        <f t="shared" si="0"/>
        <v>464</v>
      </c>
      <c r="M19" s="109">
        <f t="shared" si="0"/>
        <v>487</v>
      </c>
      <c r="N19" s="109">
        <f t="shared" si="0"/>
        <v>490</v>
      </c>
      <c r="O19" s="109">
        <f t="shared" si="0"/>
        <v>513</v>
      </c>
      <c r="P19" s="109">
        <f t="shared" si="0"/>
        <v>435</v>
      </c>
      <c r="Q19" s="109">
        <f t="shared" si="0"/>
        <v>440</v>
      </c>
      <c r="R19" s="109">
        <f t="shared" si="0"/>
        <v>479</v>
      </c>
      <c r="S19" s="109">
        <f t="shared" si="0"/>
        <v>452</v>
      </c>
      <c r="T19" s="109">
        <f t="shared" si="0"/>
        <v>460</v>
      </c>
      <c r="U19" s="109">
        <f t="shared" si="0"/>
        <v>457</v>
      </c>
      <c r="V19" s="109">
        <f t="shared" si="0"/>
        <v>479.01800000000003</v>
      </c>
      <c r="W19" s="109">
        <f t="shared" si="0"/>
        <v>411.76800000000003</v>
      </c>
      <c r="X19" s="109">
        <f t="shared" si="0"/>
        <v>354.30599999999998</v>
      </c>
      <c r="Y19" s="109">
        <f t="shared" si="0"/>
        <v>407.916</v>
      </c>
      <c r="Z19" s="109">
        <f t="shared" si="0"/>
        <v>398.10200000000003</v>
      </c>
      <c r="AA19" s="109">
        <f t="shared" si="0"/>
        <v>408.15199999999999</v>
      </c>
      <c r="AB19" s="109">
        <f t="shared" si="0"/>
        <v>412.62700000000001</v>
      </c>
      <c r="AC19" s="109">
        <f t="shared" si="0"/>
        <v>405.05399999999997</v>
      </c>
      <c r="AD19" s="109">
        <f t="shared" si="0"/>
        <v>414.55099999999999</v>
      </c>
      <c r="AE19" s="109">
        <f t="shared" si="0"/>
        <v>252</v>
      </c>
      <c r="AF19" s="109">
        <f t="shared" ref="AF19" si="1">SUM(AF2,AF5,AF7,AF9,AF11,AF13,AF15,AF17)</f>
        <v>444</v>
      </c>
    </row>
    <row r="20" spans="1:32" x14ac:dyDescent="0.2">
      <c r="A20" s="106" t="s">
        <v>493</v>
      </c>
      <c r="B20" s="109">
        <f t="shared" ref="B20:AE20" si="2">SUM(B3,B6,B8,B10,B12,B14,B16,B18)</f>
        <v>1678</v>
      </c>
      <c r="C20" s="109">
        <f t="shared" si="2"/>
        <v>1935</v>
      </c>
      <c r="D20" s="109">
        <f t="shared" si="2"/>
        <v>2264</v>
      </c>
      <c r="E20" s="109">
        <f t="shared" si="2"/>
        <v>2268</v>
      </c>
      <c r="F20" s="109">
        <f t="shared" si="2"/>
        <v>2342</v>
      </c>
      <c r="G20" s="109">
        <f t="shared" si="2"/>
        <v>2205</v>
      </c>
      <c r="H20" s="109">
        <f t="shared" si="2"/>
        <v>2687</v>
      </c>
      <c r="I20" s="109">
        <f t="shared" si="2"/>
        <v>2600</v>
      </c>
      <c r="J20" s="109">
        <f t="shared" si="2"/>
        <v>2618</v>
      </c>
      <c r="K20" s="109">
        <f t="shared" si="2"/>
        <v>2470</v>
      </c>
      <c r="L20" s="109">
        <f t="shared" si="2"/>
        <v>2326</v>
      </c>
      <c r="M20" s="109">
        <f t="shared" si="2"/>
        <v>2284</v>
      </c>
      <c r="N20" s="109">
        <f t="shared" si="2"/>
        <v>2430</v>
      </c>
      <c r="O20" s="109">
        <f t="shared" si="2"/>
        <v>2337</v>
      </c>
      <c r="P20" s="109">
        <f t="shared" si="2"/>
        <v>2051</v>
      </c>
      <c r="Q20" s="109">
        <f t="shared" si="2"/>
        <v>2015</v>
      </c>
      <c r="R20" s="109">
        <f t="shared" si="2"/>
        <v>2094</v>
      </c>
      <c r="S20" s="109">
        <f t="shared" si="2"/>
        <v>1938</v>
      </c>
      <c r="T20" s="109">
        <f t="shared" si="2"/>
        <v>1916</v>
      </c>
      <c r="U20" s="109">
        <f t="shared" si="2"/>
        <v>1920</v>
      </c>
      <c r="V20" s="109">
        <f t="shared" si="2"/>
        <v>1857.7449999999999</v>
      </c>
      <c r="W20" s="109">
        <f t="shared" si="2"/>
        <v>1809.415</v>
      </c>
      <c r="X20" s="109">
        <f t="shared" si="2"/>
        <v>1831</v>
      </c>
      <c r="Y20" s="109">
        <f t="shared" si="2"/>
        <v>1794.16</v>
      </c>
      <c r="Z20" s="109">
        <f t="shared" si="2"/>
        <v>1729.336</v>
      </c>
      <c r="AA20" s="109">
        <f t="shared" si="2"/>
        <v>1752.722</v>
      </c>
      <c r="AB20" s="109">
        <f t="shared" si="2"/>
        <v>1753.06</v>
      </c>
      <c r="AC20" s="109">
        <f t="shared" si="2"/>
        <v>1750</v>
      </c>
      <c r="AD20" s="109">
        <f t="shared" si="2"/>
        <v>1771</v>
      </c>
      <c r="AE20" s="109">
        <f t="shared" si="2"/>
        <v>850</v>
      </c>
      <c r="AF20" s="109">
        <f t="shared" ref="AF20" si="3">SUM(AF3,AF6,AF8,AF10,AF12,AF14,AF16,AF18)</f>
        <v>1391</v>
      </c>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6"/>
  <sheetViews>
    <sheetView zoomScaleNormal="100" workbookViewId="0">
      <pane xSplit="1" topLeftCell="K1" activePane="topRight" state="frozen"/>
      <selection activeCell="B8" sqref="B8"/>
      <selection pane="topRight" activeCell="B8" sqref="B8"/>
    </sheetView>
  </sheetViews>
  <sheetFormatPr defaultRowHeight="15" x14ac:dyDescent="0.2"/>
  <cols>
    <col min="1" max="1" width="54.77734375" style="6" customWidth="1"/>
    <col min="2" max="20" width="8" style="6" customWidth="1"/>
    <col min="21" max="16384" width="8.88671875" style="6"/>
  </cols>
  <sheetData>
    <row r="1" spans="1:20" s="5" customFormat="1" ht="15.75" x14ac:dyDescent="0.25">
      <c r="A1" s="1" t="s">
        <v>839</v>
      </c>
      <c r="B1" s="2"/>
      <c r="C1" s="3"/>
      <c r="D1" s="4"/>
      <c r="E1" s="4"/>
      <c r="F1" s="2"/>
    </row>
    <row r="2" spans="1:20" s="5" customFormat="1" ht="15.75" x14ac:dyDescent="0.25">
      <c r="A2" s="2" t="s">
        <v>5</v>
      </c>
      <c r="B2" s="2"/>
      <c r="C2" s="3"/>
      <c r="D2" s="4"/>
      <c r="E2" s="4"/>
      <c r="F2" s="2"/>
    </row>
    <row r="3" spans="1:20" s="5" customFormat="1" ht="15.75" x14ac:dyDescent="0.25">
      <c r="A3" s="5" t="s">
        <v>69</v>
      </c>
      <c r="B3" s="2"/>
      <c r="C3" s="3"/>
      <c r="D3" s="4"/>
      <c r="E3" s="4"/>
      <c r="F3" s="2"/>
    </row>
    <row r="4" spans="1:20" s="260" customFormat="1" ht="30.75" customHeight="1" x14ac:dyDescent="0.25">
      <c r="A4" s="259" t="s">
        <v>487</v>
      </c>
      <c r="B4" s="260" t="s">
        <v>17</v>
      </c>
      <c r="C4" s="260" t="s">
        <v>18</v>
      </c>
      <c r="D4" s="260" t="s">
        <v>44</v>
      </c>
      <c r="E4" s="260" t="s">
        <v>19</v>
      </c>
      <c r="F4" s="260" t="s">
        <v>20</v>
      </c>
      <c r="G4" s="260" t="s">
        <v>21</v>
      </c>
      <c r="H4" s="260" t="s">
        <v>22</v>
      </c>
      <c r="I4" s="260" t="s">
        <v>23</v>
      </c>
      <c r="J4" s="260" t="s">
        <v>24</v>
      </c>
      <c r="K4" s="260" t="s">
        <v>25</v>
      </c>
      <c r="L4" s="260" t="s">
        <v>26</v>
      </c>
      <c r="M4" s="260" t="s">
        <v>27</v>
      </c>
      <c r="N4" s="260" t="s">
        <v>28</v>
      </c>
      <c r="O4" s="260" t="s">
        <v>29</v>
      </c>
      <c r="P4" s="260" t="s">
        <v>30</v>
      </c>
      <c r="Q4" s="260" t="s">
        <v>31</v>
      </c>
      <c r="R4" s="260" t="s">
        <v>32</v>
      </c>
      <c r="S4" s="260" t="s">
        <v>33</v>
      </c>
      <c r="T4" s="260" t="s">
        <v>34</v>
      </c>
    </row>
    <row r="5" spans="1:20" x14ac:dyDescent="0.2">
      <c r="A5" s="106" t="s">
        <v>606</v>
      </c>
      <c r="B5" s="113">
        <v>0</v>
      </c>
      <c r="C5" s="113">
        <v>0</v>
      </c>
      <c r="D5" s="219">
        <v>105</v>
      </c>
      <c r="E5" s="219">
        <v>195</v>
      </c>
      <c r="F5" s="219">
        <v>192</v>
      </c>
      <c r="G5" s="220">
        <v>183</v>
      </c>
      <c r="H5" s="220">
        <v>112</v>
      </c>
      <c r="I5" s="220">
        <v>110</v>
      </c>
      <c r="J5" s="220">
        <v>74</v>
      </c>
      <c r="K5" s="220">
        <v>31</v>
      </c>
      <c r="L5" s="124">
        <v>54.015999999999998</v>
      </c>
      <c r="M5" s="221">
        <v>0.56299999999999994</v>
      </c>
      <c r="N5" s="221">
        <v>0.70599999999999996</v>
      </c>
      <c r="O5" s="221">
        <v>0.68600000000000005</v>
      </c>
      <c r="P5" s="221">
        <v>0.67300000000000004</v>
      </c>
      <c r="Q5" s="228">
        <v>0.47899999999999998</v>
      </c>
      <c r="R5" s="228">
        <v>0.72099999999999997</v>
      </c>
      <c r="S5" s="228">
        <v>0.41099999999999998</v>
      </c>
      <c r="T5" s="228">
        <v>4.4999999999999998E-2</v>
      </c>
    </row>
    <row r="6" spans="1:20" x14ac:dyDescent="0.2">
      <c r="A6" s="106" t="s">
        <v>607</v>
      </c>
      <c r="B6" s="113">
        <v>0</v>
      </c>
      <c r="C6" s="113">
        <v>0</v>
      </c>
      <c r="D6" s="223">
        <v>28</v>
      </c>
      <c r="E6" s="223">
        <v>43</v>
      </c>
      <c r="F6" s="110">
        <v>44</v>
      </c>
      <c r="G6" s="110">
        <v>43</v>
      </c>
      <c r="H6" s="110">
        <v>28</v>
      </c>
      <c r="I6" s="110">
        <v>31</v>
      </c>
      <c r="J6" s="110">
        <v>21</v>
      </c>
      <c r="K6" s="110">
        <v>9</v>
      </c>
      <c r="L6" s="124">
        <v>16.228999999999999</v>
      </c>
      <c r="M6" s="222">
        <v>3.0000000000000001E-3</v>
      </c>
      <c r="N6" s="222">
        <v>1.2999999999999999E-2</v>
      </c>
      <c r="O6" s="222">
        <v>1E-3</v>
      </c>
      <c r="P6" s="222">
        <v>2E-3</v>
      </c>
      <c r="Q6" s="85">
        <v>6.0000000000000001E-3</v>
      </c>
      <c r="R6" s="85">
        <v>4.0000000000000001E-3</v>
      </c>
      <c r="S6" s="85">
        <v>4.1000000000000002E-2</v>
      </c>
      <c r="T6" s="85">
        <v>1E-3</v>
      </c>
    </row>
    <row r="7" spans="1:20" x14ac:dyDescent="0.2">
      <c r="A7" s="106" t="s">
        <v>608</v>
      </c>
      <c r="B7" s="113">
        <v>0</v>
      </c>
      <c r="C7" s="113">
        <v>0</v>
      </c>
      <c r="D7" s="219">
        <v>8</v>
      </c>
      <c r="E7" s="223">
        <v>16</v>
      </c>
      <c r="F7" s="110">
        <v>21</v>
      </c>
      <c r="G7" s="110">
        <v>21</v>
      </c>
      <c r="H7" s="110">
        <v>6</v>
      </c>
      <c r="I7" s="110">
        <v>6</v>
      </c>
      <c r="J7" s="110">
        <v>4</v>
      </c>
      <c r="K7" s="110">
        <v>1</v>
      </c>
      <c r="L7" s="124">
        <v>11.999000000000001</v>
      </c>
      <c r="M7" s="221">
        <v>0.5</v>
      </c>
      <c r="N7" s="221">
        <v>0.47699999999999998</v>
      </c>
      <c r="O7" s="221">
        <v>0.54600000000000004</v>
      </c>
      <c r="P7" s="221">
        <v>0.45400000000000001</v>
      </c>
      <c r="Q7" s="228">
        <v>0.41099999999999998</v>
      </c>
      <c r="R7" s="228">
        <v>0.48899999999999999</v>
      </c>
      <c r="S7" s="228">
        <v>0.29899999999999999</v>
      </c>
      <c r="T7" s="85">
        <v>4.1000000000000002E-2</v>
      </c>
    </row>
    <row r="8" spans="1:20" x14ac:dyDescent="0.2">
      <c r="A8" s="106" t="s">
        <v>609</v>
      </c>
      <c r="B8" s="113">
        <v>0</v>
      </c>
      <c r="C8" s="113">
        <v>0</v>
      </c>
      <c r="D8" s="219">
        <v>6</v>
      </c>
      <c r="E8" s="223">
        <v>16</v>
      </c>
      <c r="F8" s="110">
        <v>20</v>
      </c>
      <c r="G8" s="110">
        <v>18</v>
      </c>
      <c r="H8" s="110">
        <v>22</v>
      </c>
      <c r="I8" s="110">
        <v>8</v>
      </c>
      <c r="J8" s="110">
        <v>5</v>
      </c>
      <c r="K8" s="110">
        <v>3</v>
      </c>
      <c r="L8" s="124">
        <v>6.6369999999999996</v>
      </c>
      <c r="M8" s="124">
        <v>6</v>
      </c>
      <c r="N8" s="138">
        <v>5.9779999999999998</v>
      </c>
      <c r="O8" s="138">
        <v>6.49</v>
      </c>
      <c r="P8" s="138">
        <v>5.7409999999999997</v>
      </c>
      <c r="Q8" s="134">
        <v>5.0709999999999997</v>
      </c>
      <c r="R8" s="134">
        <v>5.7480000000000002</v>
      </c>
      <c r="S8" s="134">
        <v>6.4960000000000004</v>
      </c>
      <c r="T8" s="85">
        <v>1.5129999999999999</v>
      </c>
    </row>
    <row r="9" spans="1:20" x14ac:dyDescent="0.2">
      <c r="A9" s="106" t="s">
        <v>610</v>
      </c>
      <c r="B9" s="113">
        <v>0</v>
      </c>
      <c r="C9" s="113">
        <v>0</v>
      </c>
      <c r="D9" s="219">
        <v>2</v>
      </c>
      <c r="E9" s="223">
        <v>2</v>
      </c>
      <c r="F9" s="110" t="s">
        <v>625</v>
      </c>
      <c r="G9" s="110">
        <v>6</v>
      </c>
      <c r="H9" s="110">
        <v>7</v>
      </c>
      <c r="I9" s="110">
        <v>10</v>
      </c>
      <c r="J9" s="110">
        <v>5</v>
      </c>
      <c r="K9" s="110">
        <v>7</v>
      </c>
      <c r="L9" s="124">
        <v>16.792999999999999</v>
      </c>
      <c r="M9" s="124">
        <v>14</v>
      </c>
      <c r="N9" s="138">
        <v>10.879</v>
      </c>
      <c r="O9" s="138">
        <v>12.856</v>
      </c>
      <c r="P9" s="138">
        <v>13.523</v>
      </c>
      <c r="Q9" s="134">
        <v>15.888</v>
      </c>
      <c r="R9" s="134">
        <v>6.444</v>
      </c>
      <c r="S9" s="134">
        <v>5.3179999999999996</v>
      </c>
      <c r="T9" s="85">
        <v>1.5209999999999999</v>
      </c>
    </row>
    <row r="10" spans="1:20" ht="36" customHeight="1" x14ac:dyDescent="0.2">
      <c r="A10" s="217" t="s">
        <v>611</v>
      </c>
      <c r="B10" s="113">
        <v>0</v>
      </c>
      <c r="C10" s="113">
        <v>0</v>
      </c>
      <c r="D10" s="113">
        <v>0</v>
      </c>
      <c r="E10" s="113">
        <v>0</v>
      </c>
      <c r="F10" s="113">
        <v>0</v>
      </c>
      <c r="G10" s="113">
        <v>0</v>
      </c>
      <c r="H10" s="113">
        <v>0</v>
      </c>
      <c r="I10" s="113">
        <v>0</v>
      </c>
      <c r="J10" s="113">
        <v>0</v>
      </c>
      <c r="K10" s="113">
        <v>0</v>
      </c>
      <c r="L10" s="113">
        <v>0</v>
      </c>
      <c r="M10" s="224">
        <v>1.6E-2</v>
      </c>
      <c r="N10" s="224">
        <v>2.8000000000000001E-2</v>
      </c>
      <c r="O10" s="224">
        <v>3.9E-2</v>
      </c>
      <c r="P10" s="224">
        <v>6.4000000000000001E-2</v>
      </c>
      <c r="Q10" s="85">
        <v>9.5000000000000001E-2</v>
      </c>
      <c r="R10" s="85">
        <v>6.8000000000000005E-2</v>
      </c>
      <c r="S10" s="85">
        <v>1.0999999999999999E-2</v>
      </c>
      <c r="T10" s="85">
        <v>3.0000000000000001E-3</v>
      </c>
    </row>
    <row r="11" spans="1:20" ht="30" x14ac:dyDescent="0.2">
      <c r="A11" s="218" t="s">
        <v>612</v>
      </c>
      <c r="B11" s="113">
        <v>0</v>
      </c>
      <c r="C11" s="113">
        <v>0</v>
      </c>
      <c r="D11" s="113">
        <v>0</v>
      </c>
      <c r="E11" s="113">
        <v>0</v>
      </c>
      <c r="F11" s="113">
        <v>0</v>
      </c>
      <c r="G11" s="113">
        <v>0</v>
      </c>
      <c r="H11" s="113">
        <v>0</v>
      </c>
      <c r="I11" s="113">
        <v>0</v>
      </c>
      <c r="J11" s="113">
        <v>0</v>
      </c>
      <c r="K11" s="110">
        <v>7.3680000000000003</v>
      </c>
      <c r="L11" s="124">
        <v>8.8970000000000002</v>
      </c>
      <c r="M11" s="124">
        <v>20.556999999999999</v>
      </c>
      <c r="N11" s="138">
        <v>18.972999999999999</v>
      </c>
      <c r="O11" s="138">
        <v>21.233000000000001</v>
      </c>
      <c r="P11" s="138">
        <v>20.856000000000002</v>
      </c>
      <c r="Q11" s="134">
        <v>21.927</v>
      </c>
      <c r="R11" s="134">
        <v>20.088000000000001</v>
      </c>
      <c r="S11" s="134">
        <v>20.956</v>
      </c>
      <c r="T11" s="85">
        <v>4.9160000000000004</v>
      </c>
    </row>
    <row r="12" spans="1:20" ht="45.75" customHeight="1" x14ac:dyDescent="0.2">
      <c r="A12" s="106" t="s">
        <v>613</v>
      </c>
      <c r="B12" s="225">
        <v>3.024</v>
      </c>
      <c r="C12" s="225">
        <v>3.0609999999999999</v>
      </c>
      <c r="D12" s="226">
        <v>3.589</v>
      </c>
      <c r="E12" s="227">
        <v>4.726</v>
      </c>
      <c r="F12" s="227">
        <v>7</v>
      </c>
      <c r="G12" s="124">
        <v>4.9630000000000001</v>
      </c>
      <c r="H12" s="124">
        <v>4</v>
      </c>
      <c r="I12" s="113">
        <v>0</v>
      </c>
      <c r="J12" s="113">
        <v>0</v>
      </c>
      <c r="K12" s="113">
        <v>0</v>
      </c>
      <c r="L12" s="113">
        <v>0</v>
      </c>
      <c r="M12" s="113">
        <v>0</v>
      </c>
      <c r="N12" s="113">
        <v>0</v>
      </c>
      <c r="O12" s="113">
        <v>0</v>
      </c>
      <c r="P12" s="113">
        <v>0</v>
      </c>
      <c r="Q12" s="113">
        <v>0</v>
      </c>
      <c r="R12" s="113">
        <v>0</v>
      </c>
      <c r="S12" s="113">
        <v>0</v>
      </c>
      <c r="T12" s="113">
        <v>0</v>
      </c>
    </row>
    <row r="13" spans="1:20" x14ac:dyDescent="0.2">
      <c r="A13" s="106" t="s">
        <v>614</v>
      </c>
      <c r="B13" s="113">
        <v>0</v>
      </c>
      <c r="C13" s="113">
        <v>0</v>
      </c>
      <c r="D13" s="113">
        <v>0</v>
      </c>
      <c r="E13" s="79">
        <v>1.052</v>
      </c>
      <c r="F13" s="79">
        <v>1</v>
      </c>
      <c r="G13" s="124">
        <v>0.59299999999999997</v>
      </c>
      <c r="H13" s="113">
        <v>0</v>
      </c>
      <c r="I13" s="113">
        <v>0</v>
      </c>
      <c r="J13" s="113">
        <v>0</v>
      </c>
      <c r="K13" s="113">
        <v>0</v>
      </c>
      <c r="L13" s="113">
        <v>0</v>
      </c>
      <c r="M13" s="113">
        <v>0</v>
      </c>
      <c r="N13" s="113">
        <v>0</v>
      </c>
      <c r="O13" s="113">
        <v>0</v>
      </c>
      <c r="P13" s="113">
        <v>0</v>
      </c>
      <c r="Q13" s="113">
        <v>0</v>
      </c>
      <c r="R13" s="113">
        <v>0</v>
      </c>
      <c r="S13" s="113">
        <v>0</v>
      </c>
      <c r="T13" s="113">
        <v>0</v>
      </c>
    </row>
    <row r="14" spans="1:20" x14ac:dyDescent="0.2">
      <c r="A14" s="106" t="s">
        <v>615</v>
      </c>
      <c r="B14" s="216">
        <v>2.657</v>
      </c>
      <c r="C14" s="227">
        <v>3.044</v>
      </c>
      <c r="D14" s="79">
        <v>3.286</v>
      </c>
      <c r="E14" s="79">
        <v>6.8090000000000002</v>
      </c>
      <c r="F14" s="79">
        <v>7</v>
      </c>
      <c r="G14" s="43">
        <v>5.7670000000000003</v>
      </c>
      <c r="H14" s="43">
        <v>5</v>
      </c>
      <c r="I14" s="43">
        <v>1</v>
      </c>
      <c r="J14" s="43">
        <v>1</v>
      </c>
      <c r="K14" s="113">
        <v>0</v>
      </c>
      <c r="L14" s="113">
        <v>0</v>
      </c>
      <c r="M14" s="113">
        <v>0</v>
      </c>
      <c r="N14" s="113">
        <v>0</v>
      </c>
      <c r="O14" s="113">
        <v>0</v>
      </c>
      <c r="P14" s="113">
        <v>0</v>
      </c>
      <c r="Q14" s="113">
        <v>0</v>
      </c>
      <c r="R14" s="113">
        <v>0</v>
      </c>
      <c r="S14" s="113">
        <v>0</v>
      </c>
      <c r="T14" s="113">
        <v>0</v>
      </c>
    </row>
    <row r="15" spans="1:20" ht="48.75" customHeight="1" x14ac:dyDescent="0.2">
      <c r="A15" s="106" t="s">
        <v>588</v>
      </c>
      <c r="B15" s="216">
        <f>SUM(B14,B13,B12,B5)</f>
        <v>5.681</v>
      </c>
      <c r="C15" s="216">
        <f t="shared" ref="C15:L15" si="0">SUM(C14,C13,C12,C5)</f>
        <v>6.1050000000000004</v>
      </c>
      <c r="D15" s="216">
        <f t="shared" si="0"/>
        <v>111.875</v>
      </c>
      <c r="E15" s="216">
        <f t="shared" si="0"/>
        <v>207.58699999999999</v>
      </c>
      <c r="F15" s="216">
        <f t="shared" si="0"/>
        <v>207</v>
      </c>
      <c r="G15" s="216">
        <f t="shared" si="0"/>
        <v>194.32300000000001</v>
      </c>
      <c r="H15" s="216">
        <f t="shared" si="0"/>
        <v>121</v>
      </c>
      <c r="I15" s="216">
        <f t="shared" si="0"/>
        <v>111</v>
      </c>
      <c r="J15" s="216">
        <f t="shared" si="0"/>
        <v>75</v>
      </c>
      <c r="K15" s="216">
        <f t="shared" si="0"/>
        <v>31</v>
      </c>
      <c r="L15" s="216">
        <f t="shared" si="0"/>
        <v>54.015999999999998</v>
      </c>
      <c r="M15" s="221">
        <v>0.56299999999999994</v>
      </c>
      <c r="N15" s="221">
        <v>0.70599999999999996</v>
      </c>
      <c r="O15" s="221">
        <v>0.68600000000000005</v>
      </c>
      <c r="P15" s="221">
        <v>0.67300000000000004</v>
      </c>
      <c r="Q15" s="228">
        <f>Q5</f>
        <v>0.47899999999999998</v>
      </c>
      <c r="R15" s="228">
        <f>R5</f>
        <v>0.72099999999999997</v>
      </c>
      <c r="S15" s="228">
        <f>S5</f>
        <v>0.41099999999999998</v>
      </c>
      <c r="T15" s="228">
        <f>T5</f>
        <v>4.4999999999999998E-2</v>
      </c>
    </row>
    <row r="16" spans="1:20" ht="34.5" customHeight="1" x14ac:dyDescent="0.2">
      <c r="A16" s="106" t="s">
        <v>587</v>
      </c>
      <c r="B16" s="216">
        <v>0</v>
      </c>
      <c r="C16" s="216">
        <v>0</v>
      </c>
      <c r="D16" s="216">
        <f>SUM(D6:D9)</f>
        <v>44</v>
      </c>
      <c r="E16" s="216">
        <f t="shared" ref="E16:J16" si="1">SUM(E6:E9)</f>
        <v>77</v>
      </c>
      <c r="F16" s="216">
        <f t="shared" si="1"/>
        <v>85</v>
      </c>
      <c r="G16" s="216">
        <f t="shared" si="1"/>
        <v>88</v>
      </c>
      <c r="H16" s="216">
        <f t="shared" si="1"/>
        <v>63</v>
      </c>
      <c r="I16" s="216">
        <f t="shared" si="1"/>
        <v>55</v>
      </c>
      <c r="J16" s="216">
        <f t="shared" si="1"/>
        <v>35</v>
      </c>
      <c r="K16" s="216">
        <f t="shared" ref="K16:T16" si="2">SUM(K6:K11)</f>
        <v>27.368000000000002</v>
      </c>
      <c r="L16" s="216">
        <f t="shared" si="2"/>
        <v>60.555</v>
      </c>
      <c r="M16" s="216">
        <f t="shared" si="2"/>
        <v>41.075999999999993</v>
      </c>
      <c r="N16" s="216">
        <f t="shared" si="2"/>
        <v>36.347999999999999</v>
      </c>
      <c r="O16" s="216">
        <f t="shared" si="2"/>
        <v>41.165000000000006</v>
      </c>
      <c r="P16" s="216">
        <f t="shared" si="2"/>
        <v>40.64</v>
      </c>
      <c r="Q16" s="216">
        <f t="shared" si="2"/>
        <v>43.397999999999996</v>
      </c>
      <c r="R16" s="216">
        <f t="shared" si="2"/>
        <v>32.841000000000001</v>
      </c>
      <c r="S16" s="216">
        <f t="shared" si="2"/>
        <v>33.120999999999995</v>
      </c>
      <c r="T16" s="216">
        <f t="shared" si="2"/>
        <v>7.9950000000000001</v>
      </c>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32"/>
  <sheetViews>
    <sheetView zoomScaleNormal="100" workbookViewId="0">
      <pane xSplit="2" ySplit="4" topLeftCell="T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41.33203125" style="6" customWidth="1"/>
    <col min="2" max="2" width="49.21875" style="6" customWidth="1"/>
    <col min="3" max="31" width="8.109375" style="6" customWidth="1"/>
    <col min="32" max="16384" width="8.88671875" style="6"/>
  </cols>
  <sheetData>
    <row r="1" spans="1:32" s="5" customFormat="1" ht="15.75" x14ac:dyDescent="0.25">
      <c r="A1" s="1" t="s">
        <v>838</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506</v>
      </c>
      <c r="K3" s="2"/>
      <c r="L3" s="3"/>
      <c r="M3" s="4"/>
      <c r="N3" s="4"/>
      <c r="O3" s="2"/>
    </row>
    <row r="4" spans="1:32" s="260" customFormat="1" ht="32.25" customHeight="1" x14ac:dyDescent="0.25">
      <c r="A4" s="259" t="s">
        <v>453</v>
      </c>
      <c r="B4" s="259" t="s">
        <v>495</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484</v>
      </c>
      <c r="AF4" s="245" t="s">
        <v>854</v>
      </c>
    </row>
    <row r="5" spans="1:32" x14ac:dyDescent="0.2">
      <c r="A5" s="5" t="s">
        <v>454</v>
      </c>
      <c r="B5" s="5" t="s">
        <v>870</v>
      </c>
      <c r="C5" s="115">
        <v>1296.3</v>
      </c>
      <c r="D5" s="115">
        <v>1296.4000000000001</v>
      </c>
      <c r="E5" s="115">
        <v>1304.2</v>
      </c>
      <c r="F5" s="115">
        <v>1321.8</v>
      </c>
      <c r="G5" s="115">
        <v>936.5</v>
      </c>
      <c r="H5" s="115">
        <v>929.8</v>
      </c>
      <c r="I5" s="116">
        <v>904.8</v>
      </c>
      <c r="J5" s="111">
        <v>894.9</v>
      </c>
      <c r="K5" s="111">
        <v>916.79299999999989</v>
      </c>
      <c r="L5" s="111">
        <v>964.57200000000012</v>
      </c>
      <c r="M5" s="90">
        <v>897.68100000000004</v>
      </c>
      <c r="N5" s="90">
        <v>959.79799999999989</v>
      </c>
      <c r="O5" s="90">
        <v>1001.0789999999998</v>
      </c>
      <c r="P5" s="90">
        <v>1018.9180000000001</v>
      </c>
      <c r="Q5" s="90">
        <v>1031.4190000000001</v>
      </c>
      <c r="R5" s="90">
        <v>1068.0999999999999</v>
      </c>
      <c r="S5" s="90">
        <v>1041.604</v>
      </c>
      <c r="T5" s="90">
        <v>1111.877</v>
      </c>
      <c r="U5" s="90">
        <v>1078.73</v>
      </c>
      <c r="V5" s="90">
        <v>1062.076</v>
      </c>
      <c r="W5" s="90">
        <v>1045.54</v>
      </c>
      <c r="X5" s="90">
        <v>1064.32</v>
      </c>
      <c r="Y5" s="90">
        <v>1096</v>
      </c>
      <c r="Z5" s="90">
        <v>1169</v>
      </c>
      <c r="AA5" s="90">
        <v>1356</v>
      </c>
      <c r="AB5" s="90">
        <v>1428</v>
      </c>
      <c r="AC5" s="90">
        <v>1429</v>
      </c>
      <c r="AD5" s="90">
        <v>1494</v>
      </c>
      <c r="AE5" s="90">
        <v>803.55399999999997</v>
      </c>
      <c r="AF5" s="244">
        <v>1259.4680000000001</v>
      </c>
    </row>
    <row r="6" spans="1:32" x14ac:dyDescent="0.2">
      <c r="A6" s="5" t="s">
        <v>454</v>
      </c>
      <c r="B6" s="5" t="s">
        <v>872</v>
      </c>
      <c r="C6" s="115">
        <v>131</v>
      </c>
      <c r="D6" s="115">
        <v>133.1</v>
      </c>
      <c r="E6" s="115">
        <v>127.8</v>
      </c>
      <c r="F6" s="115">
        <v>96.4</v>
      </c>
      <c r="G6" s="115">
        <v>95.4</v>
      </c>
      <c r="H6" s="115">
        <v>94.9</v>
      </c>
      <c r="I6" s="116">
        <v>96</v>
      </c>
      <c r="J6" s="108">
        <v>100.38800000000001</v>
      </c>
      <c r="K6" s="111">
        <v>100.38800000000001</v>
      </c>
      <c r="L6" s="111">
        <v>98.465000000000003</v>
      </c>
      <c r="M6" s="111">
        <v>99.710000000000008</v>
      </c>
      <c r="N6" s="111">
        <v>96.951999999999998</v>
      </c>
      <c r="O6" s="111">
        <v>99.09</v>
      </c>
      <c r="P6" s="111">
        <v>104.40200000000002</v>
      </c>
      <c r="Q6" s="111">
        <v>105.172</v>
      </c>
      <c r="R6" s="111">
        <v>109.6</v>
      </c>
      <c r="S6" s="111">
        <v>110.245</v>
      </c>
      <c r="T6" s="111">
        <v>103.96700000000001</v>
      </c>
      <c r="U6" s="111">
        <v>108.053</v>
      </c>
      <c r="V6" s="111">
        <v>111.26500000000001</v>
      </c>
      <c r="W6" s="111">
        <v>110.48699999999999</v>
      </c>
      <c r="X6" s="111">
        <v>103.79900000000001</v>
      </c>
      <c r="Y6" s="111">
        <v>104</v>
      </c>
      <c r="Z6" s="133">
        <v>98</v>
      </c>
      <c r="AA6" s="133">
        <v>89</v>
      </c>
      <c r="AB6" s="133">
        <v>91</v>
      </c>
      <c r="AC6" s="133">
        <v>91</v>
      </c>
      <c r="AD6" s="133">
        <v>91</v>
      </c>
      <c r="AE6" s="133">
        <v>70.001000000000005</v>
      </c>
      <c r="AF6" s="114">
        <v>84.706000000000003</v>
      </c>
    </row>
    <row r="7" spans="1:32" x14ac:dyDescent="0.2">
      <c r="A7" s="5" t="s">
        <v>454</v>
      </c>
      <c r="B7" s="5" t="s">
        <v>497</v>
      </c>
      <c r="C7" s="115"/>
      <c r="D7" s="115"/>
      <c r="E7" s="115"/>
      <c r="F7" s="115"/>
      <c r="G7" s="115"/>
      <c r="H7" s="115"/>
      <c r="I7" s="115"/>
      <c r="J7" s="115"/>
      <c r="K7" s="115"/>
      <c r="L7" s="115"/>
      <c r="M7" s="115"/>
      <c r="N7" s="115"/>
      <c r="O7" s="115"/>
      <c r="P7" s="115"/>
      <c r="Q7" s="115">
        <v>83.816000000000003</v>
      </c>
      <c r="R7" s="115">
        <v>83.816000000000003</v>
      </c>
      <c r="S7" s="115">
        <v>85.399000000000001</v>
      </c>
      <c r="T7" s="115">
        <v>75.606000000000009</v>
      </c>
      <c r="U7" s="115">
        <v>74.516999999999996</v>
      </c>
      <c r="V7" s="115">
        <v>64.900000000000006</v>
      </c>
      <c r="W7" s="115">
        <v>27.349</v>
      </c>
      <c r="X7" s="115"/>
      <c r="Y7" s="116"/>
      <c r="Z7" s="117"/>
      <c r="AA7" s="117"/>
      <c r="AB7" s="117"/>
      <c r="AC7" s="117"/>
      <c r="AD7" s="117"/>
      <c r="AE7" s="117"/>
      <c r="AF7" s="244"/>
    </row>
    <row r="8" spans="1:32" x14ac:dyDescent="0.2">
      <c r="A8" s="5" t="s">
        <v>454</v>
      </c>
      <c r="B8" s="5" t="s">
        <v>498</v>
      </c>
      <c r="C8" s="115"/>
      <c r="D8" s="115"/>
      <c r="E8" s="115"/>
      <c r="F8" s="115"/>
      <c r="G8" s="115"/>
      <c r="H8" s="115"/>
      <c r="I8" s="115"/>
      <c r="J8" s="115"/>
      <c r="K8" s="115"/>
      <c r="L8" s="115"/>
      <c r="M8" s="115"/>
      <c r="N8" s="115"/>
      <c r="O8" s="115"/>
      <c r="P8" s="115"/>
      <c r="Q8" s="115"/>
      <c r="R8" s="115"/>
      <c r="S8" s="115"/>
      <c r="T8" s="115"/>
      <c r="U8" s="115"/>
      <c r="V8" s="115"/>
      <c r="W8" s="115"/>
      <c r="X8" s="115"/>
      <c r="Y8" s="116"/>
      <c r="Z8" s="117"/>
      <c r="AA8" s="117"/>
      <c r="AB8" s="117"/>
      <c r="AC8" s="117"/>
      <c r="AD8" s="117"/>
      <c r="AE8" s="117"/>
      <c r="AF8" s="244"/>
    </row>
    <row r="9" spans="1:32" x14ac:dyDescent="0.2">
      <c r="A9" s="5" t="s">
        <v>454</v>
      </c>
      <c r="B9" s="5" t="s">
        <v>871</v>
      </c>
      <c r="C9" s="115">
        <v>6213.7</v>
      </c>
      <c r="D9" s="115">
        <v>6201.4</v>
      </c>
      <c r="E9" s="115">
        <v>6194.1</v>
      </c>
      <c r="F9" s="115">
        <v>6377.2</v>
      </c>
      <c r="G9" s="115">
        <v>5077.3</v>
      </c>
      <c r="H9" s="115">
        <v>5109.8</v>
      </c>
      <c r="I9" s="116">
        <v>4817.6000000000004</v>
      </c>
      <c r="J9" s="112">
        <v>4803</v>
      </c>
      <c r="K9" s="112">
        <v>4776.7</v>
      </c>
      <c r="L9" s="112">
        <v>4810.8</v>
      </c>
      <c r="M9" s="112">
        <v>4873.7269999999999</v>
      </c>
      <c r="N9" s="112">
        <v>5162.9620000000004</v>
      </c>
      <c r="O9" s="112">
        <v>5311.0560000000005</v>
      </c>
      <c r="P9" s="112">
        <v>5358.2470000000003</v>
      </c>
      <c r="Q9" s="112">
        <v>4774.6360000000004</v>
      </c>
      <c r="R9" s="112">
        <v>4732.2</v>
      </c>
      <c r="S9" s="112">
        <v>4533.219000000001</v>
      </c>
      <c r="T9" s="112">
        <v>4762.3329999999996</v>
      </c>
      <c r="U9" s="112">
        <v>4736.5519999999997</v>
      </c>
      <c r="V9" s="112">
        <v>4575</v>
      </c>
      <c r="W9" s="112">
        <v>4510.7330000000002</v>
      </c>
      <c r="X9" s="112">
        <v>4594.5200000000004</v>
      </c>
      <c r="Y9" s="112">
        <v>4654</v>
      </c>
      <c r="Z9" s="116">
        <v>4627</v>
      </c>
      <c r="AA9" s="116">
        <v>5056</v>
      </c>
      <c r="AB9" s="116">
        <v>5237</v>
      </c>
      <c r="AC9" s="116">
        <v>5253</v>
      </c>
      <c r="AD9" s="116">
        <v>5686</v>
      </c>
      <c r="AE9" s="116">
        <v>2370.4259999999999</v>
      </c>
      <c r="AF9" s="244">
        <v>3949.62</v>
      </c>
    </row>
    <row r="10" spans="1:32" x14ac:dyDescent="0.2">
      <c r="A10" s="5" t="s">
        <v>454</v>
      </c>
      <c r="B10" s="5" t="s">
        <v>500</v>
      </c>
      <c r="C10" s="115"/>
      <c r="D10" s="115"/>
      <c r="E10" s="115"/>
      <c r="F10" s="115"/>
      <c r="G10" s="115"/>
      <c r="H10" s="115"/>
      <c r="I10" s="116"/>
      <c r="J10" s="112"/>
      <c r="K10" s="112"/>
      <c r="L10" s="112"/>
      <c r="M10" s="112"/>
      <c r="N10" s="112"/>
      <c r="O10" s="112"/>
      <c r="P10" s="112"/>
      <c r="Q10" s="118">
        <v>615.21500000000003</v>
      </c>
      <c r="R10" s="118">
        <v>607.20000000000005</v>
      </c>
      <c r="S10" s="118">
        <v>550.84900000000005</v>
      </c>
      <c r="T10" s="118">
        <v>533.47900000000004</v>
      </c>
      <c r="U10" s="118">
        <v>499.22800000000001</v>
      </c>
      <c r="V10" s="112"/>
      <c r="W10" s="112"/>
      <c r="X10" s="112"/>
      <c r="Y10" s="112"/>
      <c r="Z10" s="117"/>
      <c r="AA10" s="117"/>
      <c r="AB10" s="117"/>
      <c r="AC10" s="117"/>
      <c r="AD10" s="117"/>
      <c r="AE10" s="117"/>
      <c r="AF10" s="244"/>
    </row>
    <row r="11" spans="1:32" x14ac:dyDescent="0.2">
      <c r="A11" s="5" t="s">
        <v>454</v>
      </c>
      <c r="B11" s="5" t="s">
        <v>505</v>
      </c>
      <c r="C11" s="115"/>
      <c r="D11" s="115"/>
      <c r="E11" s="115"/>
      <c r="F11" s="115"/>
      <c r="G11" s="115"/>
      <c r="H11" s="115"/>
      <c r="I11" s="116"/>
      <c r="J11" s="112"/>
      <c r="K11" s="112"/>
      <c r="L11" s="112"/>
      <c r="M11" s="112"/>
      <c r="N11" s="112"/>
      <c r="O11" s="112"/>
      <c r="P11" s="112"/>
      <c r="Q11" s="112"/>
      <c r="R11" s="112"/>
      <c r="S11" s="112"/>
      <c r="T11" s="112"/>
      <c r="U11" s="112"/>
      <c r="V11" s="118">
        <v>409.23599999999999</v>
      </c>
      <c r="W11" s="119">
        <v>341.274</v>
      </c>
      <c r="X11" s="119">
        <v>299.24</v>
      </c>
      <c r="Y11" s="118">
        <v>310.10000000000002</v>
      </c>
      <c r="Z11" s="117">
        <v>305.5</v>
      </c>
      <c r="AA11" s="117">
        <v>303.39999999999998</v>
      </c>
      <c r="AB11" s="117">
        <v>301.8</v>
      </c>
      <c r="AC11" s="117">
        <v>288</v>
      </c>
      <c r="AD11" s="120">
        <v>0</v>
      </c>
      <c r="AE11" s="120">
        <v>0</v>
      </c>
      <c r="AF11" s="120">
        <v>0</v>
      </c>
    </row>
    <row r="12" spans="1:32" x14ac:dyDescent="0.2">
      <c r="A12" s="5" t="s">
        <v>454</v>
      </c>
      <c r="B12" s="2" t="s">
        <v>869</v>
      </c>
      <c r="C12" s="121">
        <v>3.3</v>
      </c>
      <c r="D12" s="121">
        <v>3.3</v>
      </c>
      <c r="E12" s="121">
        <v>3.1</v>
      </c>
      <c r="F12" s="121">
        <v>3</v>
      </c>
      <c r="G12" s="121">
        <v>3</v>
      </c>
      <c r="H12" s="119">
        <v>3</v>
      </c>
      <c r="I12" s="122">
        <v>3</v>
      </c>
      <c r="J12" s="122">
        <v>3</v>
      </c>
      <c r="K12" s="122">
        <v>3</v>
      </c>
      <c r="L12" s="122">
        <v>3</v>
      </c>
      <c r="M12" s="122">
        <v>3</v>
      </c>
      <c r="N12" s="122">
        <v>3</v>
      </c>
      <c r="O12" s="122">
        <v>3</v>
      </c>
      <c r="P12" s="122">
        <v>3</v>
      </c>
      <c r="Q12" s="122">
        <v>3</v>
      </c>
      <c r="R12" s="122">
        <v>3</v>
      </c>
      <c r="S12" s="122">
        <v>3</v>
      </c>
      <c r="T12" s="122">
        <v>3</v>
      </c>
      <c r="U12" s="122">
        <v>3</v>
      </c>
      <c r="V12" s="122">
        <v>3</v>
      </c>
      <c r="W12" s="122">
        <v>3</v>
      </c>
      <c r="X12" s="119">
        <v>3</v>
      </c>
      <c r="Y12" s="118">
        <v>0.42110000000000003</v>
      </c>
      <c r="Z12" s="118">
        <v>0.42247000000000001</v>
      </c>
      <c r="AA12" s="118">
        <v>0.42266999999999999</v>
      </c>
      <c r="AB12" s="118">
        <v>0.43180000000000002</v>
      </c>
      <c r="AC12" s="118">
        <v>0.43191000000000002</v>
      </c>
      <c r="AD12" s="119">
        <v>0.43166000000000004</v>
      </c>
      <c r="AE12" s="118">
        <v>0.43927999999999995</v>
      </c>
      <c r="AF12" s="215">
        <v>0.50080999999999998</v>
      </c>
    </row>
    <row r="13" spans="1:32" x14ac:dyDescent="0.2">
      <c r="A13" s="5" t="s">
        <v>454</v>
      </c>
      <c r="B13" s="2" t="s">
        <v>626</v>
      </c>
      <c r="C13" s="123">
        <v>26929</v>
      </c>
      <c r="D13" s="123">
        <v>28677</v>
      </c>
      <c r="E13" s="123">
        <v>30694</v>
      </c>
      <c r="F13" s="123">
        <v>34200</v>
      </c>
      <c r="G13" s="115">
        <v>34753</v>
      </c>
      <c r="H13" s="115">
        <v>36241</v>
      </c>
      <c r="I13" s="124">
        <v>36544</v>
      </c>
      <c r="J13" s="124">
        <v>37429</v>
      </c>
      <c r="K13" s="124">
        <v>38571</v>
      </c>
      <c r="L13" s="124">
        <v>39768</v>
      </c>
      <c r="M13" s="124">
        <v>43844</v>
      </c>
      <c r="N13" s="124">
        <v>45829</v>
      </c>
      <c r="O13" s="124">
        <v>49861</v>
      </c>
      <c r="P13" s="124">
        <v>51687</v>
      </c>
      <c r="Q13" s="124">
        <v>55205</v>
      </c>
      <c r="R13" s="124">
        <v>59204</v>
      </c>
      <c r="S13" s="124">
        <v>57950</v>
      </c>
      <c r="T13" s="124">
        <v>55856</v>
      </c>
      <c r="U13" s="124">
        <v>57535</v>
      </c>
      <c r="V13" s="124">
        <v>58667</v>
      </c>
      <c r="W13" s="124">
        <v>62118</v>
      </c>
      <c r="X13" s="124">
        <v>64717</v>
      </c>
      <c r="Y13" s="124">
        <v>67658</v>
      </c>
      <c r="Z13" s="116">
        <v>66055</v>
      </c>
      <c r="AA13" s="116">
        <v>63533</v>
      </c>
      <c r="AB13" s="116">
        <v>69375</v>
      </c>
      <c r="AC13" s="116">
        <v>73367</v>
      </c>
      <c r="AD13" s="116">
        <v>75783</v>
      </c>
      <c r="AE13" s="116">
        <v>41800</v>
      </c>
      <c r="AF13" s="116">
        <v>70099</v>
      </c>
    </row>
    <row r="14" spans="1:32" x14ac:dyDescent="0.2">
      <c r="A14" s="5" t="s">
        <v>454</v>
      </c>
      <c r="B14" s="2" t="s">
        <v>629</v>
      </c>
      <c r="C14" s="123">
        <v>6050</v>
      </c>
      <c r="D14" s="123">
        <v>10600</v>
      </c>
      <c r="E14" s="123">
        <v>6730</v>
      </c>
      <c r="F14" s="123">
        <v>8282</v>
      </c>
      <c r="G14" s="115">
        <v>11674</v>
      </c>
      <c r="H14" s="115">
        <v>10310</v>
      </c>
      <c r="I14" s="124">
        <v>14436</v>
      </c>
      <c r="J14" s="124">
        <v>14975</v>
      </c>
      <c r="K14" s="124">
        <v>19376</v>
      </c>
      <c r="L14" s="124">
        <v>20400</v>
      </c>
      <c r="M14" s="124">
        <v>18900</v>
      </c>
      <c r="N14" s="124">
        <v>25919</v>
      </c>
      <c r="O14" s="124">
        <v>25900</v>
      </c>
      <c r="P14" s="124">
        <v>31400</v>
      </c>
      <c r="Q14" s="124">
        <v>33200</v>
      </c>
      <c r="R14" s="124">
        <v>38286</v>
      </c>
      <c r="S14" s="124">
        <v>53338</v>
      </c>
      <c r="T14" s="124">
        <v>57338</v>
      </c>
      <c r="U14" s="124">
        <v>58113</v>
      </c>
      <c r="V14" s="124">
        <v>69308</v>
      </c>
      <c r="W14" s="124">
        <v>73163</v>
      </c>
      <c r="X14" s="124">
        <v>88777</v>
      </c>
      <c r="Y14" s="124">
        <v>103397</v>
      </c>
      <c r="Z14" s="116">
        <v>122602</v>
      </c>
      <c r="AA14" s="116">
        <v>132016</v>
      </c>
      <c r="AB14" s="116">
        <v>136820</v>
      </c>
      <c r="AC14" s="116">
        <v>134123</v>
      </c>
      <c r="AD14" s="116">
        <v>148852</v>
      </c>
      <c r="AE14" s="116">
        <v>156858</v>
      </c>
      <c r="AF14" s="116">
        <v>158292</v>
      </c>
    </row>
    <row r="15" spans="1:32" ht="15.75" x14ac:dyDescent="0.25">
      <c r="A15" s="5" t="s">
        <v>454</v>
      </c>
      <c r="B15" s="2" t="s">
        <v>630</v>
      </c>
      <c r="C15" s="2"/>
      <c r="D15" s="281"/>
      <c r="E15" s="85"/>
      <c r="F15" s="85"/>
      <c r="G15" s="117"/>
      <c r="H15" s="117"/>
      <c r="I15" s="142"/>
      <c r="J15" s="282"/>
      <c r="K15" s="125"/>
      <c r="L15" s="125"/>
      <c r="M15" s="125"/>
      <c r="N15" s="125"/>
      <c r="O15" s="125"/>
      <c r="P15" s="125"/>
      <c r="Q15" s="125"/>
      <c r="R15" s="124">
        <v>2270</v>
      </c>
      <c r="S15" s="124">
        <v>3130</v>
      </c>
      <c r="T15" s="124">
        <v>3040</v>
      </c>
      <c r="U15" s="124">
        <v>3163</v>
      </c>
      <c r="V15" s="124">
        <v>1008</v>
      </c>
      <c r="W15" s="125"/>
      <c r="X15" s="125"/>
      <c r="Y15" s="125"/>
      <c r="Z15" s="117"/>
      <c r="AA15" s="117"/>
      <c r="AB15" s="117"/>
      <c r="AC15" s="117"/>
      <c r="AD15" s="5"/>
      <c r="AE15" s="5"/>
      <c r="AF15" s="244"/>
    </row>
    <row r="16" spans="1:32" ht="15.75" x14ac:dyDescent="0.25">
      <c r="A16" s="5" t="s">
        <v>454</v>
      </c>
      <c r="B16" s="2" t="s">
        <v>633</v>
      </c>
      <c r="C16" s="2"/>
      <c r="D16" s="281"/>
      <c r="E16" s="85"/>
      <c r="F16" s="85"/>
      <c r="G16" s="117"/>
      <c r="H16" s="117"/>
      <c r="I16" s="142"/>
      <c r="J16" s="282"/>
      <c r="K16" s="125"/>
      <c r="L16" s="125"/>
      <c r="M16" s="125"/>
      <c r="N16" s="125"/>
      <c r="O16" s="125"/>
      <c r="P16" s="125"/>
      <c r="Q16" s="125"/>
      <c r="R16" s="125"/>
      <c r="S16" s="125"/>
      <c r="T16" s="125"/>
      <c r="U16" s="125"/>
      <c r="V16" s="124">
        <v>1309</v>
      </c>
      <c r="W16" s="124">
        <v>1616</v>
      </c>
      <c r="X16" s="124">
        <v>3037</v>
      </c>
      <c r="Y16" s="124">
        <v>3542</v>
      </c>
      <c r="Z16" s="116">
        <v>3440</v>
      </c>
      <c r="AA16" s="116">
        <v>3633</v>
      </c>
      <c r="AB16" s="116">
        <v>4052</v>
      </c>
      <c r="AC16" s="116">
        <v>4905</v>
      </c>
      <c r="AD16" s="126" t="s">
        <v>37</v>
      </c>
      <c r="AE16" s="126" t="s">
        <v>37</v>
      </c>
      <c r="AF16" s="126" t="s">
        <v>37</v>
      </c>
    </row>
    <row r="17" spans="1:32" ht="44.25" customHeight="1" x14ac:dyDescent="0.2">
      <c r="A17" s="5" t="s">
        <v>634</v>
      </c>
      <c r="B17" s="5" t="s">
        <v>496</v>
      </c>
      <c r="C17" s="115">
        <v>48</v>
      </c>
      <c r="D17" s="115">
        <v>49</v>
      </c>
      <c r="E17" s="115">
        <v>50</v>
      </c>
      <c r="F17" s="115">
        <v>53</v>
      </c>
      <c r="G17" s="115">
        <v>58</v>
      </c>
      <c r="H17" s="115">
        <v>60</v>
      </c>
      <c r="I17" s="125">
        <v>60</v>
      </c>
      <c r="J17" s="125">
        <v>61</v>
      </c>
      <c r="K17" s="125">
        <v>62</v>
      </c>
      <c r="L17" s="125">
        <v>51</v>
      </c>
      <c r="M17" s="125">
        <v>40.1</v>
      </c>
      <c r="N17" s="125"/>
      <c r="O17" s="125"/>
      <c r="P17" s="125"/>
      <c r="Q17" s="125"/>
      <c r="R17" s="125"/>
      <c r="S17" s="125"/>
      <c r="T17" s="125"/>
      <c r="U17" s="125"/>
      <c r="V17" s="125"/>
      <c r="W17" s="125"/>
      <c r="X17" s="5"/>
      <c r="Y17" s="5"/>
      <c r="Z17" s="5"/>
      <c r="AA17" s="5"/>
      <c r="AB17" s="5"/>
      <c r="AC17" s="5"/>
      <c r="AD17" s="5"/>
      <c r="AE17" s="5"/>
      <c r="AF17" s="244"/>
    </row>
    <row r="18" spans="1:32" x14ac:dyDescent="0.2">
      <c r="A18" s="5" t="s">
        <v>634</v>
      </c>
      <c r="B18" s="5" t="s">
        <v>501</v>
      </c>
      <c r="C18" s="115">
        <v>12.9</v>
      </c>
      <c r="D18" s="115">
        <v>12.6</v>
      </c>
      <c r="E18" s="115">
        <v>12.3</v>
      </c>
      <c r="F18" s="115">
        <v>13.8</v>
      </c>
      <c r="G18" s="115">
        <v>14.5</v>
      </c>
      <c r="H18" s="115">
        <v>15.6</v>
      </c>
      <c r="I18" s="125">
        <v>17</v>
      </c>
      <c r="J18" s="125">
        <v>17</v>
      </c>
      <c r="K18" s="125">
        <v>20</v>
      </c>
      <c r="L18" s="125">
        <v>22</v>
      </c>
      <c r="M18" s="125">
        <v>16</v>
      </c>
      <c r="N18" s="125"/>
      <c r="O18" s="125"/>
      <c r="P18" s="125"/>
      <c r="Q18" s="125"/>
      <c r="R18" s="125"/>
      <c r="S18" s="125"/>
      <c r="T18" s="125"/>
      <c r="U18" s="125"/>
      <c r="V18" s="125"/>
      <c r="W18" s="125"/>
      <c r="X18" s="5"/>
      <c r="Y18" s="5"/>
      <c r="Z18" s="5"/>
      <c r="AA18" s="5"/>
      <c r="AB18" s="5"/>
      <c r="AC18" s="5"/>
      <c r="AD18" s="5"/>
      <c r="AE18" s="5"/>
      <c r="AF18" s="244"/>
    </row>
    <row r="19" spans="1:32" x14ac:dyDescent="0.2">
      <c r="A19" s="5" t="s">
        <v>634</v>
      </c>
      <c r="B19" s="5" t="s">
        <v>499</v>
      </c>
      <c r="C19" s="123">
        <v>225.8</v>
      </c>
      <c r="D19" s="123">
        <v>213.9</v>
      </c>
      <c r="E19" s="123">
        <v>214</v>
      </c>
      <c r="F19" s="115">
        <v>220</v>
      </c>
      <c r="G19" s="115">
        <v>236</v>
      </c>
      <c r="H19" s="127">
        <v>245</v>
      </c>
      <c r="I19" s="124">
        <v>239</v>
      </c>
      <c r="J19" s="125">
        <v>242</v>
      </c>
      <c r="K19" s="125">
        <v>239</v>
      </c>
      <c r="L19" s="125">
        <v>208</v>
      </c>
      <c r="M19" s="125">
        <v>165.5</v>
      </c>
      <c r="N19" s="125"/>
      <c r="O19" s="125"/>
      <c r="P19" s="125"/>
      <c r="Q19" s="125"/>
      <c r="R19" s="125"/>
      <c r="S19" s="125"/>
      <c r="T19" s="125"/>
      <c r="U19" s="125"/>
      <c r="V19" s="125"/>
      <c r="W19" s="125"/>
      <c r="X19" s="5"/>
      <c r="Y19" s="5"/>
      <c r="Z19" s="5"/>
      <c r="AA19" s="5"/>
      <c r="AB19" s="5"/>
      <c r="AC19" s="5"/>
      <c r="AD19" s="5"/>
      <c r="AE19" s="5"/>
      <c r="AF19" s="244"/>
    </row>
    <row r="20" spans="1:32" x14ac:dyDescent="0.2">
      <c r="A20" s="5" t="s">
        <v>634</v>
      </c>
      <c r="B20" s="5" t="s">
        <v>776</v>
      </c>
      <c r="C20" s="123">
        <v>32.9</v>
      </c>
      <c r="D20" s="123">
        <v>40.9</v>
      </c>
      <c r="E20" s="123">
        <v>43</v>
      </c>
      <c r="F20" s="115">
        <v>52</v>
      </c>
      <c r="G20" s="115">
        <v>62</v>
      </c>
      <c r="H20" s="127">
        <v>60</v>
      </c>
      <c r="I20" s="124">
        <v>52</v>
      </c>
      <c r="J20" s="125">
        <v>0</v>
      </c>
      <c r="K20" s="125">
        <v>47.3</v>
      </c>
      <c r="L20" s="125">
        <v>49.9</v>
      </c>
      <c r="M20" s="125"/>
      <c r="N20" s="125"/>
      <c r="O20" s="125"/>
      <c r="P20" s="125"/>
      <c r="Q20" s="125"/>
      <c r="R20" s="125"/>
      <c r="S20" s="125"/>
      <c r="T20" s="125"/>
      <c r="U20" s="125"/>
      <c r="V20" s="125"/>
      <c r="W20" s="125"/>
      <c r="X20" s="5"/>
      <c r="Y20" s="5"/>
      <c r="Z20" s="5"/>
      <c r="AA20" s="5"/>
      <c r="AB20" s="5"/>
      <c r="AC20" s="5"/>
      <c r="AD20" s="5"/>
      <c r="AE20" s="5"/>
      <c r="AF20" s="244"/>
    </row>
    <row r="21" spans="1:32" x14ac:dyDescent="0.2">
      <c r="A21" s="5" t="s">
        <v>634</v>
      </c>
      <c r="B21" s="2" t="s">
        <v>503</v>
      </c>
      <c r="C21" s="123">
        <v>17746</v>
      </c>
      <c r="D21" s="123">
        <v>16978</v>
      </c>
      <c r="E21" s="123">
        <v>16173</v>
      </c>
      <c r="F21" s="123">
        <v>14951</v>
      </c>
      <c r="G21" s="115">
        <v>15800</v>
      </c>
      <c r="H21" s="115">
        <v>14484</v>
      </c>
      <c r="I21" s="124">
        <v>15010</v>
      </c>
      <c r="J21" s="131">
        <v>15688</v>
      </c>
      <c r="K21" s="124">
        <v>15284</v>
      </c>
      <c r="L21" s="124">
        <v>16662</v>
      </c>
      <c r="M21" s="124">
        <v>12195</v>
      </c>
      <c r="N21" s="125"/>
      <c r="O21" s="125"/>
      <c r="P21" s="125"/>
      <c r="Q21" s="125"/>
      <c r="R21" s="125"/>
      <c r="S21" s="125"/>
      <c r="T21" s="125"/>
      <c r="U21" s="125"/>
      <c r="V21" s="125"/>
      <c r="W21" s="125"/>
      <c r="X21" s="5"/>
      <c r="Y21" s="5"/>
      <c r="Z21" s="5"/>
      <c r="AA21" s="5"/>
      <c r="AB21" s="5"/>
      <c r="AC21" s="5"/>
      <c r="AD21" s="5"/>
      <c r="AE21" s="5"/>
      <c r="AF21" s="244"/>
    </row>
    <row r="22" spans="1:32" x14ac:dyDescent="0.2">
      <c r="A22" s="5" t="s">
        <v>634</v>
      </c>
      <c r="B22" s="2" t="s">
        <v>504</v>
      </c>
      <c r="C22" s="123">
        <v>4284</v>
      </c>
      <c r="D22" s="123">
        <v>6027</v>
      </c>
      <c r="E22" s="123">
        <v>6519</v>
      </c>
      <c r="F22" s="123">
        <v>8100</v>
      </c>
      <c r="G22" s="115">
        <v>8100</v>
      </c>
      <c r="H22" s="115">
        <v>9412</v>
      </c>
      <c r="I22" s="124">
        <v>14260</v>
      </c>
      <c r="J22" s="132">
        <v>11400</v>
      </c>
      <c r="K22" s="124">
        <v>11500</v>
      </c>
      <c r="L22" s="124">
        <v>11600</v>
      </c>
      <c r="M22" s="124">
        <v>11206</v>
      </c>
      <c r="N22" s="125"/>
      <c r="O22" s="125"/>
      <c r="P22" s="125"/>
      <c r="Q22" s="125"/>
      <c r="R22" s="125"/>
      <c r="S22" s="125"/>
      <c r="T22" s="125"/>
      <c r="U22" s="125"/>
      <c r="V22" s="125"/>
      <c r="W22" s="125"/>
      <c r="X22" s="5"/>
      <c r="Y22" s="5"/>
      <c r="Z22" s="5"/>
      <c r="AA22" s="5"/>
      <c r="AB22" s="5"/>
      <c r="AC22" s="5"/>
      <c r="AD22" s="5"/>
      <c r="AE22" s="5"/>
      <c r="AF22" s="244"/>
    </row>
    <row r="23" spans="1:32" ht="37.5" customHeight="1" x14ac:dyDescent="0.2">
      <c r="A23" s="5" t="s">
        <v>644</v>
      </c>
      <c r="B23" s="5" t="s">
        <v>496</v>
      </c>
      <c r="C23" s="127"/>
      <c r="D23" s="127"/>
      <c r="E23" s="127"/>
      <c r="F23" s="127"/>
      <c r="G23" s="127"/>
      <c r="H23" s="127"/>
      <c r="I23" s="127"/>
      <c r="J23" s="127"/>
      <c r="K23" s="127"/>
      <c r="L23" s="127"/>
      <c r="M23" s="127"/>
      <c r="N23" s="133">
        <v>58.906999999999996</v>
      </c>
      <c r="O23" s="133">
        <v>64.478999999999999</v>
      </c>
      <c r="P23" s="133">
        <v>67</v>
      </c>
      <c r="Q23" s="133">
        <v>69</v>
      </c>
      <c r="R23" s="133">
        <v>70</v>
      </c>
      <c r="S23" s="133">
        <v>68</v>
      </c>
      <c r="T23" s="133">
        <v>68</v>
      </c>
      <c r="U23" s="133">
        <v>64</v>
      </c>
      <c r="V23" s="134">
        <v>63</v>
      </c>
      <c r="W23" s="135">
        <v>61.2</v>
      </c>
      <c r="X23" s="135">
        <v>55.658000000000001</v>
      </c>
      <c r="Y23" s="134">
        <v>55.335999999999999</v>
      </c>
      <c r="Z23" s="134">
        <v>58.518999999999998</v>
      </c>
      <c r="AA23" s="134">
        <v>62.81</v>
      </c>
      <c r="AB23" s="134">
        <v>66.998000000000005</v>
      </c>
      <c r="AC23" s="136">
        <v>71.462999999999994</v>
      </c>
      <c r="AD23" s="136">
        <v>76.554000000000002</v>
      </c>
      <c r="AE23" s="136">
        <v>34.642000000000003</v>
      </c>
      <c r="AF23" s="244">
        <v>63.018000000000001</v>
      </c>
    </row>
    <row r="24" spans="1:32" x14ac:dyDescent="0.2">
      <c r="A24" s="5" t="s">
        <v>644</v>
      </c>
      <c r="B24" s="5" t="s">
        <v>646</v>
      </c>
      <c r="C24" s="127"/>
      <c r="D24" s="127"/>
      <c r="E24" s="127"/>
      <c r="F24" s="127"/>
      <c r="G24" s="127"/>
      <c r="H24" s="127"/>
      <c r="I24" s="127"/>
      <c r="J24" s="127"/>
      <c r="K24" s="127"/>
      <c r="L24" s="127"/>
      <c r="M24" s="127"/>
      <c r="N24" s="137">
        <v>0.50800000000000001</v>
      </c>
      <c r="O24" s="137">
        <v>0.53700000000000003</v>
      </c>
      <c r="P24" s="133">
        <v>0.5</v>
      </c>
      <c r="Q24" s="137"/>
      <c r="R24" s="137"/>
      <c r="S24" s="137"/>
      <c r="T24" s="137"/>
      <c r="U24" s="137"/>
      <c r="V24" s="138"/>
      <c r="W24" s="138"/>
      <c r="X24" s="119">
        <v>0.40300000000000002</v>
      </c>
      <c r="Y24" s="118">
        <v>0.45300000000000001</v>
      </c>
      <c r="Z24" s="118">
        <v>0.42699999999999999</v>
      </c>
      <c r="AA24" s="119">
        <v>0.43099999999999999</v>
      </c>
      <c r="AB24" s="119">
        <v>0.56200000000000006</v>
      </c>
      <c r="AC24" s="119">
        <v>0.50900000000000001</v>
      </c>
      <c r="AD24" s="119">
        <v>0.52900000000000003</v>
      </c>
      <c r="AE24" s="247">
        <v>1.6E-2</v>
      </c>
      <c r="AF24" s="283">
        <v>3.1E-2</v>
      </c>
    </row>
    <row r="25" spans="1:32" x14ac:dyDescent="0.2">
      <c r="A25" s="5" t="s">
        <v>644</v>
      </c>
      <c r="B25" s="5" t="s">
        <v>499</v>
      </c>
      <c r="C25" s="127"/>
      <c r="D25" s="127"/>
      <c r="E25" s="127"/>
      <c r="F25" s="127"/>
      <c r="G25" s="127"/>
      <c r="H25" s="127"/>
      <c r="I25" s="127"/>
      <c r="J25" s="127"/>
      <c r="K25" s="127"/>
      <c r="L25" s="127"/>
      <c r="M25" s="127"/>
      <c r="N25" s="133">
        <v>240.60599999999999</v>
      </c>
      <c r="O25" s="133">
        <v>288.71100000000001</v>
      </c>
      <c r="P25" s="133">
        <v>300.89999999999998</v>
      </c>
      <c r="Q25" s="133">
        <v>304</v>
      </c>
      <c r="R25" s="133">
        <v>307</v>
      </c>
      <c r="S25" s="133">
        <v>296</v>
      </c>
      <c r="T25" s="133">
        <v>309</v>
      </c>
      <c r="U25" s="133">
        <v>305</v>
      </c>
      <c r="V25" s="134">
        <v>304</v>
      </c>
      <c r="W25" s="2">
        <v>298</v>
      </c>
      <c r="X25" s="135">
        <v>282.86399999999998</v>
      </c>
      <c r="Y25" s="134">
        <v>288.61200000000002</v>
      </c>
      <c r="Z25" s="134">
        <v>297.58600000000001</v>
      </c>
      <c r="AA25" s="134">
        <v>301.54399999999998</v>
      </c>
      <c r="AB25" s="134">
        <v>307.51600000000002</v>
      </c>
      <c r="AC25" s="136">
        <v>322.49900000000002</v>
      </c>
      <c r="AD25" s="136">
        <v>347.64099999999996</v>
      </c>
      <c r="AE25" s="136">
        <v>121.806</v>
      </c>
      <c r="AF25" s="244">
        <v>229.512</v>
      </c>
    </row>
    <row r="26" spans="1:32" x14ac:dyDescent="0.2">
      <c r="A26" s="5" t="s">
        <v>644</v>
      </c>
      <c r="B26" s="2" t="s">
        <v>650</v>
      </c>
      <c r="C26" s="127"/>
      <c r="D26" s="127"/>
      <c r="E26" s="127"/>
      <c r="F26" s="127"/>
      <c r="G26" s="127"/>
      <c r="H26" s="127"/>
      <c r="I26" s="127"/>
      <c r="J26" s="127"/>
      <c r="K26" s="127"/>
      <c r="L26" s="127"/>
      <c r="M26" s="127"/>
      <c r="N26" s="125"/>
      <c r="O26" s="125"/>
      <c r="P26" s="125">
        <v>20064</v>
      </c>
      <c r="Q26" s="125">
        <v>21260</v>
      </c>
      <c r="R26" s="125">
        <v>20914</v>
      </c>
      <c r="S26" s="125">
        <v>22171</v>
      </c>
      <c r="T26" s="125">
        <v>21694</v>
      </c>
      <c r="U26" s="125">
        <v>25011</v>
      </c>
      <c r="V26" s="125">
        <v>25718</v>
      </c>
      <c r="W26" s="124">
        <v>28426</v>
      </c>
      <c r="X26" s="124">
        <v>29385</v>
      </c>
      <c r="Y26" s="124">
        <v>30875</v>
      </c>
      <c r="Z26" s="116">
        <v>31976</v>
      </c>
      <c r="AA26" s="139">
        <v>32316</v>
      </c>
      <c r="AB26" s="139">
        <v>34116</v>
      </c>
      <c r="AC26" s="116">
        <v>36610</v>
      </c>
      <c r="AD26" s="116">
        <v>30579</v>
      </c>
      <c r="AE26" s="116">
        <v>29128</v>
      </c>
      <c r="AF26" s="116">
        <v>39328</v>
      </c>
    </row>
    <row r="27" spans="1:32" x14ac:dyDescent="0.2">
      <c r="A27" s="5" t="s">
        <v>644</v>
      </c>
      <c r="B27" s="2" t="s">
        <v>648</v>
      </c>
      <c r="C27" s="127"/>
      <c r="D27" s="127"/>
      <c r="E27" s="127"/>
      <c r="F27" s="127"/>
      <c r="G27" s="127"/>
      <c r="H27" s="127"/>
      <c r="I27" s="127"/>
      <c r="J27" s="127"/>
      <c r="K27" s="127"/>
      <c r="L27" s="127"/>
      <c r="M27" s="127"/>
      <c r="N27" s="116">
        <v>18524</v>
      </c>
      <c r="O27" s="125">
        <v>28121</v>
      </c>
      <c r="P27" s="125">
        <v>22450</v>
      </c>
      <c r="Q27" s="125">
        <v>29177</v>
      </c>
      <c r="R27" s="125">
        <v>30173</v>
      </c>
      <c r="S27" s="125">
        <v>29207</v>
      </c>
      <c r="T27" s="125">
        <v>34444</v>
      </c>
      <c r="U27" s="125">
        <v>36064</v>
      </c>
      <c r="V27" s="125">
        <v>37172</v>
      </c>
      <c r="W27" s="124">
        <v>39195</v>
      </c>
      <c r="X27" s="124">
        <v>28358</v>
      </c>
      <c r="Y27" s="124">
        <v>24773</v>
      </c>
      <c r="Z27" s="116">
        <v>21584</v>
      </c>
      <c r="AA27" s="139">
        <v>22374</v>
      </c>
      <c r="AB27" s="139">
        <v>29625</v>
      </c>
      <c r="AC27" s="116">
        <v>35681</v>
      </c>
      <c r="AD27" s="116">
        <v>24075</v>
      </c>
      <c r="AE27" s="116">
        <v>34174</v>
      </c>
      <c r="AF27" s="116">
        <v>38851</v>
      </c>
    </row>
    <row r="28" spans="1:32" ht="39" customHeight="1" x14ac:dyDescent="0.2">
      <c r="A28" s="5" t="s">
        <v>494</v>
      </c>
      <c r="B28" s="5" t="s">
        <v>502</v>
      </c>
      <c r="C28" s="123">
        <f t="shared" ref="C28:P28" si="0">C5+C6+C7+C8+C17+C18+C23+C24</f>
        <v>1488.2</v>
      </c>
      <c r="D28" s="123">
        <f t="shared" si="0"/>
        <v>1491.1</v>
      </c>
      <c r="E28" s="123">
        <f t="shared" si="0"/>
        <v>1494.3</v>
      </c>
      <c r="F28" s="123">
        <f t="shared" si="0"/>
        <v>1485</v>
      </c>
      <c r="G28" s="123">
        <f t="shared" si="0"/>
        <v>1104.4000000000001</v>
      </c>
      <c r="H28" s="123">
        <f t="shared" si="0"/>
        <v>1100.3</v>
      </c>
      <c r="I28" s="123">
        <f t="shared" si="0"/>
        <v>1077.8</v>
      </c>
      <c r="J28" s="123">
        <f t="shared" si="0"/>
        <v>1073.288</v>
      </c>
      <c r="K28" s="123">
        <f t="shared" si="0"/>
        <v>1099.181</v>
      </c>
      <c r="L28" s="123">
        <f t="shared" si="0"/>
        <v>1136.037</v>
      </c>
      <c r="M28" s="123">
        <f t="shared" si="0"/>
        <v>1053.491</v>
      </c>
      <c r="N28" s="123">
        <f t="shared" si="0"/>
        <v>1116.165</v>
      </c>
      <c r="O28" s="123">
        <f t="shared" si="0"/>
        <v>1165.1849999999999</v>
      </c>
      <c r="P28" s="123">
        <f t="shared" si="0"/>
        <v>1190.8200000000002</v>
      </c>
      <c r="Q28" s="123">
        <f t="shared" ref="Q28:AA28" si="1">Q5+Q6+Q7+Q8+Q17+Q18+Q23</f>
        <v>1289.4070000000002</v>
      </c>
      <c r="R28" s="123">
        <f t="shared" si="1"/>
        <v>1331.5159999999998</v>
      </c>
      <c r="S28" s="123">
        <f t="shared" si="1"/>
        <v>1305.248</v>
      </c>
      <c r="T28" s="123">
        <f t="shared" si="1"/>
        <v>1359.45</v>
      </c>
      <c r="U28" s="123">
        <f t="shared" si="1"/>
        <v>1325.3</v>
      </c>
      <c r="V28" s="123">
        <f t="shared" si="1"/>
        <v>1301.2410000000002</v>
      </c>
      <c r="W28" s="123">
        <f t="shared" si="1"/>
        <v>1244.576</v>
      </c>
      <c r="X28" s="123">
        <f t="shared" si="1"/>
        <v>1223.7769999999998</v>
      </c>
      <c r="Y28" s="123">
        <f t="shared" si="1"/>
        <v>1255.336</v>
      </c>
      <c r="Z28" s="123">
        <f t="shared" si="1"/>
        <v>1325.519</v>
      </c>
      <c r="AA28" s="123">
        <f t="shared" si="1"/>
        <v>1507.81</v>
      </c>
      <c r="AB28" s="123">
        <f>AB5+AB6+AB7+AB8+AC17+AC18+AB23</f>
        <v>1585.998</v>
      </c>
      <c r="AC28" s="123">
        <f>AC5+AC6+AC7+AC8+AD17+AD18+AC23</f>
        <v>1591.463</v>
      </c>
      <c r="AD28" s="123">
        <f>AD5+AD6+AD7+AD8+AE17+AE18+AD23</f>
        <v>1661.5540000000001</v>
      </c>
      <c r="AE28" s="123">
        <f>AE5+AE6+AE7+AE8+AF17+AF18+AE23</f>
        <v>908.197</v>
      </c>
      <c r="AF28" s="123">
        <f>AF5+AF6+AF7+AF8+AG17+AG18+AF23</f>
        <v>1407.192</v>
      </c>
    </row>
    <row r="29" spans="1:32" x14ac:dyDescent="0.2">
      <c r="A29" s="5" t="s">
        <v>494</v>
      </c>
      <c r="B29" s="5" t="s">
        <v>499</v>
      </c>
      <c r="C29" s="123">
        <f t="shared" ref="C29:AA29" si="2">C9+C10+C11+C19+C25</f>
        <v>6439.5</v>
      </c>
      <c r="D29" s="123">
        <f t="shared" si="2"/>
        <v>6415.2999999999993</v>
      </c>
      <c r="E29" s="123">
        <f t="shared" si="2"/>
        <v>6408.1</v>
      </c>
      <c r="F29" s="123">
        <f t="shared" si="2"/>
        <v>6597.2</v>
      </c>
      <c r="G29" s="123">
        <f t="shared" si="2"/>
        <v>5313.3</v>
      </c>
      <c r="H29" s="123">
        <f t="shared" si="2"/>
        <v>5354.8</v>
      </c>
      <c r="I29" s="123">
        <f t="shared" si="2"/>
        <v>5056.6000000000004</v>
      </c>
      <c r="J29" s="123">
        <f t="shared" si="2"/>
        <v>5045</v>
      </c>
      <c r="K29" s="123">
        <f t="shared" si="2"/>
        <v>5015.7</v>
      </c>
      <c r="L29" s="123">
        <f t="shared" si="2"/>
        <v>5018.8</v>
      </c>
      <c r="M29" s="123">
        <f t="shared" si="2"/>
        <v>5039.2269999999999</v>
      </c>
      <c r="N29" s="123">
        <f t="shared" si="2"/>
        <v>5403.5680000000002</v>
      </c>
      <c r="O29" s="123">
        <f t="shared" si="2"/>
        <v>5599.7670000000007</v>
      </c>
      <c r="P29" s="123">
        <f t="shared" si="2"/>
        <v>5659.1469999999999</v>
      </c>
      <c r="Q29" s="123">
        <f t="shared" si="2"/>
        <v>5693.8510000000006</v>
      </c>
      <c r="R29" s="123">
        <f t="shared" si="2"/>
        <v>5646.4</v>
      </c>
      <c r="S29" s="123">
        <f t="shared" si="2"/>
        <v>5380.0680000000011</v>
      </c>
      <c r="T29" s="123">
        <f t="shared" si="2"/>
        <v>5604.8119999999999</v>
      </c>
      <c r="U29" s="123">
        <f t="shared" si="2"/>
        <v>5540.78</v>
      </c>
      <c r="V29" s="123">
        <f t="shared" si="2"/>
        <v>5288.2359999999999</v>
      </c>
      <c r="W29" s="123">
        <f t="shared" si="2"/>
        <v>5150.0070000000005</v>
      </c>
      <c r="X29" s="123">
        <f t="shared" si="2"/>
        <v>5176.6239999999998</v>
      </c>
      <c r="Y29" s="123">
        <f t="shared" si="2"/>
        <v>5252.7120000000004</v>
      </c>
      <c r="Z29" s="123">
        <f t="shared" si="2"/>
        <v>5230.0860000000002</v>
      </c>
      <c r="AA29" s="123">
        <f t="shared" si="2"/>
        <v>5660.9439999999995</v>
      </c>
      <c r="AB29" s="123">
        <f>AB9+AB10+AB11+AC19+AB25</f>
        <v>5846.3159999999998</v>
      </c>
      <c r="AC29" s="123">
        <f>AC9+AC10+AC11+AD19+AC25</f>
        <v>5863.4989999999998</v>
      </c>
      <c r="AD29" s="123">
        <f>AD9+AD10+AD11+AE19+AD25</f>
        <v>6033.6409999999996</v>
      </c>
      <c r="AE29" s="123">
        <f>AE9+AE10+AE11+AF19+AE25</f>
        <v>2492.232</v>
      </c>
      <c r="AF29" s="123">
        <f>AF9+AF10+AF11+AG19+AF25</f>
        <v>4179.1319999999996</v>
      </c>
    </row>
    <row r="30" spans="1:32" x14ac:dyDescent="0.2">
      <c r="A30" s="117" t="s">
        <v>494</v>
      </c>
      <c r="B30" s="85" t="s">
        <v>651</v>
      </c>
      <c r="C30" s="141">
        <f>C12+C20+'9.14b'!C7</f>
        <v>41.499999999999993</v>
      </c>
      <c r="D30" s="141">
        <f>D12+D20+'9.14b'!D7</f>
        <v>46.3</v>
      </c>
      <c r="E30" s="141">
        <f>E12+E20+'9.14b'!E7</f>
        <v>47.6</v>
      </c>
      <c r="F30" s="141">
        <f>F12+F20+'9.14b'!F7</f>
        <v>56.5</v>
      </c>
      <c r="G30" s="141">
        <f>G12+G20+'9.14b'!G7</f>
        <v>66.400000000000006</v>
      </c>
      <c r="H30" s="141">
        <f>H12+H20+'9.14b'!H7</f>
        <v>64.2</v>
      </c>
      <c r="I30" s="141">
        <f>I12+I20+'9.14b'!I7</f>
        <v>57</v>
      </c>
      <c r="J30" s="141">
        <f>J12+J20+'9.14b'!J7</f>
        <v>5</v>
      </c>
      <c r="K30" s="141">
        <f>K12+K20+'9.14b'!K7</f>
        <v>52</v>
      </c>
      <c r="L30" s="141">
        <f>L12+L20+'9.14b'!L7</f>
        <v>54.8</v>
      </c>
      <c r="M30" s="141">
        <f>M12+'9.14b'!M7</f>
        <v>4.5</v>
      </c>
      <c r="N30" s="141">
        <f>N12+'9.14b'!N7</f>
        <v>4.4000000000000004</v>
      </c>
      <c r="O30" s="141">
        <f>O12+'9.14b'!O7</f>
        <v>4.5</v>
      </c>
      <c r="P30" s="141">
        <f>P12+'9.14b'!P7</f>
        <v>5.0999999999999996</v>
      </c>
      <c r="Q30" s="141">
        <f>Q12+'9.14b'!Q7</f>
        <v>5.0999999999999996</v>
      </c>
      <c r="R30" s="141">
        <f>R12+'9.14b'!R7</f>
        <v>5</v>
      </c>
      <c r="S30" s="141">
        <f>S12+'9.14b'!S7</f>
        <v>5</v>
      </c>
      <c r="T30" s="141">
        <f>T12+'9.14b'!T7</f>
        <v>5.7</v>
      </c>
      <c r="U30" s="141">
        <f>U12+'9.14b'!U7</f>
        <v>5.34</v>
      </c>
      <c r="V30" s="141">
        <f>V12+'9.14b'!V7</f>
        <v>4.8</v>
      </c>
      <c r="W30" s="141">
        <f>W12+'9.14b'!W7</f>
        <v>4.9000000000000004</v>
      </c>
      <c r="X30" s="141">
        <f>X12+'9.14b'!X7</f>
        <v>4.7</v>
      </c>
      <c r="Y30" s="141">
        <f>Y12+'9.14b'!Y7</f>
        <v>2.2210999999999999</v>
      </c>
      <c r="Z30" s="141">
        <f>Z12+'9.14b'!Z7</f>
        <v>2.2224699999999999</v>
      </c>
      <c r="AA30" s="141">
        <f>AA12+'9.14b'!AA7</f>
        <v>2.32267</v>
      </c>
      <c r="AB30" s="141">
        <f>AB12+'9.14b'!AB7</f>
        <v>2.3018000000000001</v>
      </c>
      <c r="AC30" s="141">
        <f>AC12+'9.14b'!AC7</f>
        <v>2.0319099999999999</v>
      </c>
      <c r="AD30" s="141">
        <f>AD12+'9.14b'!AD7</f>
        <v>1.8316599999999998</v>
      </c>
      <c r="AE30" s="141">
        <f>AE12+'9.14b'!AE7</f>
        <v>1.9842799999999998</v>
      </c>
      <c r="AF30" s="141">
        <f>AF12+'9.14b'!AF7</f>
        <v>2.0318100000000001</v>
      </c>
    </row>
    <row r="31" spans="1:32" x14ac:dyDescent="0.2">
      <c r="A31" s="5" t="s">
        <v>494</v>
      </c>
      <c r="B31" s="2" t="s">
        <v>503</v>
      </c>
      <c r="C31" s="143">
        <f>SUM(C13,D21,C26,'9.14b'!C8)</f>
        <v>44946</v>
      </c>
      <c r="D31" s="143">
        <f>SUM(D13,E21,D26,'9.14b'!D8)</f>
        <v>45809</v>
      </c>
      <c r="E31" s="143">
        <f>SUM(E13,F21,E26,'9.14b'!E8)</f>
        <v>46690</v>
      </c>
      <c r="F31" s="143">
        <f>SUM(F13,G21,F26,'9.14b'!F8)</f>
        <v>51116</v>
      </c>
      <c r="G31" s="143">
        <f>SUM(G13,H21,G26,'9.14b'!G8)</f>
        <v>50400</v>
      </c>
      <c r="H31" s="143">
        <f>SUM(H13,I21,H26,'9.14b'!H8)</f>
        <v>52478</v>
      </c>
      <c r="I31" s="143">
        <f>SUM(I13,J21,I26,'9.14b'!I8)</f>
        <v>53553</v>
      </c>
      <c r="J31" s="143">
        <f>SUM(J13,K21,J26,'9.14b'!J8)</f>
        <v>54125</v>
      </c>
      <c r="K31" s="143">
        <f>SUM(K13,L21,K26,'9.14b'!K8)</f>
        <v>56703</v>
      </c>
      <c r="L31" s="143">
        <f>SUM(L13,M21,L26,'9.14b'!L8)</f>
        <v>53548</v>
      </c>
      <c r="M31" s="143">
        <f>SUM(M13,N21,M26,'9.14b'!M8)</f>
        <v>45503</v>
      </c>
      <c r="N31" s="143">
        <f>SUM(N13,O21,N26,'9.14b'!N8)</f>
        <v>47500</v>
      </c>
      <c r="O31" s="143">
        <f>SUM(O13,P21,O26,'9.14b'!O8)</f>
        <v>51696</v>
      </c>
      <c r="P31" s="143">
        <f>SUM(P13,Q21,P26,'9.14b'!P8)</f>
        <v>73610</v>
      </c>
      <c r="Q31" s="143">
        <f>SUM(Q13,R21,Q26,'9.14b'!Q8)</f>
        <v>78404</v>
      </c>
      <c r="R31" s="143">
        <f>SUM(R13,S21,R26,'9.14b'!R8)</f>
        <v>82171</v>
      </c>
      <c r="S31" s="143">
        <f>SUM(S13,T21,S26,'9.14b'!S8)</f>
        <v>82384</v>
      </c>
      <c r="T31" s="143">
        <f>SUM(T13,U21,T26,'9.14b'!T8)</f>
        <v>79830</v>
      </c>
      <c r="U31" s="143">
        <f>SUM(U13,V21,U26,'9.14b'!U8)</f>
        <v>84975</v>
      </c>
      <c r="V31" s="143">
        <f>SUM(V13,W21,V26,'9.14b'!V8)</f>
        <v>86935</v>
      </c>
      <c r="W31" s="143">
        <f>SUM(W13,X21,W26,'9.14b'!W8)</f>
        <v>93366</v>
      </c>
      <c r="X31" s="143">
        <f>SUM(X13,Y21,X26,'9.14b'!X8)</f>
        <v>96710</v>
      </c>
      <c r="Y31" s="143">
        <f>SUM(Y13,Z21,Y26,'9.14b'!Y8)</f>
        <v>101146</v>
      </c>
      <c r="Z31" s="143">
        <f>SUM(Z13,AA21,Z26,'9.14b'!Z8)</f>
        <v>100713</v>
      </c>
      <c r="AA31" s="143">
        <f>SUM(AA13,AB21,AA26,'9.14b'!AA8)</f>
        <v>98604</v>
      </c>
      <c r="AB31" s="143">
        <f>SUM(AB13,AC21,AB26,'9.14b'!AB8)</f>
        <v>106194</v>
      </c>
      <c r="AC31" s="143">
        <f>SUM(AC13,AD21,AC26,'9.14b'!AC8)</f>
        <v>113019</v>
      </c>
      <c r="AD31" s="143">
        <f>SUM(AD13,AE21,AD26,'9.14b'!AD8)</f>
        <v>109286</v>
      </c>
      <c r="AE31" s="143">
        <f>SUM(AE13,AF21,AE26,'9.14b'!AE8)</f>
        <v>72916</v>
      </c>
      <c r="AF31" s="143">
        <f>SUM(AF13,AG21,AF26,'9.14b'!AF8)</f>
        <v>111875</v>
      </c>
    </row>
    <row r="32" spans="1:32" x14ac:dyDescent="0.2">
      <c r="A32" s="5" t="s">
        <v>494</v>
      </c>
      <c r="B32" s="86" t="s">
        <v>504</v>
      </c>
      <c r="C32" s="284">
        <f>C14+C22+'9.14b'!C9</f>
        <v>13316</v>
      </c>
      <c r="D32" s="284">
        <f>D14+D22+'9.14b'!D9</f>
        <v>19619</v>
      </c>
      <c r="E32" s="284">
        <f>E14+E22+'9.14b'!E9</f>
        <v>16388</v>
      </c>
      <c r="F32" s="284">
        <f>F14+F22+'9.14b'!F9</f>
        <v>19735</v>
      </c>
      <c r="G32" s="284">
        <f>G14+G22+'9.14b'!G9</f>
        <v>23337</v>
      </c>
      <c r="H32" s="284">
        <f>H14+H22+'9.14b'!H9</f>
        <v>23369</v>
      </c>
      <c r="I32" s="284">
        <f>I14+I22+'9.14b'!I9</f>
        <v>32631</v>
      </c>
      <c r="J32" s="284">
        <f>J14+J22+'9.14b'!J9</f>
        <v>29814</v>
      </c>
      <c r="K32" s="284">
        <f>K14+K22+'9.14b'!K9</f>
        <v>34573</v>
      </c>
      <c r="L32" s="284">
        <f>L14+L22+'9.14b'!L9</f>
        <v>35858</v>
      </c>
      <c r="M32" s="284">
        <f>M14+M22+'9.14b'!M9</f>
        <v>34009</v>
      </c>
      <c r="N32" s="284">
        <f>N14+N27+'9.14b'!N9</f>
        <v>49003</v>
      </c>
      <c r="O32" s="284">
        <f>O14+O27+'9.14b'!O9</f>
        <v>58961</v>
      </c>
      <c r="P32" s="284">
        <f>P14+P27+'9.14b'!P9</f>
        <v>59404</v>
      </c>
      <c r="Q32" s="284">
        <f>Q14+Q27+'9.14b'!Q9</f>
        <v>68634</v>
      </c>
      <c r="R32" s="284">
        <f>R14+R27+'9.14b'!R9</f>
        <v>74666</v>
      </c>
      <c r="S32" s="284">
        <f>S14+S27+'9.14b'!S9</f>
        <v>89463</v>
      </c>
      <c r="T32" s="284">
        <f>T14+T27+'9.14b'!T9</f>
        <v>99317</v>
      </c>
      <c r="U32" s="284">
        <f>U14+U27+'9.14b'!U9</f>
        <v>100457</v>
      </c>
      <c r="V32" s="284">
        <f>V14+V27+'9.14b'!V9</f>
        <v>113327</v>
      </c>
      <c r="W32" s="284">
        <f>W14+W27+'9.14b'!W9</f>
        <v>119060</v>
      </c>
      <c r="X32" s="284">
        <f>X14+X27+'9.14b'!X9</f>
        <v>124059</v>
      </c>
      <c r="Y32" s="284">
        <f>Y14+Y27+'9.14b'!Y9</f>
        <v>135210</v>
      </c>
      <c r="Z32" s="284">
        <f>Z14+Z27+'9.14b'!Z9</f>
        <v>151527</v>
      </c>
      <c r="AA32" s="284">
        <f>AA14+AA27+'9.14b'!AA9</f>
        <v>162015</v>
      </c>
      <c r="AB32" s="284">
        <f>AB14+AB27+'9.14b'!AB9</f>
        <v>173641</v>
      </c>
      <c r="AC32" s="284">
        <f>AC14+AC27+'9.14b'!AC9</f>
        <v>178492</v>
      </c>
      <c r="AD32" s="284">
        <f>AD14+AD27+'9.14b'!AD9</f>
        <v>182386</v>
      </c>
      <c r="AE32" s="284">
        <f>AE14+AE27+'9.14b'!AE9</f>
        <v>201057</v>
      </c>
      <c r="AF32" s="284">
        <f>AF14+AF27+'9.14b'!AF9</f>
        <v>209755</v>
      </c>
    </row>
  </sheetData>
  <phoneticPr fontId="15" type="noConversion"/>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17"/>
  <sheetViews>
    <sheetView zoomScaleNormal="100" workbookViewId="0">
      <pane xSplit="2" ySplit="4" topLeftCell="U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28.5546875" style="6" customWidth="1"/>
    <col min="2" max="2" width="39.5546875" style="6" customWidth="1"/>
    <col min="3" max="31" width="8.44140625" style="6" customWidth="1"/>
    <col min="32" max="16384" width="8.88671875" style="6"/>
  </cols>
  <sheetData>
    <row r="1" spans="1:32" s="5" customFormat="1" ht="15.75" x14ac:dyDescent="0.25">
      <c r="A1" s="1" t="s">
        <v>837</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506</v>
      </c>
      <c r="K3" s="2"/>
      <c r="L3" s="3"/>
      <c r="M3" s="4"/>
      <c r="N3" s="4"/>
      <c r="O3" s="2"/>
    </row>
    <row r="4" spans="1:32" s="260" customFormat="1" ht="39" customHeight="1" x14ac:dyDescent="0.25">
      <c r="A4" s="259" t="s">
        <v>453</v>
      </c>
      <c r="B4" s="259" t="s">
        <v>495</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484</v>
      </c>
      <c r="AF4" s="245" t="s">
        <v>854</v>
      </c>
    </row>
    <row r="5" spans="1:32" x14ac:dyDescent="0.2">
      <c r="A5" s="117" t="s">
        <v>456</v>
      </c>
      <c r="B5" s="117" t="s">
        <v>502</v>
      </c>
      <c r="C5" s="133">
        <f>SUM('9.16b'!C16,'9.16c'!C16)</f>
        <v>35.1</v>
      </c>
      <c r="D5" s="133">
        <f>SUM('9.16b'!D16,'9.16c'!D16)</f>
        <v>54</v>
      </c>
      <c r="E5" s="133">
        <f>SUM('9.16b'!E16,'9.16c'!E16)</f>
        <v>62.2</v>
      </c>
      <c r="F5" s="133">
        <f>SUM('9.16b'!F16,'9.16c'!F16)</f>
        <v>63.9</v>
      </c>
      <c r="G5" s="133">
        <f>SUM('9.16b'!G16,'9.16c'!G16)</f>
        <v>64.900000000000006</v>
      </c>
      <c r="H5" s="133">
        <f>SUM('9.16b'!H16,'9.16c'!H16)</f>
        <v>66.199999999999989</v>
      </c>
      <c r="I5" s="133">
        <f>SUM('9.16b'!I16,'9.16c'!I16)</f>
        <v>69.599999999999994</v>
      </c>
      <c r="J5" s="133">
        <f>SUM('9.16b'!J16,'9.16c'!J16)</f>
        <v>73.099999999999994</v>
      </c>
      <c r="K5" s="133">
        <f>SUM('9.16b'!K16,'9.16c'!K16)</f>
        <v>70.400000000000006</v>
      </c>
      <c r="L5" s="133">
        <f>SUM('9.16b'!L16,'9.16c'!L16)</f>
        <v>74.400000000000006</v>
      </c>
      <c r="M5" s="133">
        <f>SUM('9.16b'!M16,'9.16c'!M16)</f>
        <v>74.900000000000006</v>
      </c>
      <c r="N5" s="133">
        <f>SUM('9.16b'!N16,'9.16c'!N16)</f>
        <v>79.8</v>
      </c>
      <c r="O5" s="133">
        <f>SUM('9.16b'!O16,'9.16c'!O16)</f>
        <v>82.6</v>
      </c>
      <c r="P5" s="133">
        <f>SUM('9.16b'!P16,'9.16c'!P16)</f>
        <v>82.944000000000003</v>
      </c>
      <c r="Q5" s="133">
        <f>SUM('9.16b'!Q16,'9.16c'!Q16)</f>
        <v>83</v>
      </c>
      <c r="R5" s="133">
        <f>SUM('9.16b'!R16,'9.16c'!R16)</f>
        <v>81.2</v>
      </c>
      <c r="S5" s="133">
        <f>SUM('9.16b'!S16,'9.16c'!S16)</f>
        <v>81.199999999999989</v>
      </c>
      <c r="T5" s="133">
        <f>SUM('9.16b'!T16,'9.16c'!T16)</f>
        <v>87.415999999999997</v>
      </c>
      <c r="U5" s="133">
        <f>SUM('9.16b'!U16,'9.16c'!U16)</f>
        <v>88.7</v>
      </c>
      <c r="V5" s="133">
        <f>SUM('9.16b'!V16,'9.16c'!V16)</f>
        <v>86.639999999999986</v>
      </c>
      <c r="W5" s="133">
        <f>SUM('9.16b'!W16,'9.16c'!W16)</f>
        <v>87.44</v>
      </c>
      <c r="X5" s="133">
        <f>SUM('9.16b'!X16,'9.16c'!X16)</f>
        <v>83.81</v>
      </c>
      <c r="Y5" s="133">
        <f>SUM('9.16b'!Y16,'9.16c'!Y16)</f>
        <v>83.9</v>
      </c>
      <c r="Z5" s="133">
        <f>SUM('9.16b'!Z16,'9.16c'!Z16)</f>
        <v>84.7</v>
      </c>
      <c r="AA5" s="133">
        <f>SUM('9.16b'!AA16,'9.16c'!AA16)</f>
        <v>87.3</v>
      </c>
      <c r="AB5" s="133">
        <f>SUM('9.16b'!AB16,'9.16c'!AB16)</f>
        <v>89.26</v>
      </c>
      <c r="AC5" s="133">
        <f>SUM('9.16b'!AC16,'9.16c'!AC16)</f>
        <v>93.5</v>
      </c>
      <c r="AD5" s="133">
        <f>SUM('9.16b'!AD16,'9.16c'!AD16)</f>
        <v>94.4</v>
      </c>
      <c r="AE5" s="133">
        <f>SUM('9.16b'!AE16,'9.16c'!AE16)</f>
        <v>65.506</v>
      </c>
      <c r="AF5" s="244">
        <v>80.8</v>
      </c>
    </row>
    <row r="6" spans="1:32" x14ac:dyDescent="0.2">
      <c r="A6" s="117" t="s">
        <v>456</v>
      </c>
      <c r="B6" s="5" t="s">
        <v>499</v>
      </c>
      <c r="C6" s="133">
        <f>'9.16a'!C25</f>
        <v>184.374</v>
      </c>
      <c r="D6" s="133">
        <f>'9.16a'!D25</f>
        <v>218.02199999999999</v>
      </c>
      <c r="E6" s="133">
        <f>'9.16a'!E25</f>
        <v>240.14000000000001</v>
      </c>
      <c r="F6" s="133">
        <f>'9.16a'!F25</f>
        <v>257.96600000000001</v>
      </c>
      <c r="G6" s="133">
        <f>'9.16a'!G25</f>
        <v>263.36</v>
      </c>
      <c r="H6" s="133">
        <f>'9.16a'!H25</f>
        <v>263.30200000000002</v>
      </c>
      <c r="I6" s="133">
        <f>'9.16a'!I25</f>
        <v>258.8</v>
      </c>
      <c r="J6" s="133">
        <f>'9.16a'!J25</f>
        <v>281.50000000000006</v>
      </c>
      <c r="K6" s="133">
        <f>'9.16a'!K25</f>
        <v>277.8</v>
      </c>
      <c r="L6" s="133">
        <f>'9.16a'!L25</f>
        <v>284.7</v>
      </c>
      <c r="M6" s="133">
        <f>'9.16a'!M25</f>
        <v>290.60000000000002</v>
      </c>
      <c r="N6" s="133">
        <f>'9.16a'!N25</f>
        <v>310.25099999999998</v>
      </c>
      <c r="O6" s="133">
        <f>'9.16a'!O25</f>
        <v>321.69999999999993</v>
      </c>
      <c r="P6" s="133">
        <f>'9.16a'!P25</f>
        <v>312.62899999999996</v>
      </c>
      <c r="Q6" s="133">
        <f>'9.16a'!Q25</f>
        <v>317.89999999999998</v>
      </c>
      <c r="R6" s="133">
        <f>'9.16a'!R25</f>
        <v>316.39999999999998</v>
      </c>
      <c r="S6" s="133">
        <f>'9.16a'!S25</f>
        <v>319</v>
      </c>
      <c r="T6" s="133">
        <f>'9.16a'!T25</f>
        <v>329.53399999999999</v>
      </c>
      <c r="U6" s="133">
        <f>'9.16a'!U25</f>
        <v>330.65000000000003</v>
      </c>
      <c r="V6" s="133">
        <f>'9.16a'!V25</f>
        <v>337.76</v>
      </c>
      <c r="W6" s="133">
        <f>'9.16a'!W25</f>
        <v>335.59999999999991</v>
      </c>
      <c r="X6" s="133">
        <f>'9.16a'!X25</f>
        <v>328.4</v>
      </c>
      <c r="Y6" s="133">
        <f>'9.16a'!Y25</f>
        <v>320.3</v>
      </c>
      <c r="Z6" s="133">
        <f>'9.16a'!Z25</f>
        <v>315.19999999999993</v>
      </c>
      <c r="AA6" s="133">
        <f>'9.16a'!AA25</f>
        <v>329.2</v>
      </c>
      <c r="AB6" s="133">
        <f>'9.16a'!AB25</f>
        <v>331.4</v>
      </c>
      <c r="AC6" s="133">
        <f>'9.16a'!AC25</f>
        <v>338.9</v>
      </c>
      <c r="AD6" s="133">
        <f>'9.16a'!AD25</f>
        <v>335.6</v>
      </c>
      <c r="AE6" s="133">
        <f>'9.16a'!AE25</f>
        <v>170.16499999999999</v>
      </c>
      <c r="AF6" s="133">
        <f>'9.16a'!AF25</f>
        <v>235.3</v>
      </c>
    </row>
    <row r="7" spans="1:32" x14ac:dyDescent="0.2">
      <c r="A7" s="117" t="s">
        <v>456</v>
      </c>
      <c r="B7" s="85" t="s">
        <v>510</v>
      </c>
      <c r="C7" s="128">
        <v>5.3</v>
      </c>
      <c r="D7" s="128">
        <v>2.1</v>
      </c>
      <c r="E7" s="128">
        <v>1.5</v>
      </c>
      <c r="F7" s="128">
        <v>1.5</v>
      </c>
      <c r="G7" s="128">
        <v>1.4</v>
      </c>
      <c r="H7" s="141">
        <v>1.2</v>
      </c>
      <c r="I7" s="129">
        <v>2</v>
      </c>
      <c r="J7" s="129">
        <v>2</v>
      </c>
      <c r="K7" s="117">
        <v>1.7</v>
      </c>
      <c r="L7" s="117">
        <v>1.9</v>
      </c>
      <c r="M7" s="117">
        <v>1.5</v>
      </c>
      <c r="N7" s="117">
        <v>1.4</v>
      </c>
      <c r="O7" s="117">
        <v>1.5</v>
      </c>
      <c r="P7" s="117">
        <v>2.1</v>
      </c>
      <c r="Q7" s="117">
        <v>2.1</v>
      </c>
      <c r="R7" s="118">
        <v>2</v>
      </c>
      <c r="S7" s="118">
        <v>2</v>
      </c>
      <c r="T7" s="118">
        <v>2.7</v>
      </c>
      <c r="U7" s="118">
        <v>2.34</v>
      </c>
      <c r="V7" s="117">
        <v>1.8</v>
      </c>
      <c r="W7" s="117">
        <v>1.9</v>
      </c>
      <c r="X7" s="117">
        <v>1.7</v>
      </c>
      <c r="Y7" s="117">
        <v>1.8</v>
      </c>
      <c r="Z7" s="117">
        <v>1.8</v>
      </c>
      <c r="AA7" s="117">
        <v>1.9</v>
      </c>
      <c r="AB7" s="118">
        <v>1.87</v>
      </c>
      <c r="AC7" s="118">
        <v>1.6</v>
      </c>
      <c r="AD7" s="118">
        <v>1.4</v>
      </c>
      <c r="AE7" s="118">
        <v>1.5449999999999999</v>
      </c>
      <c r="AF7" s="250">
        <v>1.5309999999999999</v>
      </c>
    </row>
    <row r="8" spans="1:32" x14ac:dyDescent="0.2">
      <c r="A8" s="117" t="s">
        <v>456</v>
      </c>
      <c r="B8" s="2" t="s">
        <v>642</v>
      </c>
      <c r="C8" s="143">
        <v>1039</v>
      </c>
      <c r="D8" s="143">
        <v>959</v>
      </c>
      <c r="E8" s="143">
        <v>1045</v>
      </c>
      <c r="F8" s="143">
        <v>1116</v>
      </c>
      <c r="G8" s="143">
        <v>1163</v>
      </c>
      <c r="H8" s="116">
        <v>1227</v>
      </c>
      <c r="I8" s="124">
        <v>1321</v>
      </c>
      <c r="J8" s="124">
        <v>1412</v>
      </c>
      <c r="K8" s="116">
        <v>1470</v>
      </c>
      <c r="L8" s="116">
        <v>1585</v>
      </c>
      <c r="M8" s="116">
        <v>1659</v>
      </c>
      <c r="N8" s="116">
        <v>1671</v>
      </c>
      <c r="O8" s="116">
        <v>1835</v>
      </c>
      <c r="P8" s="116">
        <v>1859</v>
      </c>
      <c r="Q8" s="116">
        <v>1939</v>
      </c>
      <c r="R8" s="116">
        <v>2053</v>
      </c>
      <c r="S8" s="116">
        <v>2263</v>
      </c>
      <c r="T8" s="116">
        <v>2280</v>
      </c>
      <c r="U8" s="116">
        <v>2429</v>
      </c>
      <c r="V8" s="116">
        <v>2550</v>
      </c>
      <c r="W8" s="116">
        <v>2822</v>
      </c>
      <c r="X8" s="116">
        <v>2608</v>
      </c>
      <c r="Y8" s="116">
        <v>2613</v>
      </c>
      <c r="Z8" s="116">
        <v>2682</v>
      </c>
      <c r="AA8" s="116">
        <v>2755</v>
      </c>
      <c r="AB8" s="116">
        <v>2703</v>
      </c>
      <c r="AC8" s="116">
        <v>3042</v>
      </c>
      <c r="AD8" s="116">
        <v>2924</v>
      </c>
      <c r="AE8" s="116">
        <v>1988</v>
      </c>
      <c r="AF8" s="244">
        <v>2448</v>
      </c>
    </row>
    <row r="9" spans="1:32" ht="18.75" customHeight="1" x14ac:dyDescent="0.2">
      <c r="A9" s="117" t="s">
        <v>456</v>
      </c>
      <c r="B9" s="2" t="s">
        <v>629</v>
      </c>
      <c r="C9" s="143">
        <v>2982</v>
      </c>
      <c r="D9" s="143">
        <v>2992</v>
      </c>
      <c r="E9" s="143">
        <v>3139</v>
      </c>
      <c r="F9" s="143">
        <v>3353</v>
      </c>
      <c r="G9" s="143">
        <v>3563</v>
      </c>
      <c r="H9" s="116">
        <v>3647</v>
      </c>
      <c r="I9" s="124">
        <v>3935</v>
      </c>
      <c r="J9" s="124">
        <v>3439</v>
      </c>
      <c r="K9" s="116">
        <v>3697</v>
      </c>
      <c r="L9" s="116">
        <v>3858</v>
      </c>
      <c r="M9" s="116">
        <v>3903</v>
      </c>
      <c r="N9" s="116">
        <v>4560</v>
      </c>
      <c r="O9" s="116">
        <v>4940</v>
      </c>
      <c r="P9" s="116">
        <v>5554</v>
      </c>
      <c r="Q9" s="116">
        <v>6257</v>
      </c>
      <c r="R9" s="116">
        <v>6207</v>
      </c>
      <c r="S9" s="116">
        <v>6918</v>
      </c>
      <c r="T9" s="116">
        <v>7535</v>
      </c>
      <c r="U9" s="116">
        <v>6280</v>
      </c>
      <c r="V9" s="116">
        <v>6847</v>
      </c>
      <c r="W9" s="116">
        <v>6702</v>
      </c>
      <c r="X9" s="116">
        <v>6924</v>
      </c>
      <c r="Y9" s="116">
        <v>7040</v>
      </c>
      <c r="Z9" s="116">
        <v>7341</v>
      </c>
      <c r="AA9" s="116">
        <v>7625</v>
      </c>
      <c r="AB9" s="116">
        <v>7196</v>
      </c>
      <c r="AC9" s="116">
        <v>8688</v>
      </c>
      <c r="AD9" s="116">
        <v>9459</v>
      </c>
      <c r="AE9" s="116">
        <v>10025</v>
      </c>
      <c r="AF9" s="244">
        <v>12612</v>
      </c>
    </row>
    <row r="10" spans="1:32" ht="39" customHeight="1" x14ac:dyDescent="0.2">
      <c r="A10" s="85" t="s">
        <v>654</v>
      </c>
      <c r="B10" s="117" t="s">
        <v>502</v>
      </c>
      <c r="C10" s="137">
        <f>SUM('9.16b'!C26,'9.16c'!C23)</f>
        <v>0</v>
      </c>
      <c r="D10" s="137">
        <f>SUM('9.16b'!D26,'9.16c'!D23)</f>
        <v>0</v>
      </c>
      <c r="E10" s="137">
        <f>SUM('9.16b'!E26,'9.16c'!E23)</f>
        <v>0</v>
      </c>
      <c r="F10" s="137">
        <f>SUM('9.16b'!F26,'9.16c'!F23)</f>
        <v>215.87799999999996</v>
      </c>
      <c r="G10" s="137">
        <f>SUM('9.16b'!G26,'9.16c'!G23)</f>
        <v>285.35199999999998</v>
      </c>
      <c r="H10" s="137">
        <f>SUM('9.16b'!H26,'9.16c'!H23)</f>
        <v>305.024</v>
      </c>
      <c r="I10" s="137">
        <f>SUM('9.16b'!I26,'9.16c'!I23)</f>
        <v>271.74799999999999</v>
      </c>
      <c r="J10" s="137">
        <f>SUM('9.16b'!J26,'9.16c'!J23)</f>
        <v>274.44900000000001</v>
      </c>
      <c r="K10" s="137">
        <f>SUM('9.16b'!K26,'9.16c'!K23)</f>
        <v>288.315</v>
      </c>
      <c r="L10" s="137">
        <f>SUM('9.16b'!L26,'9.16c'!L23)</f>
        <v>297.09999999999997</v>
      </c>
      <c r="M10" s="137">
        <f>SUM('9.16b'!M26,'9.16c'!M23)</f>
        <v>327</v>
      </c>
      <c r="N10" s="137">
        <f>SUM('9.16b'!N26,'9.16c'!N23)</f>
        <v>314.40000000000003</v>
      </c>
      <c r="O10" s="137">
        <f>SUM('9.16b'!O26,'9.16c'!O23)</f>
        <v>337.5</v>
      </c>
      <c r="P10" s="137">
        <f>SUM('9.16b'!P26,'9.16c'!P23)</f>
        <v>319.8</v>
      </c>
      <c r="Q10" s="137">
        <f>SUM('9.16b'!Q26,'9.16c'!Q23)</f>
        <v>342.16700000000003</v>
      </c>
      <c r="R10" s="137">
        <f>SUM('9.16b'!R26,'9.16c'!R23)</f>
        <v>363.57499999999999</v>
      </c>
      <c r="S10" s="137">
        <f>SUM('9.16b'!S26,'9.16c'!S23)</f>
        <v>273.45799999999997</v>
      </c>
      <c r="T10" s="137">
        <f>SUM('9.16b'!T26,'9.16c'!T23)</f>
        <v>281.20000000000005</v>
      </c>
      <c r="U10" s="137">
        <f>SUM('9.16b'!U26,'9.16c'!U23)</f>
        <v>282.79999999999995</v>
      </c>
      <c r="V10" s="137">
        <f>SUM('9.16b'!V26,'9.16c'!V23)</f>
        <v>297.38</v>
      </c>
      <c r="W10" s="137">
        <f>SUM('9.16b'!W26,'9.16c'!W23)</f>
        <v>392.3</v>
      </c>
      <c r="X10" s="137">
        <f>SUM('9.16b'!X26,'9.16c'!X23)</f>
        <v>376.959</v>
      </c>
      <c r="Y10" s="137">
        <f>SUM('9.16b'!Y26,'9.16c'!Y23)</f>
        <v>366.3</v>
      </c>
      <c r="Z10" s="137">
        <f>SUM('9.16b'!Z26,'9.16c'!Z23)</f>
        <v>366.60799999999995</v>
      </c>
      <c r="AA10" s="137">
        <f>SUM('9.16b'!AA26,'9.16c'!AA23)</f>
        <v>387.14</v>
      </c>
      <c r="AB10" s="137">
        <f>SUM('9.16b'!AB26,'9.16c'!AB23)</f>
        <v>412.92199999999997</v>
      </c>
      <c r="AC10" s="137">
        <f>SUM('9.16b'!AC26,'9.16c'!AC23)</f>
        <v>374.64399999999995</v>
      </c>
      <c r="AD10" s="137">
        <f>SUM('9.16b'!AD26,'9.16c'!AD23)</f>
        <v>382.399</v>
      </c>
      <c r="AE10" s="137">
        <f>SUM('9.16b'!AE26,'9.16c'!AE23)</f>
        <v>263.8</v>
      </c>
      <c r="AF10" s="137">
        <f>SUM('9.16b'!AF26,'9.16c'!AF23)</f>
        <v>333.00000000000006</v>
      </c>
    </row>
    <row r="11" spans="1:32" x14ac:dyDescent="0.2">
      <c r="A11" s="85" t="s">
        <v>654</v>
      </c>
      <c r="B11" s="5" t="s">
        <v>499</v>
      </c>
      <c r="C11" s="126">
        <f>'9.16a'!C35</f>
        <v>0</v>
      </c>
      <c r="D11" s="126">
        <f>'9.16a'!D35</f>
        <v>0</v>
      </c>
      <c r="E11" s="126">
        <f>'9.16a'!E35</f>
        <v>0</v>
      </c>
      <c r="F11" s="126">
        <f>'9.16a'!F35</f>
        <v>432.09399999999999</v>
      </c>
      <c r="G11" s="126">
        <f>'9.16a'!G35</f>
        <v>551.08050000000003</v>
      </c>
      <c r="H11" s="126">
        <f>'9.16a'!H35</f>
        <v>588.80349999999999</v>
      </c>
      <c r="I11" s="126">
        <f>'9.16a'!I35</f>
        <v>676.54</v>
      </c>
      <c r="J11" s="126">
        <f>'9.16a'!J35</f>
        <v>687.7</v>
      </c>
      <c r="K11" s="126">
        <f>'9.16a'!K35</f>
        <v>667.00900000000001</v>
      </c>
      <c r="L11" s="126">
        <f>'9.16a'!L35</f>
        <v>668.6</v>
      </c>
      <c r="M11" s="126">
        <f>'9.16a'!M35</f>
        <v>732</v>
      </c>
      <c r="N11" s="126">
        <f>'9.16a'!N35</f>
        <v>687.09999999999991</v>
      </c>
      <c r="O11" s="126">
        <f>'9.16a'!O35</f>
        <v>745.3</v>
      </c>
      <c r="P11" s="126">
        <f>'9.16a'!P35</f>
        <v>708.69999999999993</v>
      </c>
      <c r="Q11" s="126">
        <f>'9.16a'!Q35</f>
        <v>760.53899999999999</v>
      </c>
      <c r="R11" s="126">
        <f>'9.16a'!R35</f>
        <v>795.58600000000001</v>
      </c>
      <c r="S11" s="126">
        <f>'9.16a'!S35</f>
        <v>634.13199999999995</v>
      </c>
      <c r="T11" s="126">
        <f>'9.16a'!T35</f>
        <v>636.5</v>
      </c>
      <c r="U11" s="126">
        <f>'9.16a'!U35</f>
        <v>625</v>
      </c>
      <c r="V11" s="126">
        <f>'9.16a'!V35</f>
        <v>615</v>
      </c>
      <c r="W11" s="126">
        <f>'9.16a'!W35</f>
        <v>811.3</v>
      </c>
      <c r="X11" s="126">
        <f>'9.16a'!X35</f>
        <v>777.11899999999991</v>
      </c>
      <c r="Y11" s="126">
        <f>'9.16a'!Y35</f>
        <v>761.5</v>
      </c>
      <c r="Z11" s="126">
        <f>'9.16a'!Z35</f>
        <v>741.99400000000003</v>
      </c>
      <c r="AA11" s="126">
        <f>'9.16a'!AA35</f>
        <v>774.91</v>
      </c>
      <c r="AB11" s="126">
        <f>'9.16a'!AB35</f>
        <v>776.1400000000001</v>
      </c>
      <c r="AC11" s="126">
        <f>'9.16a'!AC35</f>
        <v>763.93899999999985</v>
      </c>
      <c r="AD11" s="126">
        <f>'9.16a'!AD35</f>
        <v>776.75200000000007</v>
      </c>
      <c r="AE11" s="126">
        <f>'9.16a'!AE35</f>
        <v>467.4</v>
      </c>
      <c r="AF11" s="126">
        <f>'9.16a'!AF35</f>
        <v>622.70000000000005</v>
      </c>
    </row>
    <row r="12" spans="1:32" ht="40.5" customHeight="1" x14ac:dyDescent="0.2">
      <c r="A12" s="117" t="s">
        <v>507</v>
      </c>
      <c r="B12" s="117" t="s">
        <v>502</v>
      </c>
      <c r="C12" s="126">
        <f>SUM('9.16b'!C11,'9.16c'!C11)</f>
        <v>185.3</v>
      </c>
      <c r="D12" s="126">
        <f>SUM('9.16b'!D11,'9.16c'!D11)</f>
        <v>205.8</v>
      </c>
      <c r="E12" s="126">
        <f>SUM('9.16b'!E11,'9.16c'!E11)</f>
        <v>206.2</v>
      </c>
      <c r="F12" s="126">
        <f>SUM('9.16b'!F11,'9.16c'!F11)</f>
        <v>219.4</v>
      </c>
      <c r="G12" s="126">
        <f>SUM('9.16b'!G11,'9.16c'!G11)</f>
        <v>231</v>
      </c>
      <c r="H12" s="126">
        <f>SUM('9.16b'!H11,'9.16c'!H11)</f>
        <v>230.4</v>
      </c>
      <c r="I12" s="126">
        <f>SUM('9.16b'!I11,'9.16c'!I11)</f>
        <v>227.2</v>
      </c>
      <c r="J12" s="126">
        <f>SUM('9.16b'!J11,'9.16c'!J11)</f>
        <v>223.1</v>
      </c>
      <c r="K12" s="126">
        <f>SUM('9.16b'!K11,'9.16c'!K11)</f>
        <v>217.1</v>
      </c>
      <c r="L12" s="126">
        <f>SUM('9.16b'!L11,'9.16c'!L11)</f>
        <v>220.4</v>
      </c>
      <c r="M12" s="126">
        <f>SUM('9.16b'!M11,'9.16c'!M11)</f>
        <v>244.23499999999999</v>
      </c>
      <c r="N12" s="126">
        <f>SUM('9.16b'!N11,'9.16c'!N11)</f>
        <v>256.60000000000002</v>
      </c>
      <c r="O12" s="126">
        <f>SUM('9.16b'!O11,'9.16c'!O11)</f>
        <v>266.24799999999999</v>
      </c>
      <c r="P12" s="126">
        <f>SUM('9.16b'!P11,'9.16c'!P11)</f>
        <v>257.89999999999998</v>
      </c>
      <c r="Q12" s="126">
        <f>SUM('9.16b'!Q11,'9.16c'!Q11)</f>
        <v>244.2</v>
      </c>
      <c r="R12" s="126">
        <f>SUM('9.16b'!R11,'9.16c'!R11)</f>
        <v>262.2</v>
      </c>
      <c r="S12" s="126">
        <f>SUM('9.16b'!S11,'9.16c'!S11)</f>
        <v>262.10000000000002</v>
      </c>
      <c r="T12" s="126">
        <f>SUM('9.16b'!T11,'9.16c'!T11)</f>
        <v>266.3</v>
      </c>
      <c r="U12" s="126">
        <f>SUM('9.16b'!U11,'9.16c'!U11)</f>
        <v>235.8</v>
      </c>
      <c r="V12" s="126">
        <f>SUM('9.16b'!V11,'9.16c'!V11)</f>
        <v>254.44899999999998</v>
      </c>
      <c r="W12" s="126">
        <f>SUM('9.16b'!W11,'9.16c'!W11)</f>
        <v>252.8</v>
      </c>
      <c r="X12" s="126">
        <f>SUM('9.16b'!X11,'9.16c'!X11)</f>
        <v>246</v>
      </c>
      <c r="Y12" s="126">
        <f>SUM('9.16b'!Y11,'9.16c'!Y11)</f>
        <v>259.2</v>
      </c>
      <c r="Z12" s="126">
        <f>SUM('9.16b'!Z11,'9.16c'!Z11)</f>
        <v>258.59999999999997</v>
      </c>
      <c r="AA12" s="126">
        <f>SUM('9.16b'!AA11,'9.16c'!AA11)</f>
        <v>262.5</v>
      </c>
      <c r="AB12" s="126">
        <f>SUM('9.16b'!AB11,'9.16c'!AB11)</f>
        <v>270.10000000000002</v>
      </c>
      <c r="AC12" s="126">
        <f>SUM('9.16b'!AC11,'9.16c'!AC11)</f>
        <v>272.20000000000005</v>
      </c>
      <c r="AD12" s="126">
        <f>SUM('9.16b'!AD11,'9.16c'!AD11)</f>
        <v>276.85599999999999</v>
      </c>
      <c r="AE12" s="126">
        <f>SUM('9.16b'!AE11,'9.16c'!AE11)</f>
        <v>126.9</v>
      </c>
      <c r="AF12" s="126">
        <f>SUM('9.16b'!AF11,'9.16c'!AF11)</f>
        <v>201</v>
      </c>
    </row>
    <row r="13" spans="1:32" x14ac:dyDescent="0.2">
      <c r="A13" s="117" t="s">
        <v>507</v>
      </c>
      <c r="B13" s="5" t="s">
        <v>655</v>
      </c>
      <c r="C13" s="144">
        <f>'9.16a'!C17</f>
        <v>0</v>
      </c>
      <c r="D13" s="144">
        <f>'9.16a'!D17</f>
        <v>0</v>
      </c>
      <c r="E13" s="144">
        <f>'9.16a'!E17</f>
        <v>13.246</v>
      </c>
      <c r="F13" s="144">
        <f>'9.16a'!F17</f>
        <v>13.923</v>
      </c>
      <c r="G13" s="144">
        <f>'9.16a'!G17</f>
        <v>14.500999999999999</v>
      </c>
      <c r="H13" s="144">
        <f>'9.16a'!H17</f>
        <v>13.337</v>
      </c>
      <c r="I13" s="144">
        <f>'9.16a'!I17</f>
        <v>11.06</v>
      </c>
      <c r="J13" s="144">
        <f>'9.16a'!J17</f>
        <v>13.882999999999999</v>
      </c>
      <c r="K13" s="144">
        <f>'9.16a'!K17</f>
        <v>8.9030000000000005</v>
      </c>
      <c r="L13" s="144">
        <f>'9.16a'!L17</f>
        <v>8.1180000000000003</v>
      </c>
      <c r="M13" s="144">
        <f>'9.16a'!M17</f>
        <v>7.5309999999999997</v>
      </c>
      <c r="N13" s="144">
        <f>'9.16a'!N17</f>
        <v>5.8</v>
      </c>
      <c r="O13" s="144">
        <f>'9.16a'!O17</f>
        <v>5.95</v>
      </c>
      <c r="P13" s="144">
        <f>'9.16a'!P17</f>
        <v>5.6</v>
      </c>
      <c r="Q13" s="144">
        <f>'9.16a'!Q17</f>
        <v>7</v>
      </c>
      <c r="R13" s="144">
        <f>'9.16a'!R17</f>
        <v>16.7</v>
      </c>
      <c r="S13" s="144">
        <f>'9.16a'!S17</f>
        <v>1.03</v>
      </c>
      <c r="T13" s="144">
        <f>'9.16a'!T17</f>
        <v>3.9</v>
      </c>
      <c r="U13" s="144">
        <f>'9.16a'!U17</f>
        <v>4.4000000000000004</v>
      </c>
      <c r="V13" s="144">
        <f>'9.16a'!V17</f>
        <v>3</v>
      </c>
      <c r="W13" s="144">
        <f>'9.16a'!W17</f>
        <v>5.0999999999999996</v>
      </c>
      <c r="X13" s="144">
        <f>'9.16a'!X17</f>
        <v>10.3</v>
      </c>
      <c r="Y13" s="144">
        <f>'9.16a'!Y17</f>
        <v>10</v>
      </c>
      <c r="Z13" s="144">
        <f>'9.16a'!Z17</f>
        <v>11.2</v>
      </c>
      <c r="AA13" s="144">
        <f>'9.16a'!AA17</f>
        <v>8.9</v>
      </c>
      <c r="AB13" s="144">
        <f>'9.16a'!AB17</f>
        <v>8.4</v>
      </c>
      <c r="AC13" s="144">
        <f>'9.16a'!AC17</f>
        <v>8.3000000000000007</v>
      </c>
      <c r="AD13" s="144">
        <f>'9.16a'!AD17</f>
        <v>8.1</v>
      </c>
      <c r="AE13" s="144">
        <f>'9.16a'!AE17</f>
        <v>4.9950000000000001</v>
      </c>
      <c r="AF13" s="144">
        <f>'9.16a'!AF17</f>
        <v>9</v>
      </c>
    </row>
    <row r="14" spans="1:32" ht="42.75" customHeight="1" x14ac:dyDescent="0.2">
      <c r="A14" s="117" t="s">
        <v>508</v>
      </c>
      <c r="B14" s="117" t="s">
        <v>502</v>
      </c>
      <c r="C14" s="126">
        <f>SUM('9.16b'!C8,'9.16c'!C8)</f>
        <v>0</v>
      </c>
      <c r="D14" s="126">
        <f>SUM('9.16b'!D8,'9.16c'!D8)</f>
        <v>0</v>
      </c>
      <c r="E14" s="126">
        <f>SUM('9.16b'!E8,'9.16c'!E8)</f>
        <v>0</v>
      </c>
      <c r="F14" s="126">
        <f>SUM('9.16b'!F8,'9.16c'!F8)</f>
        <v>0</v>
      </c>
      <c r="G14" s="126">
        <f>SUM('9.16b'!G8,'9.16c'!G8)</f>
        <v>22.400000000000002</v>
      </c>
      <c r="H14" s="126">
        <f>SUM('9.16b'!H8,'9.16c'!H8)</f>
        <v>21.1</v>
      </c>
      <c r="I14" s="126">
        <f>SUM('9.16b'!I8,'9.16c'!I8)</f>
        <v>22.400000000000002</v>
      </c>
      <c r="J14" s="126">
        <f>SUM('9.16b'!J8,'9.16c'!J8)</f>
        <v>21.400000000000002</v>
      </c>
      <c r="K14" s="126">
        <f>SUM('9.16b'!K8,'9.16c'!K8)</f>
        <v>47.693000000000005</v>
      </c>
      <c r="L14" s="126">
        <f>SUM('9.16b'!L8,'9.16c'!L8)</f>
        <v>47.548000000000002</v>
      </c>
      <c r="M14" s="126">
        <f>SUM('9.16b'!M8,'9.16c'!M8)</f>
        <v>34.9</v>
      </c>
      <c r="N14" s="126">
        <f>SUM('9.16b'!N8,'9.16c'!N8)</f>
        <v>38.991</v>
      </c>
      <c r="O14" s="126">
        <f>SUM('9.16b'!O8,'9.16c'!O8)</f>
        <v>35.021000000000001</v>
      </c>
      <c r="P14" s="126">
        <f>SUM('9.16b'!P8,'9.16c'!P8)</f>
        <v>45</v>
      </c>
      <c r="Q14" s="126">
        <f>SUM('9.16b'!Q8,'9.16c'!Q8)</f>
        <v>39.9</v>
      </c>
      <c r="R14" s="126">
        <f>SUM('9.16b'!R8,'9.16c'!R8)</f>
        <v>36.56</v>
      </c>
      <c r="S14" s="126">
        <f>SUM('9.16b'!S8,'9.16c'!S8)</f>
        <v>36.5</v>
      </c>
      <c r="T14" s="126">
        <f>SUM('9.16b'!T8,'9.16c'!T8)</f>
        <v>36.450000000000003</v>
      </c>
      <c r="U14" s="126">
        <f>SUM('9.16b'!U8,'9.16c'!U8)</f>
        <v>33.799999999999997</v>
      </c>
      <c r="V14" s="126">
        <f>SUM('9.16b'!V8,'9.16c'!V8)</f>
        <v>33.4</v>
      </c>
      <c r="W14" s="126">
        <f>SUM('9.16b'!W8,'9.16c'!W8)</f>
        <v>32.799999999999997</v>
      </c>
      <c r="X14" s="126">
        <f>SUM('9.16b'!X8,'9.16c'!X8)</f>
        <v>29.85</v>
      </c>
      <c r="Y14" s="126">
        <f>SUM('9.16b'!Y8,'9.16c'!Y8)</f>
        <v>32.9</v>
      </c>
      <c r="Z14" s="126">
        <f>SUM('9.16b'!Z8,'9.16c'!Z8)</f>
        <v>35.9</v>
      </c>
      <c r="AA14" s="126">
        <f>SUM('9.16b'!AA8,'9.16c'!AA8)</f>
        <v>43.2</v>
      </c>
      <c r="AB14" s="126">
        <f>SUM('9.16b'!AB8,'9.16c'!AB8)</f>
        <v>41.800000000000004</v>
      </c>
      <c r="AC14" s="126">
        <f>SUM('9.16b'!AC8,'9.16c'!AC8)</f>
        <v>40.5</v>
      </c>
      <c r="AD14" s="126">
        <f>SUM('9.16b'!AD8,'9.16c'!AD8)</f>
        <v>41.7</v>
      </c>
      <c r="AE14" s="126">
        <f>SUM('9.16b'!AE8,'9.16c'!AE8)</f>
        <v>31.85</v>
      </c>
      <c r="AF14" s="126">
        <f>SUM('9.16b'!AF8,'9.16c'!AF8)</f>
        <v>50.2</v>
      </c>
    </row>
    <row r="15" spans="1:32" x14ac:dyDescent="0.2">
      <c r="A15" s="117" t="s">
        <v>508</v>
      </c>
      <c r="B15" s="5" t="s">
        <v>499</v>
      </c>
      <c r="C15" s="126">
        <f>SUM('9.16a'!C13)</f>
        <v>0</v>
      </c>
      <c r="D15" s="126">
        <f>SUM('9.16a'!D13)</f>
        <v>0</v>
      </c>
      <c r="E15" s="126">
        <f>SUM('9.16a'!E13)</f>
        <v>0</v>
      </c>
      <c r="F15" s="126">
        <f>SUM('9.16a'!F13)</f>
        <v>0</v>
      </c>
      <c r="G15" s="126">
        <f>SUM('9.16a'!G13)</f>
        <v>55.9</v>
      </c>
      <c r="H15" s="126">
        <f>SUM('9.16a'!H13)</f>
        <v>78.5</v>
      </c>
      <c r="I15" s="126">
        <f>SUM('9.16a'!I13)</f>
        <v>80.7</v>
      </c>
      <c r="J15" s="126">
        <f>SUM('9.16a'!J13)</f>
        <v>85.2</v>
      </c>
      <c r="K15" s="126">
        <f>SUM('9.16a'!K13)</f>
        <v>116.86699999999999</v>
      </c>
      <c r="L15" s="126">
        <f>SUM('9.16a'!L13)</f>
        <v>126.02500000000001</v>
      </c>
      <c r="M15" s="126">
        <f>SUM('9.16a'!M13)</f>
        <v>121.9</v>
      </c>
      <c r="N15" s="126">
        <f>SUM('9.16a'!N13)</f>
        <v>144.559</v>
      </c>
      <c r="O15" s="126">
        <f>SUM('9.16a'!O13)</f>
        <v>152.21600000000001</v>
      </c>
      <c r="P15" s="126">
        <f>SUM('9.16a'!P13)</f>
        <v>140.20000000000002</v>
      </c>
      <c r="Q15" s="126">
        <f>SUM('9.16a'!Q13)</f>
        <v>138.4</v>
      </c>
      <c r="R15" s="126">
        <f>SUM('9.16a'!R13)</f>
        <v>138.6</v>
      </c>
      <c r="S15" s="126">
        <f>SUM('9.16a'!S13)</f>
        <v>141.6</v>
      </c>
      <c r="T15" s="126">
        <f>SUM('9.16a'!T13)</f>
        <v>138</v>
      </c>
      <c r="U15" s="126">
        <f>SUM('9.16a'!U13)</f>
        <v>135.30000000000001</v>
      </c>
      <c r="V15" s="126">
        <f>SUM('9.16a'!V13)</f>
        <v>133.79999999999998</v>
      </c>
      <c r="W15" s="126">
        <f>SUM('9.16a'!W13)</f>
        <v>139.6</v>
      </c>
      <c r="X15" s="126">
        <f>SUM('9.16a'!X13)</f>
        <v>138.39999999999998</v>
      </c>
      <c r="Y15" s="126">
        <f>SUM('9.16a'!Y13)</f>
        <v>138.20000000000002</v>
      </c>
      <c r="Z15" s="126">
        <f>SUM('9.16a'!Z13)</f>
        <v>141.19999999999999</v>
      </c>
      <c r="AA15" s="126">
        <f>SUM('9.16a'!AA13)</f>
        <v>149.5</v>
      </c>
      <c r="AB15" s="126">
        <f>SUM('9.16a'!AB13)</f>
        <v>144.19999999999999</v>
      </c>
      <c r="AC15" s="126">
        <f>SUM('9.16a'!AC13)</f>
        <v>138.9</v>
      </c>
      <c r="AD15" s="126">
        <f>SUM('9.16a'!AD13)</f>
        <v>141.1</v>
      </c>
      <c r="AE15" s="126">
        <f>SUM('9.16a'!AE13)</f>
        <v>90.300000000000011</v>
      </c>
      <c r="AF15" s="126">
        <f>SUM('9.16a'!AF13)</f>
        <v>151.9</v>
      </c>
    </row>
    <row r="16" spans="1:32" ht="37.5" customHeight="1" x14ac:dyDescent="0.2">
      <c r="A16" s="117" t="s">
        <v>509</v>
      </c>
      <c r="B16" s="117" t="s">
        <v>502</v>
      </c>
      <c r="C16" s="116">
        <f>C5+C12</f>
        <v>220.4</v>
      </c>
      <c r="D16" s="116">
        <f>D5+D12</f>
        <v>259.8</v>
      </c>
      <c r="E16" s="116">
        <f>E5+E12</f>
        <v>268.39999999999998</v>
      </c>
      <c r="F16" s="116">
        <f>F5+F10+F12</f>
        <v>499.178</v>
      </c>
      <c r="G16" s="116">
        <f t="shared" ref="G16:AE16" si="0">G5+G10+G12+G14</f>
        <v>603.65199999999993</v>
      </c>
      <c r="H16" s="116">
        <f t="shared" si="0"/>
        <v>622.72400000000005</v>
      </c>
      <c r="I16" s="116">
        <f t="shared" si="0"/>
        <v>590.94799999999998</v>
      </c>
      <c r="J16" s="116">
        <f t="shared" si="0"/>
        <v>592.04899999999998</v>
      </c>
      <c r="K16" s="116">
        <f t="shared" si="0"/>
        <v>623.50800000000004</v>
      </c>
      <c r="L16" s="116">
        <f t="shared" si="0"/>
        <v>639.44799999999998</v>
      </c>
      <c r="M16" s="116">
        <f t="shared" si="0"/>
        <v>681.03499999999997</v>
      </c>
      <c r="N16" s="116">
        <f t="shared" si="0"/>
        <v>689.79100000000005</v>
      </c>
      <c r="O16" s="116">
        <f t="shared" si="0"/>
        <v>721.36899999999991</v>
      </c>
      <c r="P16" s="116">
        <f t="shared" si="0"/>
        <v>705.64400000000001</v>
      </c>
      <c r="Q16" s="116">
        <f t="shared" si="0"/>
        <v>709.26699999999994</v>
      </c>
      <c r="R16" s="116">
        <f t="shared" si="0"/>
        <v>743.53499999999985</v>
      </c>
      <c r="S16" s="116">
        <f t="shared" si="0"/>
        <v>653.25800000000004</v>
      </c>
      <c r="T16" s="116">
        <f t="shared" si="0"/>
        <v>671.3660000000001</v>
      </c>
      <c r="U16" s="116">
        <f t="shared" si="0"/>
        <v>641.09999999999991</v>
      </c>
      <c r="V16" s="116">
        <f t="shared" si="0"/>
        <v>671.86899999999991</v>
      </c>
      <c r="W16" s="116">
        <f t="shared" si="0"/>
        <v>765.33999999999992</v>
      </c>
      <c r="X16" s="116">
        <f t="shared" si="0"/>
        <v>736.61900000000003</v>
      </c>
      <c r="Y16" s="116">
        <f t="shared" si="0"/>
        <v>742.30000000000007</v>
      </c>
      <c r="Z16" s="116">
        <f t="shared" si="0"/>
        <v>745.80799999999988</v>
      </c>
      <c r="AA16" s="116">
        <f t="shared" si="0"/>
        <v>780.1400000000001</v>
      </c>
      <c r="AB16" s="116">
        <f t="shared" si="0"/>
        <v>814.08199999999988</v>
      </c>
      <c r="AC16" s="116">
        <f t="shared" si="0"/>
        <v>780.84400000000005</v>
      </c>
      <c r="AD16" s="116">
        <f t="shared" si="0"/>
        <v>795.35500000000002</v>
      </c>
      <c r="AE16" s="116">
        <f t="shared" si="0"/>
        <v>488.05600000000004</v>
      </c>
      <c r="AF16" s="116">
        <f t="shared" ref="AF16" si="1">AF5+AF10+AF12+AF14</f>
        <v>665.00000000000011</v>
      </c>
    </row>
    <row r="17" spans="1:32" x14ac:dyDescent="0.2">
      <c r="A17" s="117" t="s">
        <v>509</v>
      </c>
      <c r="B17" s="2" t="s">
        <v>499</v>
      </c>
      <c r="C17" s="143">
        <f>C6</f>
        <v>184.374</v>
      </c>
      <c r="D17" s="143">
        <f>D6</f>
        <v>218.02199999999999</v>
      </c>
      <c r="E17" s="143">
        <f>E6+E13</f>
        <v>253.38600000000002</v>
      </c>
      <c r="F17" s="143">
        <f>F6+F11+F13</f>
        <v>703.98299999999995</v>
      </c>
      <c r="G17" s="143">
        <f t="shared" ref="G17:AE17" si="2">G6+G11+G13+G15</f>
        <v>884.8415</v>
      </c>
      <c r="H17" s="143">
        <f t="shared" si="2"/>
        <v>943.9425</v>
      </c>
      <c r="I17" s="143">
        <f t="shared" si="2"/>
        <v>1027.0999999999999</v>
      </c>
      <c r="J17" s="143">
        <f t="shared" si="2"/>
        <v>1068.2830000000001</v>
      </c>
      <c r="K17" s="143">
        <f t="shared" si="2"/>
        <v>1070.579</v>
      </c>
      <c r="L17" s="143">
        <f t="shared" si="2"/>
        <v>1087.443</v>
      </c>
      <c r="M17" s="143">
        <f t="shared" si="2"/>
        <v>1152.0310000000002</v>
      </c>
      <c r="N17" s="143">
        <f t="shared" si="2"/>
        <v>1147.7099999999998</v>
      </c>
      <c r="O17" s="143">
        <f t="shared" si="2"/>
        <v>1225.1660000000002</v>
      </c>
      <c r="P17" s="143">
        <f t="shared" si="2"/>
        <v>1167.1289999999999</v>
      </c>
      <c r="Q17" s="143">
        <f t="shared" si="2"/>
        <v>1223.8389999999999</v>
      </c>
      <c r="R17" s="143">
        <f t="shared" si="2"/>
        <v>1267.2859999999998</v>
      </c>
      <c r="S17" s="143">
        <f t="shared" si="2"/>
        <v>1095.7619999999999</v>
      </c>
      <c r="T17" s="143">
        <f t="shared" si="2"/>
        <v>1107.934</v>
      </c>
      <c r="U17" s="143">
        <f t="shared" si="2"/>
        <v>1095.3500000000001</v>
      </c>
      <c r="V17" s="143">
        <f t="shared" si="2"/>
        <v>1089.56</v>
      </c>
      <c r="W17" s="143">
        <f t="shared" si="2"/>
        <v>1291.5999999999997</v>
      </c>
      <c r="X17" s="143">
        <f t="shared" si="2"/>
        <v>1254.2189999999996</v>
      </c>
      <c r="Y17" s="143">
        <f t="shared" si="2"/>
        <v>1230</v>
      </c>
      <c r="Z17" s="143">
        <f t="shared" si="2"/>
        <v>1209.5940000000001</v>
      </c>
      <c r="AA17" s="143">
        <f t="shared" si="2"/>
        <v>1262.51</v>
      </c>
      <c r="AB17" s="143">
        <f t="shared" si="2"/>
        <v>1260.1400000000001</v>
      </c>
      <c r="AC17" s="143">
        <f t="shared" si="2"/>
        <v>1250.039</v>
      </c>
      <c r="AD17" s="143">
        <f t="shared" si="2"/>
        <v>1261.5519999999999</v>
      </c>
      <c r="AE17" s="143">
        <f t="shared" si="2"/>
        <v>732.8599999999999</v>
      </c>
      <c r="AF17" s="143">
        <f t="shared" ref="AF17" si="3">AF6+AF11+AF13+AF15</f>
        <v>1018.9</v>
      </c>
    </row>
  </sheetData>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J48"/>
  <sheetViews>
    <sheetView zoomScaleNormal="100" workbookViewId="0">
      <pane xSplit="3" ySplit="4" topLeftCell="Z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12.5546875" style="6" customWidth="1"/>
    <col min="2" max="2" width="36.109375" style="6" customWidth="1"/>
    <col min="3" max="3" width="14.6640625" style="6" customWidth="1"/>
    <col min="4" max="32" width="7.88671875" style="6" customWidth="1"/>
    <col min="33" max="16384" width="8.88671875" style="6"/>
  </cols>
  <sheetData>
    <row r="1" spans="1:33" s="5" customFormat="1" ht="15.75" x14ac:dyDescent="0.25">
      <c r="A1" s="1" t="s">
        <v>836</v>
      </c>
      <c r="B1" s="1"/>
      <c r="C1" s="1"/>
      <c r="D1" s="1"/>
      <c r="E1" s="1"/>
      <c r="F1" s="1"/>
      <c r="G1" s="1"/>
      <c r="H1" s="1"/>
      <c r="I1" s="1"/>
      <c r="J1" s="1"/>
      <c r="K1" s="1"/>
      <c r="L1" s="2"/>
      <c r="M1" s="3"/>
      <c r="N1" s="4"/>
      <c r="O1" s="4"/>
      <c r="P1" s="2"/>
    </row>
    <row r="2" spans="1:33" s="5" customFormat="1" ht="15.75" x14ac:dyDescent="0.25">
      <c r="A2" s="2" t="s">
        <v>5</v>
      </c>
      <c r="B2" s="2"/>
      <c r="C2" s="2"/>
      <c r="D2" s="2"/>
      <c r="E2" s="2"/>
      <c r="F2" s="2"/>
      <c r="G2" s="2"/>
      <c r="H2" s="2"/>
      <c r="I2" s="2"/>
      <c r="J2" s="2"/>
      <c r="K2" s="2"/>
      <c r="L2" s="2"/>
      <c r="M2" s="3"/>
      <c r="N2" s="4"/>
      <c r="O2" s="4"/>
      <c r="P2" s="2"/>
    </row>
    <row r="3" spans="1:33" s="5" customFormat="1" ht="15.75" x14ac:dyDescent="0.25">
      <c r="A3" s="5" t="s">
        <v>506</v>
      </c>
      <c r="L3" s="2"/>
      <c r="M3" s="3"/>
      <c r="N3" s="4"/>
      <c r="O3" s="4"/>
      <c r="P3" s="2"/>
    </row>
    <row r="4" spans="1:33" s="260" customFormat="1" ht="33.75" customHeight="1" x14ac:dyDescent="0.25">
      <c r="A4" s="259" t="s">
        <v>511</v>
      </c>
      <c r="B4" s="259" t="s">
        <v>487</v>
      </c>
      <c r="C4" s="259" t="s">
        <v>453</v>
      </c>
      <c r="D4" s="260" t="s">
        <v>63</v>
      </c>
      <c r="E4" s="260" t="s">
        <v>54</v>
      </c>
      <c r="F4" s="260" t="s">
        <v>55</v>
      </c>
      <c r="G4" s="260" t="s">
        <v>56</v>
      </c>
      <c r="H4" s="260" t="s">
        <v>40</v>
      </c>
      <c r="I4" s="260" t="s">
        <v>41</v>
      </c>
      <c r="J4" s="260" t="s">
        <v>42</v>
      </c>
      <c r="K4" s="260" t="s">
        <v>43</v>
      </c>
      <c r="L4" s="260" t="s">
        <v>17</v>
      </c>
      <c r="M4" s="260" t="s">
        <v>18</v>
      </c>
      <c r="N4" s="260" t="s">
        <v>44</v>
      </c>
      <c r="O4" s="260" t="s">
        <v>19</v>
      </c>
      <c r="P4" s="260" t="s">
        <v>20</v>
      </c>
      <c r="Q4" s="260" t="s">
        <v>21</v>
      </c>
      <c r="R4" s="260" t="s">
        <v>22</v>
      </c>
      <c r="S4" s="260" t="s">
        <v>23</v>
      </c>
      <c r="T4" s="260" t="s">
        <v>24</v>
      </c>
      <c r="U4" s="260" t="s">
        <v>25</v>
      </c>
      <c r="V4" s="260" t="s">
        <v>26</v>
      </c>
      <c r="W4" s="260" t="s">
        <v>27</v>
      </c>
      <c r="X4" s="260" t="s">
        <v>28</v>
      </c>
      <c r="Y4" s="260" t="s">
        <v>29</v>
      </c>
      <c r="Z4" s="260" t="s">
        <v>30</v>
      </c>
      <c r="AA4" s="260" t="s">
        <v>31</v>
      </c>
      <c r="AB4" s="260" t="s">
        <v>32</v>
      </c>
      <c r="AC4" s="260" t="s">
        <v>33</v>
      </c>
      <c r="AD4" s="260" t="s">
        <v>34</v>
      </c>
      <c r="AE4" s="260" t="s">
        <v>35</v>
      </c>
      <c r="AF4" s="260" t="s">
        <v>484</v>
      </c>
      <c r="AG4" s="245" t="s">
        <v>854</v>
      </c>
    </row>
    <row r="5" spans="1:33" x14ac:dyDescent="0.2">
      <c r="A5" s="117" t="s">
        <v>227</v>
      </c>
      <c r="B5" s="151" t="s">
        <v>706</v>
      </c>
      <c r="C5" s="145" t="s">
        <v>512</v>
      </c>
      <c r="D5" s="146">
        <v>577.1</v>
      </c>
      <c r="E5" s="146">
        <v>571.5</v>
      </c>
      <c r="F5" s="146">
        <v>578.9</v>
      </c>
      <c r="G5" s="146">
        <v>618.9</v>
      </c>
      <c r="H5" s="146">
        <v>620.5</v>
      </c>
      <c r="I5" s="146">
        <v>636.4</v>
      </c>
      <c r="J5" s="146">
        <v>618.29999999999995</v>
      </c>
      <c r="K5" s="147">
        <v>627.69299999999998</v>
      </c>
      <c r="L5" s="147">
        <v>626.62300000000005</v>
      </c>
      <c r="M5" s="140">
        <v>630.70000000000005</v>
      </c>
      <c r="N5" s="126">
        <v>660.3</v>
      </c>
      <c r="O5" s="144">
        <v>702</v>
      </c>
      <c r="P5" s="144">
        <v>716.63099999999997</v>
      </c>
      <c r="Q5" s="144">
        <v>742.649</v>
      </c>
      <c r="R5" s="144">
        <v>735.928</v>
      </c>
      <c r="S5" s="144">
        <v>749</v>
      </c>
      <c r="T5" s="144">
        <v>707.44100000000003</v>
      </c>
      <c r="U5" s="144">
        <v>715.72400000000005</v>
      </c>
      <c r="V5" s="144">
        <v>731.12599999999998</v>
      </c>
      <c r="W5" s="144">
        <v>692.43799999999999</v>
      </c>
      <c r="X5" s="147">
        <v>688.673</v>
      </c>
      <c r="Y5" s="141">
        <v>706.09400000000005</v>
      </c>
      <c r="Z5" s="141">
        <v>715.1</v>
      </c>
      <c r="AA5" s="117">
        <v>761.9</v>
      </c>
      <c r="AB5" s="5">
        <v>828.3</v>
      </c>
      <c r="AC5" s="117">
        <v>844.2</v>
      </c>
      <c r="AD5" s="117">
        <v>840.1</v>
      </c>
      <c r="AE5" s="118">
        <v>849.51900000000001</v>
      </c>
      <c r="AF5" s="119">
        <v>320.33499999999998</v>
      </c>
      <c r="AG5" s="279">
        <v>536.745</v>
      </c>
    </row>
    <row r="6" spans="1:33" ht="18" x14ac:dyDescent="0.2">
      <c r="A6" s="117" t="s">
        <v>227</v>
      </c>
      <c r="B6" s="163" t="s">
        <v>707</v>
      </c>
      <c r="C6" s="145" t="s">
        <v>512</v>
      </c>
      <c r="D6" s="146"/>
      <c r="E6" s="146"/>
      <c r="F6" s="146"/>
      <c r="G6" s="146"/>
      <c r="H6" s="146"/>
      <c r="I6" s="146"/>
      <c r="J6" s="146"/>
      <c r="K6" s="147"/>
      <c r="L6" s="147"/>
      <c r="M6" s="140"/>
      <c r="N6" s="126"/>
      <c r="O6" s="144"/>
      <c r="P6" s="144"/>
      <c r="Q6" s="144"/>
      <c r="R6" s="129" t="s">
        <v>46</v>
      </c>
      <c r="S6" s="129" t="s">
        <v>46</v>
      </c>
      <c r="T6" s="129" t="s">
        <v>46</v>
      </c>
      <c r="U6" s="129" t="s">
        <v>46</v>
      </c>
      <c r="V6" s="129" t="s">
        <v>46</v>
      </c>
      <c r="W6" s="129" t="s">
        <v>46</v>
      </c>
      <c r="X6" s="129" t="s">
        <v>46</v>
      </c>
      <c r="Y6" s="141">
        <v>9.8000000000000007</v>
      </c>
      <c r="Z6" s="141">
        <v>11.3</v>
      </c>
      <c r="AA6" s="117">
        <v>10.7</v>
      </c>
      <c r="AB6" s="5">
        <v>10.3</v>
      </c>
      <c r="AC6" s="118">
        <v>10</v>
      </c>
      <c r="AD6" s="118">
        <v>8.8000000000000007</v>
      </c>
      <c r="AE6" s="118">
        <v>11.468</v>
      </c>
      <c r="AF6" s="136">
        <v>0</v>
      </c>
      <c r="AG6" s="279">
        <v>8.4269999999999996</v>
      </c>
    </row>
    <row r="7" spans="1:33" x14ac:dyDescent="0.2">
      <c r="A7" s="117" t="s">
        <v>227</v>
      </c>
      <c r="B7" s="151" t="s">
        <v>671</v>
      </c>
      <c r="C7" s="145" t="s">
        <v>513</v>
      </c>
      <c r="D7" s="146">
        <v>149</v>
      </c>
      <c r="E7" s="146">
        <v>153.19999999999999</v>
      </c>
      <c r="F7" s="146">
        <v>135.5</v>
      </c>
      <c r="G7" s="146">
        <v>112.9</v>
      </c>
      <c r="H7" s="146">
        <v>51.1</v>
      </c>
      <c r="I7" s="146">
        <v>64.599999999999994</v>
      </c>
      <c r="J7" s="146">
        <v>46.5</v>
      </c>
      <c r="K7" s="140">
        <v>53.6</v>
      </c>
      <c r="L7" s="148">
        <v>53.9</v>
      </c>
      <c r="M7" s="140">
        <v>37.4</v>
      </c>
      <c r="N7" s="126">
        <v>39.200000000000003</v>
      </c>
      <c r="O7" s="144">
        <v>47</v>
      </c>
      <c r="P7" s="144">
        <v>45.601999999999997</v>
      </c>
      <c r="Q7" s="144">
        <v>48.216999999999999</v>
      </c>
      <c r="R7" s="144">
        <v>49.805999999999997</v>
      </c>
      <c r="S7" s="144">
        <v>50</v>
      </c>
      <c r="T7" s="146" t="s">
        <v>46</v>
      </c>
      <c r="U7" s="146" t="s">
        <v>46</v>
      </c>
      <c r="V7" s="146" t="s">
        <v>46</v>
      </c>
      <c r="W7" s="146" t="s">
        <v>46</v>
      </c>
      <c r="X7" s="146" t="s">
        <v>46</v>
      </c>
      <c r="Y7" s="129" t="s">
        <v>46</v>
      </c>
      <c r="Z7" s="129" t="s">
        <v>46</v>
      </c>
      <c r="AA7" s="129" t="s">
        <v>46</v>
      </c>
      <c r="AB7" s="129" t="s">
        <v>46</v>
      </c>
      <c r="AC7" s="129" t="s">
        <v>46</v>
      </c>
      <c r="AD7" s="129" t="s">
        <v>46</v>
      </c>
      <c r="AE7" s="122" t="s">
        <v>46</v>
      </c>
      <c r="AF7" s="122" t="s">
        <v>46</v>
      </c>
      <c r="AG7" s="122" t="s">
        <v>46</v>
      </c>
    </row>
    <row r="8" spans="1:33" ht="18.75" customHeight="1" x14ac:dyDescent="0.2">
      <c r="A8" s="117" t="s">
        <v>227</v>
      </c>
      <c r="B8" s="151" t="s">
        <v>708</v>
      </c>
      <c r="C8" s="145" t="s">
        <v>512</v>
      </c>
      <c r="D8" s="146">
        <v>206.6</v>
      </c>
      <c r="E8" s="146">
        <v>242.1</v>
      </c>
      <c r="F8" s="146">
        <v>230.8</v>
      </c>
      <c r="G8" s="146">
        <v>253.3</v>
      </c>
      <c r="H8" s="146">
        <v>258.39999999999998</v>
      </c>
      <c r="I8" s="146">
        <v>272.5</v>
      </c>
      <c r="J8" s="146">
        <v>244.5</v>
      </c>
      <c r="K8" s="147">
        <v>243.92500000000001</v>
      </c>
      <c r="L8" s="147">
        <v>249.55099999999999</v>
      </c>
      <c r="M8" s="140">
        <v>285.39999999999998</v>
      </c>
      <c r="N8" s="126">
        <v>269.8</v>
      </c>
      <c r="O8" s="144">
        <v>272.89999999999998</v>
      </c>
      <c r="P8" s="144">
        <v>268.37700000000001</v>
      </c>
      <c r="Q8" s="144">
        <v>279.85000000000002</v>
      </c>
      <c r="R8" s="144">
        <v>264.64400000000001</v>
      </c>
      <c r="S8" s="144">
        <v>257.5</v>
      </c>
      <c r="T8" s="144">
        <v>256.33199999999999</v>
      </c>
      <c r="U8" s="144">
        <v>260.62599999999998</v>
      </c>
      <c r="V8" s="144">
        <v>264.28699999999998</v>
      </c>
      <c r="W8" s="144">
        <v>227.99600000000001</v>
      </c>
      <c r="X8" s="147">
        <v>217.05</v>
      </c>
      <c r="Y8" s="118">
        <v>222.1</v>
      </c>
      <c r="Z8" s="118">
        <v>214.5</v>
      </c>
      <c r="AA8" s="117">
        <v>209.4</v>
      </c>
      <c r="AB8" s="119">
        <v>232</v>
      </c>
      <c r="AC8" s="117">
        <v>216.2</v>
      </c>
      <c r="AD8" s="117">
        <v>201.9</v>
      </c>
      <c r="AE8" s="118">
        <v>199.19900000000001</v>
      </c>
      <c r="AF8" s="119">
        <v>116.4</v>
      </c>
      <c r="AG8" s="279">
        <v>165.267</v>
      </c>
    </row>
    <row r="9" spans="1:33" x14ac:dyDescent="0.2">
      <c r="A9" s="117" t="s">
        <v>227</v>
      </c>
      <c r="B9" s="151" t="s">
        <v>693</v>
      </c>
      <c r="C9" s="145" t="s">
        <v>512</v>
      </c>
      <c r="D9" s="146"/>
      <c r="E9" s="146"/>
      <c r="F9" s="146"/>
      <c r="G9" s="146"/>
      <c r="H9" s="146"/>
      <c r="I9" s="146"/>
      <c r="J9" s="146"/>
      <c r="K9" s="147"/>
      <c r="L9" s="147"/>
      <c r="M9" s="140"/>
      <c r="N9" s="126"/>
      <c r="O9" s="144"/>
      <c r="P9" s="144"/>
      <c r="Q9" s="144"/>
      <c r="R9" s="144"/>
      <c r="S9" s="144"/>
      <c r="T9" s="144"/>
      <c r="U9" s="144"/>
      <c r="V9" s="144" t="s">
        <v>37</v>
      </c>
      <c r="W9" s="144" t="s">
        <v>37</v>
      </c>
      <c r="X9" s="144" t="s">
        <v>37</v>
      </c>
      <c r="Y9" s="144" t="s">
        <v>37</v>
      </c>
      <c r="Z9" s="144" t="s">
        <v>37</v>
      </c>
      <c r="AA9" s="144" t="s">
        <v>37</v>
      </c>
      <c r="AB9" s="144" t="s">
        <v>37</v>
      </c>
      <c r="AC9" s="144" t="s">
        <v>37</v>
      </c>
      <c r="AD9" s="144" t="s">
        <v>37</v>
      </c>
      <c r="AE9" s="144" t="s">
        <v>37</v>
      </c>
      <c r="AF9" s="119">
        <v>16.056000000000001</v>
      </c>
      <c r="AG9" s="279">
        <v>39.329000000000001</v>
      </c>
    </row>
    <row r="10" spans="1:33" x14ac:dyDescent="0.2">
      <c r="A10" s="117" t="s">
        <v>227</v>
      </c>
      <c r="B10" s="151" t="s">
        <v>672</v>
      </c>
      <c r="C10" s="145" t="s">
        <v>512</v>
      </c>
      <c r="D10" s="146">
        <v>669.8</v>
      </c>
      <c r="E10" s="146">
        <v>653.29999999999995</v>
      </c>
      <c r="F10" s="146">
        <v>614.9</v>
      </c>
      <c r="G10" s="146">
        <v>636.20000000000005</v>
      </c>
      <c r="H10" s="146">
        <v>643.70000000000005</v>
      </c>
      <c r="I10" s="146">
        <v>632.79999999999995</v>
      </c>
      <c r="J10" s="146">
        <v>613.70000000000005</v>
      </c>
      <c r="K10" s="146">
        <v>634.46</v>
      </c>
      <c r="L10" s="148">
        <v>621.90200000000004</v>
      </c>
      <c r="M10" s="148">
        <v>627.1</v>
      </c>
      <c r="N10" s="126">
        <v>593.70000000000005</v>
      </c>
      <c r="O10" s="144">
        <v>565.6</v>
      </c>
      <c r="P10" s="144">
        <v>619.77599999999995</v>
      </c>
      <c r="Q10" s="144">
        <v>624.73199999999997</v>
      </c>
      <c r="R10" s="146" t="s">
        <v>46</v>
      </c>
      <c r="S10" s="146" t="s">
        <v>46</v>
      </c>
      <c r="T10" s="146" t="s">
        <v>46</v>
      </c>
      <c r="U10" s="146" t="s">
        <v>46</v>
      </c>
      <c r="V10" s="146" t="s">
        <v>46</v>
      </c>
      <c r="W10" s="146" t="s">
        <v>46</v>
      </c>
      <c r="X10" s="146" t="s">
        <v>46</v>
      </c>
      <c r="Y10" s="129" t="s">
        <v>46</v>
      </c>
      <c r="Z10" s="129" t="s">
        <v>46</v>
      </c>
      <c r="AA10" s="129" t="s">
        <v>46</v>
      </c>
      <c r="AB10" s="129" t="s">
        <v>46</v>
      </c>
      <c r="AC10" s="129" t="s">
        <v>46</v>
      </c>
      <c r="AD10" s="129" t="s">
        <v>46</v>
      </c>
      <c r="AE10" s="129" t="s">
        <v>46</v>
      </c>
      <c r="AF10" s="129" t="s">
        <v>46</v>
      </c>
      <c r="AG10" s="122" t="s">
        <v>46</v>
      </c>
    </row>
    <row r="11" spans="1:33" x14ac:dyDescent="0.2">
      <c r="A11" s="117" t="s">
        <v>227</v>
      </c>
      <c r="B11" s="151" t="s">
        <v>670</v>
      </c>
      <c r="C11" s="145" t="s">
        <v>514</v>
      </c>
      <c r="D11" s="146" t="s">
        <v>46</v>
      </c>
      <c r="E11" s="146" t="s">
        <v>46</v>
      </c>
      <c r="F11" s="146" t="s">
        <v>46</v>
      </c>
      <c r="G11" s="146" t="s">
        <v>46</v>
      </c>
      <c r="H11" s="146" t="s">
        <v>46</v>
      </c>
      <c r="I11" s="146" t="s">
        <v>46</v>
      </c>
      <c r="J11" s="146" t="s">
        <v>46</v>
      </c>
      <c r="K11" s="146" t="s">
        <v>46</v>
      </c>
      <c r="L11" s="146" t="s">
        <v>46</v>
      </c>
      <c r="M11" s="146" t="s">
        <v>46</v>
      </c>
      <c r="N11" s="146" t="s">
        <v>46</v>
      </c>
      <c r="O11" s="146" t="s">
        <v>46</v>
      </c>
      <c r="P11" s="146" t="s">
        <v>46</v>
      </c>
      <c r="Q11" s="146" t="s">
        <v>46</v>
      </c>
      <c r="R11" s="144">
        <v>615.21500000000003</v>
      </c>
      <c r="S11" s="144">
        <v>607.20000000000005</v>
      </c>
      <c r="T11" s="144">
        <v>550.84900000000005</v>
      </c>
      <c r="U11" s="144">
        <v>533.47900000000004</v>
      </c>
      <c r="V11" s="144">
        <v>499.22800000000001</v>
      </c>
      <c r="W11" s="146" t="s">
        <v>46</v>
      </c>
      <c r="X11" s="146" t="s">
        <v>46</v>
      </c>
      <c r="Y11" s="129" t="s">
        <v>46</v>
      </c>
      <c r="Z11" s="129" t="s">
        <v>46</v>
      </c>
      <c r="AA11" s="129" t="s">
        <v>46</v>
      </c>
      <c r="AB11" s="129" t="s">
        <v>46</v>
      </c>
      <c r="AC11" s="129" t="s">
        <v>46</v>
      </c>
      <c r="AD11" s="129" t="s">
        <v>46</v>
      </c>
      <c r="AE11" s="129" t="s">
        <v>46</v>
      </c>
      <c r="AF11" s="129" t="s">
        <v>46</v>
      </c>
      <c r="AG11" s="122" t="s">
        <v>46</v>
      </c>
    </row>
    <row r="12" spans="1:33" x14ac:dyDescent="0.2">
      <c r="A12" s="117" t="s">
        <v>227</v>
      </c>
      <c r="B12" s="151" t="s">
        <v>670</v>
      </c>
      <c r="C12" s="145" t="s">
        <v>515</v>
      </c>
      <c r="D12" s="146" t="s">
        <v>46</v>
      </c>
      <c r="E12" s="146" t="s">
        <v>46</v>
      </c>
      <c r="F12" s="146" t="s">
        <v>46</v>
      </c>
      <c r="G12" s="146" t="s">
        <v>46</v>
      </c>
      <c r="H12" s="146" t="s">
        <v>46</v>
      </c>
      <c r="I12" s="146" t="s">
        <v>46</v>
      </c>
      <c r="J12" s="146" t="s">
        <v>46</v>
      </c>
      <c r="K12" s="146" t="s">
        <v>46</v>
      </c>
      <c r="L12" s="146" t="s">
        <v>46</v>
      </c>
      <c r="M12" s="146" t="s">
        <v>46</v>
      </c>
      <c r="N12" s="146" t="s">
        <v>46</v>
      </c>
      <c r="O12" s="146" t="s">
        <v>46</v>
      </c>
      <c r="P12" s="146" t="s">
        <v>46</v>
      </c>
      <c r="Q12" s="146" t="s">
        <v>46</v>
      </c>
      <c r="R12" s="146" t="s">
        <v>46</v>
      </c>
      <c r="S12" s="146" t="s">
        <v>46</v>
      </c>
      <c r="T12" s="146" t="s">
        <v>46</v>
      </c>
      <c r="U12" s="146" t="s">
        <v>46</v>
      </c>
      <c r="V12" s="146" t="s">
        <v>46</v>
      </c>
      <c r="W12" s="144">
        <v>409.23599999999999</v>
      </c>
      <c r="X12" s="147">
        <v>341.274</v>
      </c>
      <c r="Y12" s="118">
        <v>299.24</v>
      </c>
      <c r="Z12" s="118">
        <v>310.10000000000002</v>
      </c>
      <c r="AA12" s="117">
        <v>305.5</v>
      </c>
      <c r="AB12" s="5">
        <v>303.39999999999998</v>
      </c>
      <c r="AC12" s="117">
        <v>301.8</v>
      </c>
      <c r="AD12" s="117">
        <v>287.89999999999998</v>
      </c>
      <c r="AE12" s="118">
        <v>299.101</v>
      </c>
      <c r="AF12" s="119">
        <v>104.908</v>
      </c>
      <c r="AG12" s="279">
        <v>131.60599999999999</v>
      </c>
    </row>
    <row r="13" spans="1:33" x14ac:dyDescent="0.2">
      <c r="A13" s="117" t="s">
        <v>227</v>
      </c>
      <c r="B13" s="151" t="s">
        <v>709</v>
      </c>
      <c r="C13" s="145" t="s">
        <v>512</v>
      </c>
      <c r="D13" s="146">
        <v>680</v>
      </c>
      <c r="E13" s="146">
        <v>667.8</v>
      </c>
      <c r="F13" s="146">
        <v>647.79999999999995</v>
      </c>
      <c r="G13" s="146">
        <v>690.1</v>
      </c>
      <c r="H13" s="146">
        <v>654.4</v>
      </c>
      <c r="I13" s="146">
        <v>649.4</v>
      </c>
      <c r="J13" s="146">
        <v>621</v>
      </c>
      <c r="K13" s="147">
        <v>629.149</v>
      </c>
      <c r="L13" s="147">
        <v>623.274</v>
      </c>
      <c r="M13" s="140">
        <v>647.6</v>
      </c>
      <c r="N13" s="126">
        <v>659.5</v>
      </c>
      <c r="O13" s="144">
        <v>710</v>
      </c>
      <c r="P13" s="144">
        <v>682.93600000000004</v>
      </c>
      <c r="Q13" s="144">
        <v>698.55100000000004</v>
      </c>
      <c r="R13" s="144">
        <v>722.56100000000004</v>
      </c>
      <c r="S13" s="144">
        <v>750.4</v>
      </c>
      <c r="T13" s="144">
        <v>710.83699999999999</v>
      </c>
      <c r="U13" s="144">
        <v>720.41099999999994</v>
      </c>
      <c r="V13" s="144">
        <v>727.31</v>
      </c>
      <c r="W13" s="144">
        <v>697.71299999999997</v>
      </c>
      <c r="X13" s="147">
        <v>695.44100000000003</v>
      </c>
      <c r="Y13" s="118">
        <v>708.91200000000003</v>
      </c>
      <c r="Z13" s="118">
        <v>706.1</v>
      </c>
      <c r="AA13" s="117">
        <v>687.1</v>
      </c>
      <c r="AB13" s="5">
        <v>738.5</v>
      </c>
      <c r="AC13" s="117">
        <v>745.6</v>
      </c>
      <c r="AD13" s="117">
        <v>793.2</v>
      </c>
      <c r="AE13" s="118">
        <v>786.81899999999996</v>
      </c>
      <c r="AF13" s="119">
        <v>421.834</v>
      </c>
      <c r="AG13" s="279">
        <v>619.09500000000003</v>
      </c>
    </row>
    <row r="14" spans="1:33" x14ac:dyDescent="0.2">
      <c r="A14" s="117" t="s">
        <v>227</v>
      </c>
      <c r="B14" s="151" t="s">
        <v>710</v>
      </c>
      <c r="C14" s="145" t="s">
        <v>512</v>
      </c>
      <c r="D14" s="146">
        <v>62.4</v>
      </c>
      <c r="E14" s="146">
        <v>60.1</v>
      </c>
      <c r="F14" s="146">
        <v>54.9</v>
      </c>
      <c r="G14" s="146">
        <v>61</v>
      </c>
      <c r="H14" s="146">
        <v>60.8</v>
      </c>
      <c r="I14" s="146">
        <v>57.2</v>
      </c>
      <c r="J14" s="146">
        <v>51.4</v>
      </c>
      <c r="K14" s="149">
        <v>48.868000000000002</v>
      </c>
      <c r="L14" s="149">
        <v>46.853000000000002</v>
      </c>
      <c r="M14" s="140">
        <v>52.6</v>
      </c>
      <c r="N14" s="126">
        <v>51.7</v>
      </c>
      <c r="O14" s="144">
        <v>54</v>
      </c>
      <c r="P14" s="144">
        <v>53.963999999999999</v>
      </c>
      <c r="Q14" s="144">
        <v>53.988999999999997</v>
      </c>
      <c r="R14" s="144">
        <v>52.393000000000001</v>
      </c>
      <c r="S14" s="144">
        <v>54.5</v>
      </c>
      <c r="T14" s="144">
        <v>50.16</v>
      </c>
      <c r="U14" s="144">
        <v>54.433</v>
      </c>
      <c r="V14" s="144">
        <v>52.061999999999998</v>
      </c>
      <c r="W14" s="144">
        <v>46.887999999999998</v>
      </c>
      <c r="X14" s="147">
        <v>43.741</v>
      </c>
      <c r="Y14" s="118">
        <v>43.029000000000003</v>
      </c>
      <c r="Z14" s="118">
        <v>46.7</v>
      </c>
      <c r="AA14" s="117">
        <v>58.8</v>
      </c>
      <c r="AB14" s="5">
        <v>66.400000000000006</v>
      </c>
      <c r="AC14" s="117">
        <v>67.2</v>
      </c>
      <c r="AD14" s="117">
        <v>72</v>
      </c>
      <c r="AE14" s="118">
        <v>75.260000000000005</v>
      </c>
      <c r="AF14" s="119">
        <v>30.521000000000001</v>
      </c>
      <c r="AG14" s="279">
        <v>68.159000000000006</v>
      </c>
    </row>
    <row r="15" spans="1:33" x14ac:dyDescent="0.2">
      <c r="A15" s="117" t="s">
        <v>227</v>
      </c>
      <c r="B15" s="151" t="s">
        <v>711</v>
      </c>
      <c r="C15" s="145" t="s">
        <v>512</v>
      </c>
      <c r="D15" s="146" t="s">
        <v>46</v>
      </c>
      <c r="E15" s="146" t="s">
        <v>46</v>
      </c>
      <c r="F15" s="150">
        <v>18.8</v>
      </c>
      <c r="G15" s="146">
        <v>31.4</v>
      </c>
      <c r="H15" s="146">
        <v>39.200000000000003</v>
      </c>
      <c r="I15" s="146">
        <v>36</v>
      </c>
      <c r="J15" s="146">
        <v>42.6</v>
      </c>
      <c r="K15" s="147">
        <v>39.378999999999998</v>
      </c>
      <c r="L15" s="147">
        <v>37.5</v>
      </c>
      <c r="M15" s="140">
        <v>41.7</v>
      </c>
      <c r="N15" s="126">
        <v>40.700000000000003</v>
      </c>
      <c r="O15" s="144">
        <v>49</v>
      </c>
      <c r="P15" s="144">
        <v>52.868000000000002</v>
      </c>
      <c r="Q15" s="144">
        <v>57.87</v>
      </c>
      <c r="R15" s="144">
        <v>67.605000000000004</v>
      </c>
      <c r="S15" s="144">
        <v>60.4</v>
      </c>
      <c r="T15" s="144">
        <v>59.475999999999999</v>
      </c>
      <c r="U15" s="144">
        <v>69.721000000000004</v>
      </c>
      <c r="V15" s="144">
        <v>68.094999999999999</v>
      </c>
      <c r="W15" s="144">
        <v>61.656999999999996</v>
      </c>
      <c r="X15" s="147">
        <v>60.929000000000002</v>
      </c>
      <c r="Y15" s="118">
        <v>61.73</v>
      </c>
      <c r="Z15" s="118">
        <v>62.7</v>
      </c>
      <c r="AA15" s="117">
        <v>63.3</v>
      </c>
      <c r="AB15" s="5">
        <v>85.8</v>
      </c>
      <c r="AC15" s="117">
        <v>85.7</v>
      </c>
      <c r="AD15" s="117">
        <v>88.5</v>
      </c>
      <c r="AE15" s="118">
        <v>95.762</v>
      </c>
      <c r="AF15" s="119">
        <v>47.518999999999998</v>
      </c>
      <c r="AG15" s="279">
        <v>77.016000000000005</v>
      </c>
    </row>
    <row r="16" spans="1:33" x14ac:dyDescent="0.2">
      <c r="A16" s="117" t="s">
        <v>227</v>
      </c>
      <c r="B16" s="163" t="s">
        <v>712</v>
      </c>
      <c r="C16" s="145" t="s">
        <v>512</v>
      </c>
      <c r="D16" s="146">
        <v>640.70000000000005</v>
      </c>
      <c r="E16" s="146">
        <v>624.5</v>
      </c>
      <c r="F16" s="146">
        <v>656.2</v>
      </c>
      <c r="G16" s="146">
        <v>701.8</v>
      </c>
      <c r="H16" s="146">
        <v>693.1</v>
      </c>
      <c r="I16" s="146">
        <v>685.7</v>
      </c>
      <c r="J16" s="146">
        <v>677.1</v>
      </c>
      <c r="K16" s="147">
        <v>666.65899999999999</v>
      </c>
      <c r="L16" s="147">
        <v>681.09900000000005</v>
      </c>
      <c r="M16" s="140">
        <v>708.3</v>
      </c>
      <c r="N16" s="126">
        <v>709.7</v>
      </c>
      <c r="O16" s="144">
        <v>770.7</v>
      </c>
      <c r="P16" s="144">
        <v>764.15899999999999</v>
      </c>
      <c r="Q16" s="144">
        <v>750.11900000000003</v>
      </c>
      <c r="R16" s="144">
        <v>759.68</v>
      </c>
      <c r="S16" s="144">
        <v>770.3</v>
      </c>
      <c r="T16" s="144">
        <v>740.96900000000005</v>
      </c>
      <c r="U16" s="144">
        <v>755.93</v>
      </c>
      <c r="V16" s="144">
        <v>735.30799999999999</v>
      </c>
      <c r="W16" s="144">
        <v>711.53700000000003</v>
      </c>
      <c r="X16" s="147">
        <v>690.14400000000001</v>
      </c>
      <c r="Y16" s="118">
        <v>676.92600000000004</v>
      </c>
      <c r="Z16" s="118">
        <v>674.1</v>
      </c>
      <c r="AA16" s="117">
        <v>631.70000000000005</v>
      </c>
      <c r="AB16" s="5">
        <v>675.7</v>
      </c>
      <c r="AC16" s="117">
        <v>713.9</v>
      </c>
      <c r="AD16" s="117">
        <v>724.5</v>
      </c>
      <c r="AE16" s="118">
        <v>727.09799999999996</v>
      </c>
      <c r="AF16" s="119">
        <v>332.22899999999998</v>
      </c>
      <c r="AG16" s="279">
        <v>503.45299999999997</v>
      </c>
    </row>
    <row r="17" spans="1:33" x14ac:dyDescent="0.2">
      <c r="A17" s="117" t="s">
        <v>227</v>
      </c>
      <c r="B17" s="151" t="s">
        <v>516</v>
      </c>
      <c r="C17" s="145" t="s">
        <v>524</v>
      </c>
      <c r="D17" s="271">
        <f t="shared" ref="D17:W17" si="0">SUM(D5:D16)</f>
        <v>2985.6000000000004</v>
      </c>
      <c r="E17" s="271">
        <f t="shared" si="0"/>
        <v>2972.4999999999995</v>
      </c>
      <c r="F17" s="271">
        <f t="shared" si="0"/>
        <v>2937.8</v>
      </c>
      <c r="G17" s="271">
        <f t="shared" si="0"/>
        <v>3105.6000000000004</v>
      </c>
      <c r="H17" s="271">
        <f t="shared" si="0"/>
        <v>3021.2</v>
      </c>
      <c r="I17" s="271">
        <f t="shared" si="0"/>
        <v>3034.5999999999995</v>
      </c>
      <c r="J17" s="271">
        <f t="shared" si="0"/>
        <v>2915.1</v>
      </c>
      <c r="K17" s="271">
        <f t="shared" si="0"/>
        <v>2943.7330000000002</v>
      </c>
      <c r="L17" s="271">
        <f t="shared" si="0"/>
        <v>2940.7020000000002</v>
      </c>
      <c r="M17" s="271">
        <f t="shared" si="0"/>
        <v>3030.7999999999993</v>
      </c>
      <c r="N17" s="271">
        <f t="shared" si="0"/>
        <v>3024.5999999999995</v>
      </c>
      <c r="O17" s="271">
        <f t="shared" si="0"/>
        <v>3171.2</v>
      </c>
      <c r="P17" s="271">
        <f t="shared" si="0"/>
        <v>3204.3130000000001</v>
      </c>
      <c r="Q17" s="271">
        <f t="shared" si="0"/>
        <v>3255.9769999999999</v>
      </c>
      <c r="R17" s="271">
        <f t="shared" si="0"/>
        <v>3267.8320000000003</v>
      </c>
      <c r="S17" s="271">
        <f t="shared" si="0"/>
        <v>3299.3</v>
      </c>
      <c r="T17" s="271">
        <f t="shared" si="0"/>
        <v>3076.0639999999999</v>
      </c>
      <c r="U17" s="271">
        <f t="shared" si="0"/>
        <v>3110.3240000000001</v>
      </c>
      <c r="V17" s="271">
        <f t="shared" si="0"/>
        <v>3077.4159999999997</v>
      </c>
      <c r="W17" s="271">
        <f t="shared" si="0"/>
        <v>2847.4650000000001</v>
      </c>
      <c r="X17" s="271">
        <f t="shared" ref="X17:AG17" si="1">SUM(X5:X16)</f>
        <v>2737.252</v>
      </c>
      <c r="Y17" s="271">
        <f t="shared" si="1"/>
        <v>2727.8309999999997</v>
      </c>
      <c r="Z17" s="271">
        <f t="shared" si="1"/>
        <v>2740.6</v>
      </c>
      <c r="AA17" s="271">
        <f t="shared" si="1"/>
        <v>2728.3999999999996</v>
      </c>
      <c r="AB17" s="271">
        <f t="shared" si="1"/>
        <v>2940.4000000000005</v>
      </c>
      <c r="AC17" s="271">
        <f t="shared" si="1"/>
        <v>2984.6</v>
      </c>
      <c r="AD17" s="271">
        <f t="shared" si="1"/>
        <v>3016.8999999999996</v>
      </c>
      <c r="AE17" s="271">
        <f t="shared" si="1"/>
        <v>3044.2260000000001</v>
      </c>
      <c r="AF17" s="271">
        <f t="shared" si="1"/>
        <v>1389.8019999999999</v>
      </c>
      <c r="AG17" s="271">
        <f t="shared" si="1"/>
        <v>2149.0970000000002</v>
      </c>
    </row>
    <row r="18" spans="1:33" ht="51.75" customHeight="1" x14ac:dyDescent="0.2">
      <c r="A18" s="161" t="s">
        <v>519</v>
      </c>
      <c r="B18" s="163" t="s">
        <v>713</v>
      </c>
      <c r="C18" s="145" t="s">
        <v>512</v>
      </c>
      <c r="D18" s="146" t="s">
        <v>46</v>
      </c>
      <c r="E18" s="146" t="s">
        <v>46</v>
      </c>
      <c r="F18" s="146" t="s">
        <v>46</v>
      </c>
      <c r="G18" s="146" t="s">
        <v>46</v>
      </c>
      <c r="H18" s="146" t="s">
        <v>46</v>
      </c>
      <c r="I18" s="146" t="s">
        <v>46</v>
      </c>
      <c r="J18" s="146" t="s">
        <v>46</v>
      </c>
      <c r="K18" s="146" t="s">
        <v>46</v>
      </c>
      <c r="L18" s="152">
        <v>0</v>
      </c>
      <c r="M18" s="153">
        <v>0</v>
      </c>
      <c r="N18" s="153" t="s">
        <v>46</v>
      </c>
      <c r="O18" s="144">
        <v>27.234999999999999</v>
      </c>
      <c r="P18" s="144">
        <v>38.707000000000001</v>
      </c>
      <c r="Q18" s="147">
        <v>37.094999999999999</v>
      </c>
      <c r="R18" s="147">
        <v>37.335999999999999</v>
      </c>
      <c r="S18" s="147">
        <v>38.692999999999998</v>
      </c>
      <c r="T18" s="144">
        <v>39.720999999999997</v>
      </c>
      <c r="U18" s="144">
        <v>48.787999999999997</v>
      </c>
      <c r="V18" s="144">
        <v>46.095999999999997</v>
      </c>
      <c r="W18" s="144">
        <v>48.438000000000002</v>
      </c>
      <c r="X18" s="147">
        <v>46.146999999999998</v>
      </c>
      <c r="Y18" s="118">
        <v>45.469000000000001</v>
      </c>
      <c r="Z18" s="118">
        <v>47.4</v>
      </c>
      <c r="AA18" s="117">
        <v>48.1</v>
      </c>
      <c r="AB18" s="5">
        <v>57.1</v>
      </c>
      <c r="AC18" s="118">
        <v>60</v>
      </c>
      <c r="AD18" s="118">
        <v>61.1</v>
      </c>
      <c r="AE18" s="118">
        <v>63.691000000000003</v>
      </c>
      <c r="AF18" s="119">
        <v>25.178000000000001</v>
      </c>
      <c r="AG18" s="250">
        <v>49.247</v>
      </c>
    </row>
    <row r="19" spans="1:33" x14ac:dyDescent="0.2">
      <c r="A19" s="161" t="s">
        <v>519</v>
      </c>
      <c r="B19" s="163" t="s">
        <v>714</v>
      </c>
      <c r="C19" s="145" t="s">
        <v>512</v>
      </c>
      <c r="D19" s="146" t="s">
        <v>46</v>
      </c>
      <c r="E19" s="146" t="s">
        <v>46</v>
      </c>
      <c r="F19" s="146" t="s">
        <v>46</v>
      </c>
      <c r="G19" s="146" t="s">
        <v>46</v>
      </c>
      <c r="H19" s="146">
        <v>25.885000000000002</v>
      </c>
      <c r="I19" s="146">
        <v>30.582000000000001</v>
      </c>
      <c r="J19" s="146">
        <v>36.6</v>
      </c>
      <c r="K19" s="147">
        <v>39.307000000000002</v>
      </c>
      <c r="L19" s="153">
        <v>0</v>
      </c>
      <c r="M19" s="153">
        <v>0</v>
      </c>
      <c r="N19" s="126">
        <v>44.7</v>
      </c>
      <c r="O19" s="144">
        <v>48</v>
      </c>
      <c r="P19" s="144">
        <v>51.75</v>
      </c>
      <c r="Q19" s="147">
        <v>52.243000000000002</v>
      </c>
      <c r="R19" s="147">
        <v>51.405000000000001</v>
      </c>
      <c r="S19" s="147">
        <v>53.8</v>
      </c>
      <c r="T19" s="144">
        <v>53.941000000000003</v>
      </c>
      <c r="U19" s="144">
        <v>58.244</v>
      </c>
      <c r="V19" s="144">
        <v>58.02</v>
      </c>
      <c r="W19" s="144">
        <v>58.091999999999999</v>
      </c>
      <c r="X19" s="147">
        <v>52.774999999999999</v>
      </c>
      <c r="Y19" s="118">
        <v>54.393000000000001</v>
      </c>
      <c r="Z19" s="118">
        <v>57.7</v>
      </c>
      <c r="AA19" s="117">
        <v>54.4</v>
      </c>
      <c r="AB19" s="5">
        <v>63.1</v>
      </c>
      <c r="AC19" s="117">
        <v>68.400000000000006</v>
      </c>
      <c r="AD19" s="117">
        <v>69.599999999999994</v>
      </c>
      <c r="AE19" s="118">
        <v>75.507999999999996</v>
      </c>
      <c r="AF19" s="119">
        <v>28.326000000000001</v>
      </c>
      <c r="AG19" s="250">
        <v>56.65</v>
      </c>
    </row>
    <row r="20" spans="1:33" x14ac:dyDescent="0.2">
      <c r="A20" s="161" t="s">
        <v>519</v>
      </c>
      <c r="B20" s="163" t="s">
        <v>715</v>
      </c>
      <c r="C20" s="145" t="s">
        <v>512</v>
      </c>
      <c r="D20" s="146">
        <v>268.3</v>
      </c>
      <c r="E20" s="146">
        <v>248.7</v>
      </c>
      <c r="F20" s="146">
        <v>269.7</v>
      </c>
      <c r="G20" s="146">
        <v>279.5</v>
      </c>
      <c r="H20" s="146">
        <v>288.5</v>
      </c>
      <c r="I20" s="146">
        <v>313.8</v>
      </c>
      <c r="J20" s="146">
        <v>267.60000000000002</v>
      </c>
      <c r="K20" s="147">
        <v>256.952</v>
      </c>
      <c r="L20" s="147">
        <v>246.13499999999999</v>
      </c>
      <c r="M20" s="140">
        <v>245.4</v>
      </c>
      <c r="N20" s="126">
        <v>245.7</v>
      </c>
      <c r="O20" s="144">
        <v>250</v>
      </c>
      <c r="P20" s="144">
        <v>257.39299999999997</v>
      </c>
      <c r="Q20" s="147">
        <v>245.88300000000001</v>
      </c>
      <c r="R20" s="147">
        <v>255.501</v>
      </c>
      <c r="S20" s="147">
        <v>246.8</v>
      </c>
      <c r="T20" s="144">
        <v>222.25299999999999</v>
      </c>
      <c r="U20" s="144">
        <v>232.215</v>
      </c>
      <c r="V20" s="144">
        <v>233.19399999999999</v>
      </c>
      <c r="W20" s="144">
        <v>221.65700000000001</v>
      </c>
      <c r="X20" s="147">
        <v>213.54</v>
      </c>
      <c r="Y20" s="118">
        <v>224.22800000000001</v>
      </c>
      <c r="Z20" s="118">
        <v>223.9</v>
      </c>
      <c r="AA20" s="117">
        <v>215.4</v>
      </c>
      <c r="AB20" s="5">
        <v>243.2</v>
      </c>
      <c r="AC20" s="117">
        <v>250.3</v>
      </c>
      <c r="AD20" s="117">
        <v>229.5</v>
      </c>
      <c r="AE20" s="118">
        <v>243.386</v>
      </c>
      <c r="AF20" s="119">
        <v>56.643999999999998</v>
      </c>
      <c r="AG20" s="250">
        <v>133.92099999999999</v>
      </c>
    </row>
    <row r="21" spans="1:33" x14ac:dyDescent="0.2">
      <c r="A21" s="161" t="s">
        <v>519</v>
      </c>
      <c r="B21" s="163" t="s">
        <v>716</v>
      </c>
      <c r="C21" s="145" t="s">
        <v>512</v>
      </c>
      <c r="D21" s="146">
        <v>90.3</v>
      </c>
      <c r="E21" s="146">
        <v>97.8</v>
      </c>
      <c r="F21" s="146">
        <v>107.9</v>
      </c>
      <c r="G21" s="146">
        <v>115.6</v>
      </c>
      <c r="H21" s="146">
        <v>120</v>
      </c>
      <c r="I21" s="146">
        <v>117.3</v>
      </c>
      <c r="J21" s="146">
        <v>111.3</v>
      </c>
      <c r="K21" s="147">
        <v>103.598</v>
      </c>
      <c r="L21" s="147">
        <v>100.271</v>
      </c>
      <c r="M21" s="140">
        <v>100.2</v>
      </c>
      <c r="N21" s="126">
        <v>103.9</v>
      </c>
      <c r="O21" s="144">
        <v>116.8</v>
      </c>
      <c r="P21" s="144">
        <v>122.943</v>
      </c>
      <c r="Q21" s="147">
        <v>121.682</v>
      </c>
      <c r="R21" s="147">
        <v>132.89699999999999</v>
      </c>
      <c r="S21" s="147">
        <v>130</v>
      </c>
      <c r="T21" s="144">
        <v>118.24299999999999</v>
      </c>
      <c r="U21" s="144">
        <v>125.048</v>
      </c>
      <c r="V21" s="144">
        <v>115.62</v>
      </c>
      <c r="W21" s="144">
        <v>117.1</v>
      </c>
      <c r="X21" s="147">
        <v>110.714</v>
      </c>
      <c r="Y21" s="118">
        <v>108.812</v>
      </c>
      <c r="Z21" s="118">
        <v>110.9</v>
      </c>
      <c r="AA21" s="117">
        <v>109.7</v>
      </c>
      <c r="AB21" s="5">
        <v>105.1</v>
      </c>
      <c r="AC21" s="117">
        <v>103.4</v>
      </c>
      <c r="AD21" s="117">
        <v>112.3</v>
      </c>
      <c r="AE21" s="118">
        <v>116.889</v>
      </c>
      <c r="AF21" s="119">
        <v>58.195</v>
      </c>
      <c r="AG21" s="250">
        <v>110.94799999999999</v>
      </c>
    </row>
    <row r="22" spans="1:33" x14ac:dyDescent="0.2">
      <c r="A22" s="161" t="s">
        <v>519</v>
      </c>
      <c r="B22" s="163" t="s">
        <v>517</v>
      </c>
      <c r="C22" s="145" t="s">
        <v>512</v>
      </c>
      <c r="D22" s="146"/>
      <c r="E22" s="146"/>
      <c r="F22" s="146"/>
      <c r="G22" s="146"/>
      <c r="H22" s="146"/>
      <c r="I22" s="146"/>
      <c r="J22" s="146"/>
      <c r="K22" s="147"/>
      <c r="L22" s="147"/>
      <c r="M22" s="140"/>
      <c r="N22" s="126"/>
      <c r="O22" s="144"/>
      <c r="P22" s="144"/>
      <c r="Q22" s="147"/>
      <c r="R22" s="147"/>
      <c r="S22" s="147"/>
      <c r="T22" s="144"/>
      <c r="U22" s="144"/>
      <c r="V22" s="153" t="s">
        <v>46</v>
      </c>
      <c r="W22" s="153" t="s">
        <v>46</v>
      </c>
      <c r="X22" s="153" t="s">
        <v>46</v>
      </c>
      <c r="Y22" s="154" t="s">
        <v>46</v>
      </c>
      <c r="Z22" s="154" t="s">
        <v>46</v>
      </c>
      <c r="AA22" s="154" t="s">
        <v>46</v>
      </c>
      <c r="AB22" s="154" t="s">
        <v>46</v>
      </c>
      <c r="AC22" s="154" t="s">
        <v>46</v>
      </c>
      <c r="AD22" s="154" t="s">
        <v>46</v>
      </c>
      <c r="AE22" s="154" t="s">
        <v>46</v>
      </c>
      <c r="AF22" s="119">
        <v>27.914000000000001</v>
      </c>
      <c r="AG22" s="250">
        <v>55.405999999999999</v>
      </c>
    </row>
    <row r="23" spans="1:33" x14ac:dyDescent="0.2">
      <c r="A23" s="161" t="s">
        <v>519</v>
      </c>
      <c r="B23" s="163" t="s">
        <v>701</v>
      </c>
      <c r="C23" s="145" t="s">
        <v>512</v>
      </c>
      <c r="D23" s="146" t="s">
        <v>46</v>
      </c>
      <c r="E23" s="146" t="s">
        <v>46</v>
      </c>
      <c r="F23" s="146" t="s">
        <v>46</v>
      </c>
      <c r="G23" s="146" t="s">
        <v>46</v>
      </c>
      <c r="H23" s="146" t="s">
        <v>46</v>
      </c>
      <c r="I23" s="146" t="s">
        <v>46</v>
      </c>
      <c r="J23" s="146" t="s">
        <v>46</v>
      </c>
      <c r="K23" s="146" t="s">
        <v>46</v>
      </c>
      <c r="L23" s="152">
        <v>14.340999999999999</v>
      </c>
      <c r="M23" s="152">
        <v>13.975</v>
      </c>
      <c r="N23" s="144">
        <v>18.286000000000001</v>
      </c>
      <c r="O23" s="153">
        <v>13.872</v>
      </c>
      <c r="P23" s="144">
        <v>10.586</v>
      </c>
      <c r="Q23" s="144">
        <v>10.612</v>
      </c>
      <c r="R23" s="147">
        <v>11.134</v>
      </c>
      <c r="S23" s="147">
        <v>8.6850000000000005</v>
      </c>
      <c r="T23" s="147">
        <v>9.9320000000000004</v>
      </c>
      <c r="U23" s="144">
        <v>10.102</v>
      </c>
      <c r="V23" s="144">
        <v>8.11</v>
      </c>
      <c r="W23" s="144">
        <v>11.032999999999999</v>
      </c>
      <c r="X23" s="147">
        <v>11.38</v>
      </c>
      <c r="Y23" s="118">
        <v>18.969000000000001</v>
      </c>
      <c r="Z23" s="118">
        <v>19.2</v>
      </c>
      <c r="AA23" s="117">
        <v>20.8</v>
      </c>
      <c r="AB23" s="5">
        <v>22.7</v>
      </c>
      <c r="AC23" s="117">
        <v>22.2</v>
      </c>
      <c r="AD23" s="117">
        <v>20.6</v>
      </c>
      <c r="AE23" s="118">
        <v>21.488</v>
      </c>
      <c r="AF23" s="119">
        <v>4.1669999999999998</v>
      </c>
      <c r="AG23" s="250">
        <v>14.879</v>
      </c>
    </row>
    <row r="24" spans="1:33" x14ac:dyDescent="0.2">
      <c r="A24" s="161" t="s">
        <v>519</v>
      </c>
      <c r="B24" s="163" t="s">
        <v>702</v>
      </c>
      <c r="C24" s="145" t="s">
        <v>512</v>
      </c>
      <c r="D24" s="146">
        <v>105.6</v>
      </c>
      <c r="E24" s="146">
        <v>106.5</v>
      </c>
      <c r="F24" s="146">
        <v>111.3</v>
      </c>
      <c r="G24" s="146">
        <v>111.4</v>
      </c>
      <c r="H24" s="146">
        <v>116.8</v>
      </c>
      <c r="I24" s="146">
        <v>120.7</v>
      </c>
      <c r="J24" s="146">
        <v>118.6</v>
      </c>
      <c r="K24" s="147">
        <v>119.07599999999999</v>
      </c>
      <c r="L24" s="147">
        <v>121.288</v>
      </c>
      <c r="M24" s="140">
        <v>118.6</v>
      </c>
      <c r="N24" s="144">
        <v>126</v>
      </c>
      <c r="O24" s="144">
        <v>140</v>
      </c>
      <c r="P24" s="144">
        <v>148.047</v>
      </c>
      <c r="Q24" s="147">
        <v>150.88999999999999</v>
      </c>
      <c r="R24" s="147">
        <v>152.52600000000001</v>
      </c>
      <c r="S24" s="147">
        <v>157.4</v>
      </c>
      <c r="T24" s="144">
        <v>159.34299999999999</v>
      </c>
      <c r="U24" s="144">
        <v>171.38</v>
      </c>
      <c r="V24" s="144">
        <v>169.28</v>
      </c>
      <c r="W24" s="144">
        <v>174.09700000000001</v>
      </c>
      <c r="X24" s="147">
        <v>178.398</v>
      </c>
      <c r="Y24" s="118">
        <v>180.744</v>
      </c>
      <c r="Z24" s="118">
        <v>189.8</v>
      </c>
      <c r="AA24" s="117">
        <v>194.8</v>
      </c>
      <c r="AB24" s="5">
        <v>203.2</v>
      </c>
      <c r="AC24" s="117">
        <v>214.3</v>
      </c>
      <c r="AD24" s="117">
        <v>223.8</v>
      </c>
      <c r="AE24" s="118">
        <v>231.477</v>
      </c>
      <c r="AF24" s="119">
        <v>86.518000000000001</v>
      </c>
      <c r="AG24" s="250">
        <v>147.33099999999999</v>
      </c>
    </row>
    <row r="25" spans="1:33" x14ac:dyDescent="0.2">
      <c r="A25" s="161" t="s">
        <v>519</v>
      </c>
      <c r="B25" s="163" t="s">
        <v>717</v>
      </c>
      <c r="C25" s="145" t="s">
        <v>512</v>
      </c>
      <c r="D25" s="146" t="s">
        <v>46</v>
      </c>
      <c r="E25" s="146" t="s">
        <v>46</v>
      </c>
      <c r="F25" s="146" t="s">
        <v>46</v>
      </c>
      <c r="G25" s="146" t="s">
        <v>46</v>
      </c>
      <c r="H25" s="146" t="s">
        <v>46</v>
      </c>
      <c r="I25" s="146" t="s">
        <v>46</v>
      </c>
      <c r="J25" s="146" t="s">
        <v>46</v>
      </c>
      <c r="K25" s="146" t="s">
        <v>46</v>
      </c>
      <c r="L25" s="152">
        <v>12.65</v>
      </c>
      <c r="M25" s="152">
        <v>15.38</v>
      </c>
      <c r="N25" s="144">
        <v>17.187000000000001</v>
      </c>
      <c r="O25" s="144">
        <v>18.738</v>
      </c>
      <c r="P25" s="144">
        <v>19.440999999999999</v>
      </c>
      <c r="Q25" s="147">
        <v>19.984000000000002</v>
      </c>
      <c r="R25" s="147">
        <v>21.443999999999999</v>
      </c>
      <c r="S25" s="147">
        <v>23.411000000000001</v>
      </c>
      <c r="T25" s="144">
        <v>23.9</v>
      </c>
      <c r="U25" s="144">
        <v>26.099</v>
      </c>
      <c r="V25" s="144">
        <v>26.696999999999999</v>
      </c>
      <c r="W25" s="144">
        <v>25.574000000000002</v>
      </c>
      <c r="X25" s="147">
        <v>26.561</v>
      </c>
      <c r="Y25" s="118">
        <v>25.867000000000001</v>
      </c>
      <c r="Z25" s="118">
        <v>29.8</v>
      </c>
      <c r="AA25" s="117">
        <v>27.8</v>
      </c>
      <c r="AB25" s="5">
        <v>30.4</v>
      </c>
      <c r="AC25" s="117">
        <v>30.5</v>
      </c>
      <c r="AD25" s="117">
        <v>30</v>
      </c>
      <c r="AE25" s="118">
        <v>30.503</v>
      </c>
      <c r="AF25" s="119">
        <v>6.3330000000000002</v>
      </c>
      <c r="AG25" s="250">
        <v>17.385000000000002</v>
      </c>
    </row>
    <row r="26" spans="1:33" x14ac:dyDescent="0.2">
      <c r="A26" s="161" t="s">
        <v>519</v>
      </c>
      <c r="B26" s="163" t="s">
        <v>718</v>
      </c>
      <c r="C26" s="145" t="s">
        <v>512</v>
      </c>
      <c r="D26" s="146">
        <v>121</v>
      </c>
      <c r="E26" s="146">
        <v>129.69999999999999</v>
      </c>
      <c r="F26" s="146">
        <v>153.6</v>
      </c>
      <c r="G26" s="146">
        <v>183.5</v>
      </c>
      <c r="H26" s="146">
        <v>203.7</v>
      </c>
      <c r="I26" s="146">
        <v>186</v>
      </c>
      <c r="J26" s="146">
        <v>171.5</v>
      </c>
      <c r="K26" s="140">
        <v>170.2</v>
      </c>
      <c r="L26" s="147">
        <v>160.447</v>
      </c>
      <c r="M26" s="140">
        <v>149.6</v>
      </c>
      <c r="N26" s="126">
        <v>165.9</v>
      </c>
      <c r="O26" s="144">
        <v>168.1</v>
      </c>
      <c r="P26" s="144">
        <v>188.32</v>
      </c>
      <c r="Q26" s="147">
        <v>189.54400000000001</v>
      </c>
      <c r="R26" s="147">
        <v>188.929</v>
      </c>
      <c r="S26" s="147">
        <v>190.5</v>
      </c>
      <c r="T26" s="144">
        <v>187.50700000000001</v>
      </c>
      <c r="U26" s="144">
        <v>208.84</v>
      </c>
      <c r="V26" s="144">
        <v>212.417</v>
      </c>
      <c r="W26" s="144">
        <v>220.78200000000001</v>
      </c>
      <c r="X26" s="147">
        <v>217.274</v>
      </c>
      <c r="Y26" s="118">
        <v>237.44499999999999</v>
      </c>
      <c r="Z26" s="118">
        <v>239.4</v>
      </c>
      <c r="AA26" s="117">
        <v>247.6</v>
      </c>
      <c r="AB26" s="5">
        <v>250.8</v>
      </c>
      <c r="AC26" s="117">
        <v>285.5</v>
      </c>
      <c r="AD26" s="117">
        <v>283.39999999999998</v>
      </c>
      <c r="AE26" s="118">
        <v>305.43900000000002</v>
      </c>
      <c r="AF26" s="119">
        <v>52.587000000000003</v>
      </c>
      <c r="AG26" s="250">
        <v>121.39700000000001</v>
      </c>
    </row>
    <row r="27" spans="1:33" x14ac:dyDescent="0.2">
      <c r="A27" s="161" t="s">
        <v>519</v>
      </c>
      <c r="B27" s="163" t="s">
        <v>719</v>
      </c>
      <c r="C27" s="145" t="s">
        <v>512</v>
      </c>
      <c r="D27" s="155">
        <v>0</v>
      </c>
      <c r="E27" s="155">
        <v>0</v>
      </c>
      <c r="F27" s="155">
        <v>0</v>
      </c>
      <c r="G27" s="155">
        <v>0</v>
      </c>
      <c r="H27" s="155">
        <v>0</v>
      </c>
      <c r="I27" s="155">
        <v>0</v>
      </c>
      <c r="J27" s="155">
        <v>0</v>
      </c>
      <c r="K27" s="155">
        <v>0</v>
      </c>
      <c r="L27" s="155">
        <v>0</v>
      </c>
      <c r="M27" s="155">
        <v>0</v>
      </c>
      <c r="N27" s="155">
        <v>0</v>
      </c>
      <c r="O27" s="155">
        <v>0</v>
      </c>
      <c r="P27" s="155">
        <v>0</v>
      </c>
      <c r="Q27" s="155">
        <v>0</v>
      </c>
      <c r="R27" s="155">
        <v>0</v>
      </c>
      <c r="S27" s="155">
        <v>0</v>
      </c>
      <c r="T27" s="155">
        <v>0</v>
      </c>
      <c r="U27" s="155">
        <v>0</v>
      </c>
      <c r="V27" s="155">
        <v>0</v>
      </c>
      <c r="W27" s="155">
        <v>0</v>
      </c>
      <c r="X27" s="155">
        <v>0</v>
      </c>
      <c r="Y27" s="156">
        <v>0.4</v>
      </c>
      <c r="Z27" s="156">
        <v>1.2</v>
      </c>
      <c r="AA27" s="156">
        <v>1</v>
      </c>
      <c r="AB27" s="157">
        <v>22.76</v>
      </c>
      <c r="AC27" s="117">
        <v>27.6</v>
      </c>
      <c r="AD27" s="117">
        <v>21.2</v>
      </c>
      <c r="AE27" s="118">
        <v>29.222000000000001</v>
      </c>
      <c r="AF27" s="119">
        <v>8.8840000000000003</v>
      </c>
      <c r="AG27" s="250">
        <v>20.515000000000001</v>
      </c>
    </row>
    <row r="28" spans="1:33" x14ac:dyDescent="0.2">
      <c r="A28" s="161" t="s">
        <v>519</v>
      </c>
      <c r="B28" s="163" t="s">
        <v>697</v>
      </c>
      <c r="C28" s="145" t="s">
        <v>512</v>
      </c>
      <c r="D28" s="146" t="s">
        <v>46</v>
      </c>
      <c r="E28" s="146" t="s">
        <v>46</v>
      </c>
      <c r="F28" s="146" t="s">
        <v>46</v>
      </c>
      <c r="G28" s="146" t="s">
        <v>46</v>
      </c>
      <c r="H28" s="146" t="s">
        <v>46</v>
      </c>
      <c r="I28" s="146" t="s">
        <v>46</v>
      </c>
      <c r="J28" s="146" t="s">
        <v>46</v>
      </c>
      <c r="K28" s="146" t="s">
        <v>46</v>
      </c>
      <c r="L28" s="152">
        <v>0</v>
      </c>
      <c r="M28" s="152">
        <v>0</v>
      </c>
      <c r="N28" s="144">
        <v>2.105</v>
      </c>
      <c r="O28" s="144">
        <v>6.3609999999999998</v>
      </c>
      <c r="P28" s="144">
        <v>7.2270000000000003</v>
      </c>
      <c r="Q28" s="147">
        <v>7.6680000000000001</v>
      </c>
      <c r="R28" s="147">
        <v>9.4939999999999998</v>
      </c>
      <c r="S28" s="147">
        <v>9.4190000000000005</v>
      </c>
      <c r="T28" s="144">
        <v>10.073</v>
      </c>
      <c r="U28" s="144">
        <v>11.682</v>
      </c>
      <c r="V28" s="144">
        <v>8.625</v>
      </c>
      <c r="W28" s="144">
        <v>10.63</v>
      </c>
      <c r="X28" s="147">
        <v>9.5289999999999999</v>
      </c>
      <c r="Y28" s="118">
        <v>9.907</v>
      </c>
      <c r="Z28" s="118">
        <v>10.7</v>
      </c>
      <c r="AA28" s="117">
        <v>9.6</v>
      </c>
      <c r="AB28" s="5">
        <v>5.7</v>
      </c>
      <c r="AC28" s="117">
        <v>5.4</v>
      </c>
      <c r="AD28" s="117">
        <v>4.9000000000000004</v>
      </c>
      <c r="AE28" s="118">
        <v>5.5860000000000003</v>
      </c>
      <c r="AF28" s="119">
        <v>0</v>
      </c>
      <c r="AG28" s="250">
        <v>5.1660000000000004</v>
      </c>
    </row>
    <row r="29" spans="1:33" x14ac:dyDescent="0.2">
      <c r="A29" s="161" t="s">
        <v>519</v>
      </c>
      <c r="B29" s="163" t="s">
        <v>703</v>
      </c>
      <c r="C29" s="145" t="s">
        <v>512</v>
      </c>
      <c r="D29" s="146" t="s">
        <v>46</v>
      </c>
      <c r="E29" s="146" t="s">
        <v>46</v>
      </c>
      <c r="F29" s="146" t="s">
        <v>46</v>
      </c>
      <c r="G29" s="146" t="s">
        <v>46</v>
      </c>
      <c r="H29" s="146" t="s">
        <v>46</v>
      </c>
      <c r="I29" s="146" t="s">
        <v>46</v>
      </c>
      <c r="J29" s="146" t="s">
        <v>46</v>
      </c>
      <c r="K29" s="146" t="s">
        <v>46</v>
      </c>
      <c r="L29" s="152">
        <v>16.143999999999998</v>
      </c>
      <c r="M29" s="152">
        <v>14.04</v>
      </c>
      <c r="N29" s="144">
        <v>15.718</v>
      </c>
      <c r="O29" s="144">
        <v>16.971</v>
      </c>
      <c r="P29" s="144">
        <v>15.313000000000001</v>
      </c>
      <c r="Q29" s="147">
        <v>15.512</v>
      </c>
      <c r="R29" s="147">
        <v>16.047000000000001</v>
      </c>
      <c r="S29" s="147">
        <v>16.274999999999999</v>
      </c>
      <c r="T29" s="144">
        <v>15.643000000000001</v>
      </c>
      <c r="U29" s="144">
        <v>16.239000000000001</v>
      </c>
      <c r="V29" s="144">
        <v>16.367999999999999</v>
      </c>
      <c r="W29" s="144">
        <v>14.685</v>
      </c>
      <c r="X29" s="147">
        <v>14.247</v>
      </c>
      <c r="Y29" s="118">
        <v>15.696</v>
      </c>
      <c r="Z29" s="118">
        <v>13.4</v>
      </c>
      <c r="AA29" s="117">
        <v>11.8</v>
      </c>
      <c r="AB29" s="119">
        <v>12</v>
      </c>
      <c r="AC29" s="117">
        <v>13.4</v>
      </c>
      <c r="AD29" s="117">
        <v>13.8</v>
      </c>
      <c r="AE29" s="118">
        <v>12.427</v>
      </c>
      <c r="AF29" s="119">
        <v>7.7960000000000003</v>
      </c>
      <c r="AG29" s="250">
        <v>11.46</v>
      </c>
    </row>
    <row r="30" spans="1:33" x14ac:dyDescent="0.2">
      <c r="A30" s="161" t="s">
        <v>519</v>
      </c>
      <c r="B30" s="163" t="s">
        <v>720</v>
      </c>
      <c r="C30" s="145" t="s">
        <v>512</v>
      </c>
      <c r="D30" s="146" t="s">
        <v>46</v>
      </c>
      <c r="E30" s="146" t="s">
        <v>46</v>
      </c>
      <c r="F30" s="146" t="s">
        <v>46</v>
      </c>
      <c r="G30" s="146" t="s">
        <v>46</v>
      </c>
      <c r="H30" s="146" t="s">
        <v>46</v>
      </c>
      <c r="I30" s="146" t="s">
        <v>46</v>
      </c>
      <c r="J30" s="146" t="s">
        <v>46</v>
      </c>
      <c r="K30" s="146" t="s">
        <v>46</v>
      </c>
      <c r="L30" s="152">
        <v>12.464</v>
      </c>
      <c r="M30" s="152">
        <v>11.423999999999999</v>
      </c>
      <c r="N30" s="144">
        <v>11.832000000000001</v>
      </c>
      <c r="O30" s="144">
        <v>12.374000000000001</v>
      </c>
      <c r="P30" s="144">
        <v>12.53</v>
      </c>
      <c r="Q30" s="147">
        <v>13.093</v>
      </c>
      <c r="R30" s="147">
        <v>12.398999999999999</v>
      </c>
      <c r="S30" s="147">
        <v>13.653</v>
      </c>
      <c r="T30" s="144">
        <v>15.247</v>
      </c>
      <c r="U30" s="144">
        <v>18.221</v>
      </c>
      <c r="V30" s="144">
        <v>19.981999999999999</v>
      </c>
      <c r="W30" s="144">
        <v>20.109000000000002</v>
      </c>
      <c r="X30" s="147">
        <v>20.134</v>
      </c>
      <c r="Y30" s="118">
        <v>20.324999999999999</v>
      </c>
      <c r="Z30" s="118">
        <v>19.7</v>
      </c>
      <c r="AA30" s="117">
        <v>19.899999999999999</v>
      </c>
      <c r="AB30" s="5">
        <v>24.3</v>
      </c>
      <c r="AC30" s="118">
        <v>26</v>
      </c>
      <c r="AD30" s="118">
        <v>25.4</v>
      </c>
      <c r="AE30" s="118">
        <v>25.219000000000001</v>
      </c>
      <c r="AF30" s="119">
        <v>16.210999999999999</v>
      </c>
      <c r="AG30" s="250">
        <v>22.21</v>
      </c>
    </row>
    <row r="31" spans="1:33" x14ac:dyDescent="0.2">
      <c r="A31" s="161" t="s">
        <v>519</v>
      </c>
      <c r="B31" s="163" t="s">
        <v>698</v>
      </c>
      <c r="C31" s="145" t="s">
        <v>512</v>
      </c>
      <c r="D31" s="146">
        <v>50.2</v>
      </c>
      <c r="E31" s="146">
        <v>50.3</v>
      </c>
      <c r="F31" s="146">
        <v>44.6</v>
      </c>
      <c r="G31" s="146">
        <v>45.2</v>
      </c>
      <c r="H31" s="146">
        <v>45.4</v>
      </c>
      <c r="I31" s="146">
        <v>46.2</v>
      </c>
      <c r="J31" s="146">
        <v>46.1</v>
      </c>
      <c r="K31" s="147">
        <v>46.671999999999997</v>
      </c>
      <c r="L31" s="147">
        <v>45.716999999999999</v>
      </c>
      <c r="M31" s="140">
        <v>47.3</v>
      </c>
      <c r="N31" s="126">
        <v>47.4</v>
      </c>
      <c r="O31" s="144">
        <v>44.6</v>
      </c>
      <c r="P31" s="144">
        <v>45.939</v>
      </c>
      <c r="Q31" s="147">
        <v>43.319000000000003</v>
      </c>
      <c r="R31" s="147">
        <v>45.295999999999999</v>
      </c>
      <c r="S31" s="147">
        <v>46.5</v>
      </c>
      <c r="T31" s="144">
        <v>46.152999999999999</v>
      </c>
      <c r="U31" s="144">
        <v>57.042999999999999</v>
      </c>
      <c r="V31" s="144">
        <v>58.220999999999997</v>
      </c>
      <c r="W31" s="144">
        <v>61.621000000000002</v>
      </c>
      <c r="X31" s="147">
        <v>59.308999999999997</v>
      </c>
      <c r="Y31" s="118">
        <v>58.191000000000003</v>
      </c>
      <c r="Z31" s="118">
        <v>57.7</v>
      </c>
      <c r="AA31" s="117">
        <v>55.8</v>
      </c>
      <c r="AB31" s="5">
        <v>43.3</v>
      </c>
      <c r="AC31" s="117">
        <v>47.2</v>
      </c>
      <c r="AD31" s="117">
        <v>53.4</v>
      </c>
      <c r="AE31" s="118">
        <v>49.052</v>
      </c>
      <c r="AF31" s="119">
        <v>18.363</v>
      </c>
      <c r="AG31" s="250">
        <v>42.396000000000001</v>
      </c>
    </row>
    <row r="32" spans="1:33" x14ac:dyDescent="0.2">
      <c r="A32" s="161" t="s">
        <v>519</v>
      </c>
      <c r="B32" s="163" t="s">
        <v>699</v>
      </c>
      <c r="C32" s="145" t="s">
        <v>512</v>
      </c>
      <c r="D32" s="146">
        <v>32.799999999999997</v>
      </c>
      <c r="E32" s="146">
        <v>32.6</v>
      </c>
      <c r="F32" s="146">
        <v>35.4</v>
      </c>
      <c r="G32" s="146">
        <v>36.4</v>
      </c>
      <c r="H32" s="146">
        <v>37.700000000000003</v>
      </c>
      <c r="I32" s="146">
        <v>35.799999999999997</v>
      </c>
      <c r="J32" s="146">
        <v>34.9</v>
      </c>
      <c r="K32" s="147">
        <v>34.853999999999999</v>
      </c>
      <c r="L32" s="147">
        <v>36.253</v>
      </c>
      <c r="M32" s="140">
        <v>38.4</v>
      </c>
      <c r="N32" s="126">
        <v>39.5</v>
      </c>
      <c r="O32" s="144">
        <v>42.8</v>
      </c>
      <c r="P32" s="144">
        <v>44.582999999999998</v>
      </c>
      <c r="Q32" s="147">
        <v>45.698</v>
      </c>
      <c r="R32" s="147">
        <v>44.124000000000002</v>
      </c>
      <c r="S32" s="147">
        <v>46.4</v>
      </c>
      <c r="T32" s="144">
        <v>46.537999999999997</v>
      </c>
      <c r="U32" s="144">
        <v>52.973999999999997</v>
      </c>
      <c r="V32" s="144">
        <v>52.241</v>
      </c>
      <c r="W32" s="144">
        <v>50.335000000000001</v>
      </c>
      <c r="X32" s="147">
        <v>51.357999999999997</v>
      </c>
      <c r="Y32" s="118">
        <v>52.414000000000001</v>
      </c>
      <c r="Z32" s="118">
        <v>52.5</v>
      </c>
      <c r="AA32" s="117">
        <v>51.5</v>
      </c>
      <c r="AB32" s="5">
        <v>56.4</v>
      </c>
      <c r="AC32" s="117">
        <v>58.7</v>
      </c>
      <c r="AD32" s="117">
        <v>56.9</v>
      </c>
      <c r="AE32" s="118">
        <v>59.529000000000003</v>
      </c>
      <c r="AF32" s="119">
        <v>27.137</v>
      </c>
      <c r="AG32" s="250">
        <v>50.316000000000003</v>
      </c>
    </row>
    <row r="33" spans="1:36" x14ac:dyDescent="0.2">
      <c r="A33" s="161" t="s">
        <v>519</v>
      </c>
      <c r="B33" s="163" t="s">
        <v>721</v>
      </c>
      <c r="C33" s="145" t="s">
        <v>512</v>
      </c>
      <c r="D33" s="146">
        <v>548.1</v>
      </c>
      <c r="E33" s="146">
        <v>516.20000000000005</v>
      </c>
      <c r="F33" s="146">
        <v>532</v>
      </c>
      <c r="G33" s="146">
        <v>578.6</v>
      </c>
      <c r="H33" s="146">
        <v>594.1</v>
      </c>
      <c r="I33" s="146">
        <v>619.29999999999995</v>
      </c>
      <c r="J33" s="146">
        <v>564.70000000000005</v>
      </c>
      <c r="K33" s="147">
        <v>556.48299999999995</v>
      </c>
      <c r="L33" s="147">
        <v>541.54100000000005</v>
      </c>
      <c r="M33" s="140">
        <v>554.70000000000005</v>
      </c>
      <c r="N33" s="126">
        <v>562.79999999999995</v>
      </c>
      <c r="O33" s="144">
        <v>618.4</v>
      </c>
      <c r="P33" s="144">
        <v>653.31299999999999</v>
      </c>
      <c r="Q33" s="147">
        <v>649.76800000000003</v>
      </c>
      <c r="R33" s="147">
        <v>640.42600000000004</v>
      </c>
      <c r="S33" s="147">
        <v>596.70000000000005</v>
      </c>
      <c r="T33" s="144">
        <v>554.56799999999998</v>
      </c>
      <c r="U33" s="144">
        <v>578.28599999999994</v>
      </c>
      <c r="V33" s="144">
        <v>564.476</v>
      </c>
      <c r="W33" s="144">
        <v>543.73299999999995</v>
      </c>
      <c r="X33" s="147">
        <v>549.35599999999999</v>
      </c>
      <c r="Y33" s="118">
        <v>553.35599999999999</v>
      </c>
      <c r="Z33" s="118">
        <v>572</v>
      </c>
      <c r="AA33" s="117">
        <v>555.20000000000005</v>
      </c>
      <c r="AB33" s="5">
        <v>644.79999999999995</v>
      </c>
      <c r="AC33" s="117">
        <v>670.3</v>
      </c>
      <c r="AD33" s="117">
        <v>634.6</v>
      </c>
      <c r="AE33" s="118">
        <v>652.34500000000003</v>
      </c>
      <c r="AF33" s="119">
        <v>238.19800000000001</v>
      </c>
      <c r="AG33" s="250">
        <v>391.26299999999998</v>
      </c>
    </row>
    <row r="34" spans="1:36" x14ac:dyDescent="0.2">
      <c r="A34" s="161" t="s">
        <v>519</v>
      </c>
      <c r="B34" s="163" t="s">
        <v>673</v>
      </c>
      <c r="C34" s="145" t="s">
        <v>512</v>
      </c>
      <c r="D34" s="146">
        <v>38.033999999999999</v>
      </c>
      <c r="E34" s="146">
        <v>39.252000000000002</v>
      </c>
      <c r="F34" s="146">
        <v>37.241999999999997</v>
      </c>
      <c r="G34" s="146">
        <v>39.012999999999998</v>
      </c>
      <c r="H34" s="146">
        <v>42.375999999999998</v>
      </c>
      <c r="I34" s="146">
        <v>42.238</v>
      </c>
      <c r="J34" s="146">
        <v>41.3</v>
      </c>
      <c r="K34" s="147">
        <v>41.125</v>
      </c>
      <c r="L34" s="147">
        <v>40.097999999999999</v>
      </c>
      <c r="M34" s="140">
        <v>40.5</v>
      </c>
      <c r="N34" s="153" t="s">
        <v>46</v>
      </c>
      <c r="O34" s="153" t="s">
        <v>46</v>
      </c>
      <c r="P34" s="153" t="s">
        <v>46</v>
      </c>
      <c r="Q34" s="153" t="s">
        <v>46</v>
      </c>
      <c r="R34" s="153" t="s">
        <v>46</v>
      </c>
      <c r="S34" s="153" t="s">
        <v>46</v>
      </c>
      <c r="T34" s="153" t="s">
        <v>46</v>
      </c>
      <c r="U34" s="153" t="s">
        <v>46</v>
      </c>
      <c r="V34" s="153" t="s">
        <v>46</v>
      </c>
      <c r="W34" s="153" t="s">
        <v>46</v>
      </c>
      <c r="X34" s="153" t="s">
        <v>46</v>
      </c>
      <c r="Y34" s="154" t="s">
        <v>46</v>
      </c>
      <c r="Z34" s="154" t="s">
        <v>46</v>
      </c>
      <c r="AA34" s="154" t="s">
        <v>46</v>
      </c>
      <c r="AB34" s="154" t="s">
        <v>46</v>
      </c>
      <c r="AC34" s="154" t="s">
        <v>46</v>
      </c>
      <c r="AD34" s="154" t="s">
        <v>46</v>
      </c>
      <c r="AE34" s="158" t="s">
        <v>46</v>
      </c>
      <c r="AF34" s="158" t="s">
        <v>46</v>
      </c>
      <c r="AG34" s="166" t="s">
        <v>46</v>
      </c>
    </row>
    <row r="35" spans="1:36" x14ac:dyDescent="0.2">
      <c r="A35" s="161" t="s">
        <v>519</v>
      </c>
      <c r="B35" s="163" t="s">
        <v>722</v>
      </c>
      <c r="C35" s="145" t="s">
        <v>512</v>
      </c>
      <c r="D35" s="146">
        <v>53.3</v>
      </c>
      <c r="E35" s="146">
        <v>50.656999999999996</v>
      </c>
      <c r="F35" s="146">
        <v>45.512</v>
      </c>
      <c r="G35" s="146">
        <v>47.213000000000001</v>
      </c>
      <c r="H35" s="146">
        <v>44.082999999999998</v>
      </c>
      <c r="I35" s="146">
        <v>43.475999999999999</v>
      </c>
      <c r="J35" s="146">
        <v>40.9</v>
      </c>
      <c r="K35" s="147">
        <v>42.308</v>
      </c>
      <c r="L35" s="147">
        <v>44.697000000000003</v>
      </c>
      <c r="M35" s="140">
        <v>45.5</v>
      </c>
      <c r="N35" s="126">
        <v>47.8</v>
      </c>
      <c r="O35" s="144">
        <v>51.7</v>
      </c>
      <c r="P35" s="144">
        <v>51.63</v>
      </c>
      <c r="Q35" s="147">
        <v>56.48</v>
      </c>
      <c r="R35" s="147">
        <v>55.517000000000003</v>
      </c>
      <c r="S35" s="147">
        <v>62.7</v>
      </c>
      <c r="T35" s="144">
        <v>64.536000000000001</v>
      </c>
      <c r="U35" s="144">
        <v>61.594999999999999</v>
      </c>
      <c r="V35" s="144">
        <v>58.042999999999999</v>
      </c>
      <c r="W35" s="144">
        <v>53.606000000000002</v>
      </c>
      <c r="X35" s="147">
        <v>56.542000000000002</v>
      </c>
      <c r="Y35" s="118">
        <v>57.612000000000002</v>
      </c>
      <c r="Z35" s="118">
        <v>57.4</v>
      </c>
      <c r="AA35" s="117">
        <v>60.3</v>
      </c>
      <c r="AB35" s="5">
        <v>70.7</v>
      </c>
      <c r="AC35" s="118">
        <v>82</v>
      </c>
      <c r="AD35" s="118">
        <v>83.8</v>
      </c>
      <c r="AE35" s="118">
        <v>88.238</v>
      </c>
      <c r="AF35" s="119">
        <v>37.942</v>
      </c>
      <c r="AG35" s="250">
        <v>72.497</v>
      </c>
    </row>
    <row r="36" spans="1:36" x14ac:dyDescent="0.2">
      <c r="A36" s="161" t="s">
        <v>519</v>
      </c>
      <c r="B36" s="163" t="s">
        <v>704</v>
      </c>
      <c r="C36" s="145" t="s">
        <v>512</v>
      </c>
      <c r="D36" s="146">
        <v>141.30000000000001</v>
      </c>
      <c r="E36" s="146">
        <v>139.4</v>
      </c>
      <c r="F36" s="146">
        <v>138</v>
      </c>
      <c r="G36" s="146">
        <v>150</v>
      </c>
      <c r="H36" s="146">
        <v>171.1</v>
      </c>
      <c r="I36" s="146">
        <v>173</v>
      </c>
      <c r="J36" s="146">
        <v>162.1</v>
      </c>
      <c r="K36" s="147">
        <v>168.76300000000001</v>
      </c>
      <c r="L36" s="147">
        <v>45.957999999999998</v>
      </c>
      <c r="M36" s="140">
        <v>46.9</v>
      </c>
      <c r="N36" s="126">
        <v>46.3</v>
      </c>
      <c r="O36" s="144">
        <v>53.3</v>
      </c>
      <c r="P36" s="144">
        <v>54.545999999999999</v>
      </c>
      <c r="Q36" s="147">
        <v>59</v>
      </c>
      <c r="R36" s="147">
        <v>64.043000000000006</v>
      </c>
      <c r="S36" s="147">
        <v>62.4</v>
      </c>
      <c r="T36" s="144">
        <v>57.77</v>
      </c>
      <c r="U36" s="144">
        <v>64.73</v>
      </c>
      <c r="V36" s="144">
        <v>66.539000000000001</v>
      </c>
      <c r="W36" s="144">
        <v>57.923999999999999</v>
      </c>
      <c r="X36" s="147">
        <v>56.091000000000001</v>
      </c>
      <c r="Y36" s="118">
        <v>58.360999999999997</v>
      </c>
      <c r="Z36" s="118">
        <v>64.099999999999994</v>
      </c>
      <c r="AA36" s="117">
        <v>59.8</v>
      </c>
      <c r="AB36" s="5">
        <v>63.8</v>
      </c>
      <c r="AC36" s="118">
        <v>68</v>
      </c>
      <c r="AD36" s="118">
        <v>72.3</v>
      </c>
      <c r="AE36" s="118">
        <v>74.245999999999995</v>
      </c>
      <c r="AF36" s="119">
        <v>39.947000000000003</v>
      </c>
      <c r="AG36" s="250">
        <v>70.061000000000007</v>
      </c>
    </row>
    <row r="37" spans="1:36" x14ac:dyDescent="0.2">
      <c r="A37" s="161" t="s">
        <v>519</v>
      </c>
      <c r="B37" s="163" t="s">
        <v>723</v>
      </c>
      <c r="C37" s="145" t="s">
        <v>512</v>
      </c>
      <c r="D37" s="146" t="s">
        <v>46</v>
      </c>
      <c r="E37" s="146" t="s">
        <v>46</v>
      </c>
      <c r="F37" s="146" t="s">
        <v>46</v>
      </c>
      <c r="G37" s="146" t="s">
        <v>46</v>
      </c>
      <c r="H37" s="146" t="s">
        <v>46</v>
      </c>
      <c r="I37" s="146" t="s">
        <v>46</v>
      </c>
      <c r="J37" s="146" t="s">
        <v>46</v>
      </c>
      <c r="K37" s="146" t="s">
        <v>46</v>
      </c>
      <c r="L37" s="147">
        <v>23.312000000000001</v>
      </c>
      <c r="M37" s="140">
        <v>25.978000000000002</v>
      </c>
      <c r="N37" s="144">
        <v>28.298999999999999</v>
      </c>
      <c r="O37" s="144">
        <v>36.610999999999997</v>
      </c>
      <c r="P37" s="144">
        <v>43.482999999999997</v>
      </c>
      <c r="Q37" s="147">
        <v>41.192999999999998</v>
      </c>
      <c r="R37" s="147">
        <v>40.609000000000002</v>
      </c>
      <c r="S37" s="147">
        <v>40.316000000000003</v>
      </c>
      <c r="T37" s="144">
        <v>38.066000000000003</v>
      </c>
      <c r="U37" s="144">
        <v>38.277000000000001</v>
      </c>
      <c r="V37" s="144">
        <v>34.982999999999997</v>
      </c>
      <c r="W37" s="144">
        <v>34.279000000000003</v>
      </c>
      <c r="X37" s="147">
        <v>34.183</v>
      </c>
      <c r="Y37" s="118">
        <v>35.671999999999997</v>
      </c>
      <c r="Z37" s="118">
        <v>35.299999999999997</v>
      </c>
      <c r="AA37" s="117">
        <v>36.4</v>
      </c>
      <c r="AB37" s="5">
        <v>47.1</v>
      </c>
      <c r="AC37" s="117">
        <v>49.6</v>
      </c>
      <c r="AD37" s="117">
        <v>50.3</v>
      </c>
      <c r="AE37" s="118">
        <v>55.649000000000001</v>
      </c>
      <c r="AF37" s="119">
        <v>16.79</v>
      </c>
      <c r="AG37" s="250">
        <v>38.244</v>
      </c>
    </row>
    <row r="38" spans="1:36" x14ac:dyDescent="0.2">
      <c r="A38" s="161" t="s">
        <v>519</v>
      </c>
      <c r="B38" s="163" t="s">
        <v>705</v>
      </c>
      <c r="C38" s="145" t="s">
        <v>512</v>
      </c>
      <c r="D38" s="146">
        <v>1474.8</v>
      </c>
      <c r="E38" s="146">
        <v>1523.6</v>
      </c>
      <c r="F38" s="146">
        <v>1489.1</v>
      </c>
      <c r="G38" s="146">
        <v>1382.1</v>
      </c>
      <c r="H38" s="152" t="s">
        <v>37</v>
      </c>
      <c r="I38" s="152" t="s">
        <v>37</v>
      </c>
      <c r="J38" s="152" t="s">
        <v>37</v>
      </c>
      <c r="K38" s="152" t="s">
        <v>37</v>
      </c>
      <c r="L38" s="147">
        <v>127.85599999999999</v>
      </c>
      <c r="M38" s="159">
        <v>130</v>
      </c>
      <c r="N38" s="160">
        <v>142.69999999999999</v>
      </c>
      <c r="O38" s="144">
        <v>146</v>
      </c>
      <c r="P38" s="144">
        <v>152.047</v>
      </c>
      <c r="Q38" s="147">
        <v>159.38900000000001</v>
      </c>
      <c r="R38" s="147">
        <v>161.732</v>
      </c>
      <c r="S38" s="147">
        <v>160.30000000000001</v>
      </c>
      <c r="T38" s="144">
        <v>161.73699999999999</v>
      </c>
      <c r="U38" s="144">
        <v>185.81800000000001</v>
      </c>
      <c r="V38" s="144">
        <v>181.77600000000001</v>
      </c>
      <c r="W38" s="144">
        <v>182.26900000000001</v>
      </c>
      <c r="X38" s="147">
        <v>183.05199999999999</v>
      </c>
      <c r="Y38" s="118">
        <v>185.09700000000001</v>
      </c>
      <c r="Z38" s="118">
        <v>194.4</v>
      </c>
      <c r="AA38" s="117">
        <v>188.2</v>
      </c>
      <c r="AB38" s="5">
        <v>188.1</v>
      </c>
      <c r="AC38" s="117">
        <v>195.8</v>
      </c>
      <c r="AD38" s="117">
        <v>192.8</v>
      </c>
      <c r="AE38" s="118">
        <v>202.00299999999999</v>
      </c>
      <c r="AF38" s="119">
        <v>89.376999999999995</v>
      </c>
      <c r="AG38" s="250">
        <v>151.58000000000001</v>
      </c>
    </row>
    <row r="39" spans="1:36" x14ac:dyDescent="0.2">
      <c r="A39" s="161" t="s">
        <v>519</v>
      </c>
      <c r="B39" s="163" t="s">
        <v>700</v>
      </c>
      <c r="C39" s="145" t="s">
        <v>512</v>
      </c>
      <c r="D39" s="146">
        <v>145.6</v>
      </c>
      <c r="E39" s="146">
        <v>147.1</v>
      </c>
      <c r="F39" s="146">
        <v>144.4</v>
      </c>
      <c r="G39" s="146">
        <v>144</v>
      </c>
      <c r="H39" s="146">
        <v>139</v>
      </c>
      <c r="I39" s="146">
        <v>129.30000000000001</v>
      </c>
      <c r="J39" s="146">
        <v>129.80000000000001</v>
      </c>
      <c r="K39" s="147">
        <v>128.828</v>
      </c>
      <c r="L39" s="147">
        <v>172.471</v>
      </c>
      <c r="M39" s="147">
        <v>180.2</v>
      </c>
      <c r="N39" s="144">
        <v>183</v>
      </c>
      <c r="O39" s="144">
        <v>179.9</v>
      </c>
      <c r="P39" s="144">
        <v>188.94499999999999</v>
      </c>
      <c r="Q39" s="147">
        <v>183.21700000000001</v>
      </c>
      <c r="R39" s="147">
        <v>181.16</v>
      </c>
      <c r="S39" s="147">
        <v>185.5</v>
      </c>
      <c r="T39" s="144">
        <v>182.833</v>
      </c>
      <c r="U39" s="144">
        <v>219.90700000000001</v>
      </c>
      <c r="V39" s="144">
        <v>227.67599999999999</v>
      </c>
      <c r="W39" s="144">
        <v>230.94900000000001</v>
      </c>
      <c r="X39" s="147">
        <v>224.16499999999999</v>
      </c>
      <c r="Y39" s="118">
        <v>222.95</v>
      </c>
      <c r="Z39" s="118">
        <v>226</v>
      </c>
      <c r="AA39" s="117">
        <v>231.9</v>
      </c>
      <c r="AB39" s="5">
        <v>264.10000000000002</v>
      </c>
      <c r="AC39" s="117">
        <v>275.7</v>
      </c>
      <c r="AD39" s="117">
        <v>284.5</v>
      </c>
      <c r="AE39" s="118">
        <v>299.91899999999998</v>
      </c>
      <c r="AF39" s="119">
        <v>134.11699999999999</v>
      </c>
      <c r="AG39" s="250">
        <v>217.65899999999999</v>
      </c>
    </row>
    <row r="40" spans="1:36" x14ac:dyDescent="0.2">
      <c r="A40" s="161" t="s">
        <v>519</v>
      </c>
      <c r="B40" s="151" t="s">
        <v>518</v>
      </c>
      <c r="C40" s="145" t="s">
        <v>524</v>
      </c>
      <c r="D40" s="130">
        <f t="shared" ref="D40:Q40" si="2">SUM(D18:D39)</f>
        <v>3069.3340000000003</v>
      </c>
      <c r="E40" s="130">
        <f t="shared" si="2"/>
        <v>3081.8089999999997</v>
      </c>
      <c r="F40" s="130">
        <f t="shared" si="2"/>
        <v>3108.7539999999999</v>
      </c>
      <c r="G40" s="130">
        <f t="shared" si="2"/>
        <v>3112.5259999999998</v>
      </c>
      <c r="H40" s="130">
        <f t="shared" si="2"/>
        <v>1828.644</v>
      </c>
      <c r="I40" s="130">
        <f t="shared" si="2"/>
        <v>1857.6960000000001</v>
      </c>
      <c r="J40" s="130">
        <f t="shared" si="2"/>
        <v>1725.4</v>
      </c>
      <c r="K40" s="130">
        <f t="shared" si="2"/>
        <v>1708.1659999999999</v>
      </c>
      <c r="L40" s="130">
        <f t="shared" si="2"/>
        <v>1761.6430000000003</v>
      </c>
      <c r="M40" s="130">
        <f t="shared" si="2"/>
        <v>1778.0970000000002</v>
      </c>
      <c r="N40" s="130">
        <f t="shared" si="2"/>
        <v>1849.1269999999997</v>
      </c>
      <c r="O40" s="130">
        <f t="shared" si="2"/>
        <v>1991.7620000000002</v>
      </c>
      <c r="P40" s="130">
        <f t="shared" si="2"/>
        <v>2106.7429999999999</v>
      </c>
      <c r="Q40" s="130">
        <f t="shared" si="2"/>
        <v>2102.27</v>
      </c>
      <c r="R40" s="130">
        <f>SUM(R18:R39)</f>
        <v>2122.0189999999998</v>
      </c>
      <c r="S40" s="130">
        <f t="shared" ref="S40:AG40" si="3">SUM(S18:S39)</f>
        <v>2089.4520000000002</v>
      </c>
      <c r="T40" s="130">
        <f t="shared" si="3"/>
        <v>2008.0040000000001</v>
      </c>
      <c r="U40" s="130">
        <f t="shared" si="3"/>
        <v>2185.4880000000003</v>
      </c>
      <c r="V40" s="130">
        <f t="shared" si="3"/>
        <v>2158.364</v>
      </c>
      <c r="W40" s="130">
        <f t="shared" si="3"/>
        <v>2136.913</v>
      </c>
      <c r="X40" s="130">
        <f t="shared" si="3"/>
        <v>2114.7549999999997</v>
      </c>
      <c r="Y40" s="130">
        <f t="shared" si="3"/>
        <v>2165.9080000000004</v>
      </c>
      <c r="Z40" s="130">
        <f t="shared" si="3"/>
        <v>2222.5</v>
      </c>
      <c r="AA40" s="130">
        <f t="shared" si="3"/>
        <v>2200</v>
      </c>
      <c r="AB40" s="130">
        <f t="shared" si="3"/>
        <v>2418.66</v>
      </c>
      <c r="AC40" s="130">
        <f t="shared" si="3"/>
        <v>2554.3000000000002</v>
      </c>
      <c r="AD40" s="130">
        <f t="shared" si="3"/>
        <v>2524.2000000000003</v>
      </c>
      <c r="AE40" s="130">
        <f t="shared" si="3"/>
        <v>2641.8159999999998</v>
      </c>
      <c r="AF40" s="130">
        <f t="shared" si="3"/>
        <v>980.62399999999991</v>
      </c>
      <c r="AG40" s="130">
        <f t="shared" si="3"/>
        <v>1800.5309999999999</v>
      </c>
      <c r="AI40" s="272"/>
      <c r="AJ40" s="272"/>
    </row>
    <row r="41" spans="1:36" ht="45.75" customHeight="1" x14ac:dyDescent="0.2">
      <c r="A41" s="161" t="s">
        <v>522</v>
      </c>
      <c r="B41" s="162" t="s">
        <v>689</v>
      </c>
      <c r="C41" s="162" t="s">
        <v>520</v>
      </c>
      <c r="D41" s="146" t="s">
        <v>46</v>
      </c>
      <c r="E41" s="146" t="s">
        <v>46</v>
      </c>
      <c r="F41" s="146" t="s">
        <v>46</v>
      </c>
      <c r="G41" s="146" t="s">
        <v>46</v>
      </c>
      <c r="H41" s="146">
        <v>151.80000000000001</v>
      </c>
      <c r="I41" s="146">
        <v>156.9</v>
      </c>
      <c r="J41" s="146">
        <v>156.9</v>
      </c>
      <c r="K41" s="148">
        <v>159.9</v>
      </c>
      <c r="L41" s="126" t="s">
        <v>37</v>
      </c>
      <c r="M41" s="126" t="s">
        <v>37</v>
      </c>
      <c r="N41" s="126" t="s">
        <v>46</v>
      </c>
      <c r="O41" s="144">
        <v>22.847000000000001</v>
      </c>
      <c r="P41" s="144">
        <v>33.713000000000001</v>
      </c>
      <c r="Q41" s="144">
        <v>38.200000000000003</v>
      </c>
      <c r="R41" s="126">
        <v>37.299999999999997</v>
      </c>
      <c r="S41" s="126">
        <v>36.5</v>
      </c>
      <c r="T41" s="126">
        <v>34.200000000000003</v>
      </c>
      <c r="U41" s="126">
        <v>37</v>
      </c>
      <c r="V41" s="126">
        <v>36</v>
      </c>
      <c r="W41" s="126">
        <v>36.6</v>
      </c>
      <c r="X41" s="140">
        <v>35</v>
      </c>
      <c r="Y41" s="119">
        <v>34.179000000000002</v>
      </c>
      <c r="Z41" s="119">
        <v>32.308</v>
      </c>
      <c r="AA41" s="119">
        <v>34.146000000000001</v>
      </c>
      <c r="AB41" s="119">
        <v>32.875</v>
      </c>
      <c r="AC41" s="119">
        <v>33.476999999999997</v>
      </c>
      <c r="AD41" s="119">
        <v>34.972999999999999</v>
      </c>
      <c r="AE41" s="119">
        <v>36.783999999999999</v>
      </c>
      <c r="AF41" s="119">
        <v>12.366</v>
      </c>
      <c r="AG41" s="250">
        <v>24.184999999999999</v>
      </c>
    </row>
    <row r="42" spans="1:36" x14ac:dyDescent="0.2">
      <c r="A42" s="161" t="s">
        <v>522</v>
      </c>
      <c r="B42" s="162" t="s">
        <v>686</v>
      </c>
      <c r="C42" s="162" t="s">
        <v>520</v>
      </c>
      <c r="D42" s="146" t="s">
        <v>46</v>
      </c>
      <c r="E42" s="146" t="s">
        <v>46</v>
      </c>
      <c r="F42" s="146" t="s">
        <v>46</v>
      </c>
      <c r="G42" s="146" t="s">
        <v>46</v>
      </c>
      <c r="H42" s="146" t="s">
        <v>46</v>
      </c>
      <c r="I42" s="146" t="s">
        <v>46</v>
      </c>
      <c r="J42" s="146" t="s">
        <v>46</v>
      </c>
      <c r="K42" s="146" t="s">
        <v>46</v>
      </c>
      <c r="L42" s="147">
        <v>60</v>
      </c>
      <c r="M42" s="147">
        <v>61.5</v>
      </c>
      <c r="N42" s="144">
        <v>65.599999999999994</v>
      </c>
      <c r="O42" s="144">
        <v>75.373000000000005</v>
      </c>
      <c r="P42" s="144">
        <v>95.138999999999996</v>
      </c>
      <c r="Q42" s="144">
        <v>101.4</v>
      </c>
      <c r="R42" s="126">
        <v>102.6</v>
      </c>
      <c r="S42" s="126">
        <v>102.4</v>
      </c>
      <c r="T42" s="126">
        <v>101.6</v>
      </c>
      <c r="U42" s="126">
        <v>105.9</v>
      </c>
      <c r="V42" s="126">
        <v>112.4</v>
      </c>
      <c r="W42" s="126">
        <v>113.1</v>
      </c>
      <c r="X42" s="140">
        <v>108</v>
      </c>
      <c r="Y42" s="119">
        <v>116.8</v>
      </c>
      <c r="Z42" s="119">
        <v>119.19799999999999</v>
      </c>
      <c r="AA42" s="119">
        <v>121.99</v>
      </c>
      <c r="AB42" s="119">
        <v>116.35299999999999</v>
      </c>
      <c r="AC42" s="119">
        <v>110.143</v>
      </c>
      <c r="AD42" s="119">
        <v>115.444</v>
      </c>
      <c r="AE42" s="119">
        <v>129.75</v>
      </c>
      <c r="AF42" s="119">
        <v>51.514000000000003</v>
      </c>
      <c r="AG42" s="250">
        <v>84.251999999999995</v>
      </c>
    </row>
    <row r="43" spans="1:36" x14ac:dyDescent="0.2">
      <c r="A43" s="161" t="s">
        <v>522</v>
      </c>
      <c r="B43" s="162" t="s">
        <v>685</v>
      </c>
      <c r="C43" s="162" t="s">
        <v>520</v>
      </c>
      <c r="D43" s="146" t="s">
        <v>46</v>
      </c>
      <c r="E43" s="146" t="s">
        <v>46</v>
      </c>
      <c r="F43" s="146" t="s">
        <v>46</v>
      </c>
      <c r="G43" s="146" t="s">
        <v>46</v>
      </c>
      <c r="H43" s="146">
        <v>62.6</v>
      </c>
      <c r="I43" s="146">
        <v>65.099999999999994</v>
      </c>
      <c r="J43" s="146">
        <v>60.9</v>
      </c>
      <c r="K43" s="148">
        <v>62.2</v>
      </c>
      <c r="L43" s="140">
        <v>20.8</v>
      </c>
      <c r="M43" s="140">
        <v>18.5</v>
      </c>
      <c r="N43" s="126">
        <v>21.1</v>
      </c>
      <c r="O43" s="146" t="s">
        <v>46</v>
      </c>
      <c r="P43" s="146" t="s">
        <v>46</v>
      </c>
      <c r="Q43" s="146" t="s">
        <v>46</v>
      </c>
      <c r="R43" s="146" t="s">
        <v>46</v>
      </c>
      <c r="S43" s="146" t="s">
        <v>46</v>
      </c>
      <c r="T43" s="146" t="s">
        <v>46</v>
      </c>
      <c r="U43" s="146" t="s">
        <v>46</v>
      </c>
      <c r="V43" s="146" t="s">
        <v>46</v>
      </c>
      <c r="W43" s="146" t="s">
        <v>46</v>
      </c>
      <c r="X43" s="146" t="s">
        <v>46</v>
      </c>
      <c r="Y43" s="146" t="s">
        <v>46</v>
      </c>
      <c r="Z43" s="146" t="s">
        <v>46</v>
      </c>
      <c r="AA43" s="146" t="s">
        <v>46</v>
      </c>
      <c r="AB43" s="146" t="s">
        <v>46</v>
      </c>
      <c r="AC43" s="146" t="s">
        <v>46</v>
      </c>
      <c r="AD43" s="146" t="s">
        <v>46</v>
      </c>
      <c r="AE43" s="146" t="s">
        <v>46</v>
      </c>
      <c r="AF43" s="146" t="s">
        <v>46</v>
      </c>
      <c r="AG43" s="146" t="s">
        <v>46</v>
      </c>
    </row>
    <row r="44" spans="1:36" x14ac:dyDescent="0.2">
      <c r="A44" s="161" t="s">
        <v>522</v>
      </c>
      <c r="B44" s="163" t="s">
        <v>688</v>
      </c>
      <c r="C44" s="162" t="s">
        <v>520</v>
      </c>
      <c r="D44" s="146" t="s">
        <v>46</v>
      </c>
      <c r="E44" s="146" t="s">
        <v>46</v>
      </c>
      <c r="F44" s="146" t="s">
        <v>46</v>
      </c>
      <c r="G44" s="146" t="s">
        <v>46</v>
      </c>
      <c r="H44" s="146" t="s">
        <v>46</v>
      </c>
      <c r="I44" s="146" t="s">
        <v>46</v>
      </c>
      <c r="J44" s="146" t="s">
        <v>46</v>
      </c>
      <c r="K44" s="146" t="s">
        <v>46</v>
      </c>
      <c r="L44" s="122" t="s">
        <v>46</v>
      </c>
      <c r="M44" s="122" t="s">
        <v>46</v>
      </c>
      <c r="N44" s="122" t="s">
        <v>46</v>
      </c>
      <c r="O44" s="122">
        <v>14.175000000000001</v>
      </c>
      <c r="P44" s="122">
        <v>17.013999999999999</v>
      </c>
      <c r="Q44" s="122">
        <v>16.600000000000001</v>
      </c>
      <c r="R44" s="122">
        <v>16.399999999999999</v>
      </c>
      <c r="S44" s="122">
        <v>14</v>
      </c>
      <c r="T44" s="122">
        <v>13.9</v>
      </c>
      <c r="U44" s="122">
        <v>14.6</v>
      </c>
      <c r="V44" s="122">
        <v>15.4</v>
      </c>
      <c r="W44" s="122">
        <v>16</v>
      </c>
      <c r="X44" s="140">
        <v>16</v>
      </c>
      <c r="Y44" s="119">
        <v>16.268999999999998</v>
      </c>
      <c r="Z44" s="119">
        <v>16.295000000000002</v>
      </c>
      <c r="AA44" s="119">
        <v>15.766</v>
      </c>
      <c r="AB44" s="119">
        <v>17.087</v>
      </c>
      <c r="AC44" s="119">
        <v>17.478999999999999</v>
      </c>
      <c r="AD44" s="119">
        <v>18.77</v>
      </c>
      <c r="AE44" s="119">
        <v>19.187000000000001</v>
      </c>
      <c r="AF44" s="119">
        <v>4.92</v>
      </c>
      <c r="AG44" s="250">
        <v>13.067</v>
      </c>
    </row>
    <row r="45" spans="1:36" x14ac:dyDescent="0.2">
      <c r="A45" s="161" t="s">
        <v>522</v>
      </c>
      <c r="B45" s="151" t="s">
        <v>687</v>
      </c>
      <c r="C45" s="162" t="s">
        <v>520</v>
      </c>
      <c r="D45" s="146" t="s">
        <v>46</v>
      </c>
      <c r="E45" s="146" t="s">
        <v>46</v>
      </c>
      <c r="F45" s="146" t="s">
        <v>46</v>
      </c>
      <c r="G45" s="146" t="s">
        <v>46</v>
      </c>
      <c r="H45" s="146" t="s">
        <v>46</v>
      </c>
      <c r="I45" s="146" t="s">
        <v>46</v>
      </c>
      <c r="J45" s="146" t="s">
        <v>46</v>
      </c>
      <c r="K45" s="146" t="s">
        <v>46</v>
      </c>
      <c r="L45" s="3">
        <v>157.80000000000001</v>
      </c>
      <c r="M45" s="149">
        <v>128</v>
      </c>
      <c r="N45" s="122">
        <v>113.2</v>
      </c>
      <c r="O45" s="122">
        <v>128.21100000000001</v>
      </c>
      <c r="P45" s="122">
        <v>142.845</v>
      </c>
      <c r="Q45" s="122">
        <v>144.69999999999999</v>
      </c>
      <c r="R45" s="144">
        <v>148</v>
      </c>
      <c r="S45" s="144">
        <v>154.78</v>
      </c>
      <c r="T45" s="144">
        <v>145</v>
      </c>
      <c r="U45" s="144">
        <v>151</v>
      </c>
      <c r="V45" s="144">
        <v>141.5</v>
      </c>
      <c r="W45" s="144">
        <v>138</v>
      </c>
      <c r="X45" s="140">
        <v>139</v>
      </c>
      <c r="Y45" s="119">
        <v>115.616</v>
      </c>
      <c r="Z45" s="119">
        <v>120.81100000000001</v>
      </c>
      <c r="AA45" s="119">
        <v>125.67400000000001</v>
      </c>
      <c r="AB45" s="119">
        <v>135.22900000000001</v>
      </c>
      <c r="AC45" s="119">
        <v>146.417</v>
      </c>
      <c r="AD45" s="119">
        <v>153.31200000000001</v>
      </c>
      <c r="AE45" s="119">
        <v>161.91999999999999</v>
      </c>
      <c r="AF45" s="119">
        <v>53.006</v>
      </c>
      <c r="AG45" s="250">
        <v>108.008</v>
      </c>
    </row>
    <row r="46" spans="1:36" x14ac:dyDescent="0.2">
      <c r="A46" s="161" t="s">
        <v>522</v>
      </c>
      <c r="B46" s="151" t="s">
        <v>521</v>
      </c>
      <c r="C46" s="145" t="s">
        <v>524</v>
      </c>
      <c r="D46" s="146">
        <f>SUM(D41:D45)</f>
        <v>0</v>
      </c>
      <c r="E46" s="146">
        <f t="shared" ref="E46:AG46" si="4">SUM(E41:E45)</f>
        <v>0</v>
      </c>
      <c r="F46" s="146">
        <f t="shared" si="4"/>
        <v>0</v>
      </c>
      <c r="G46" s="146">
        <f t="shared" si="4"/>
        <v>0</v>
      </c>
      <c r="H46" s="146">
        <f t="shared" si="4"/>
        <v>214.4</v>
      </c>
      <c r="I46" s="146">
        <f t="shared" si="4"/>
        <v>222</v>
      </c>
      <c r="J46" s="146">
        <f t="shared" si="4"/>
        <v>217.8</v>
      </c>
      <c r="K46" s="146">
        <f t="shared" si="4"/>
        <v>222.10000000000002</v>
      </c>
      <c r="L46" s="146">
        <f t="shared" si="4"/>
        <v>238.60000000000002</v>
      </c>
      <c r="M46" s="146">
        <f t="shared" si="4"/>
        <v>208</v>
      </c>
      <c r="N46" s="146">
        <f t="shared" si="4"/>
        <v>199.89999999999998</v>
      </c>
      <c r="O46" s="146">
        <f t="shared" si="4"/>
        <v>240.60599999999999</v>
      </c>
      <c r="P46" s="146">
        <f t="shared" si="4"/>
        <v>288.71100000000001</v>
      </c>
      <c r="Q46" s="146">
        <f t="shared" si="4"/>
        <v>300.89999999999998</v>
      </c>
      <c r="R46" s="146">
        <f t="shared" si="4"/>
        <v>304.29999999999995</v>
      </c>
      <c r="S46" s="146">
        <f t="shared" si="4"/>
        <v>307.68</v>
      </c>
      <c r="T46" s="146">
        <f t="shared" si="4"/>
        <v>294.70000000000005</v>
      </c>
      <c r="U46" s="146">
        <f t="shared" si="4"/>
        <v>308.5</v>
      </c>
      <c r="V46" s="146">
        <f t="shared" si="4"/>
        <v>305.3</v>
      </c>
      <c r="W46" s="146">
        <f t="shared" si="4"/>
        <v>303.7</v>
      </c>
      <c r="X46" s="146">
        <f t="shared" si="4"/>
        <v>298</v>
      </c>
      <c r="Y46" s="146">
        <f t="shared" si="4"/>
        <v>282.86399999999998</v>
      </c>
      <c r="Z46" s="146">
        <f t="shared" si="4"/>
        <v>288.61199999999997</v>
      </c>
      <c r="AA46" s="146">
        <f t="shared" si="4"/>
        <v>297.57600000000002</v>
      </c>
      <c r="AB46" s="146">
        <f t="shared" si="4"/>
        <v>301.54399999999998</v>
      </c>
      <c r="AC46" s="146">
        <f t="shared" si="4"/>
        <v>307.51599999999996</v>
      </c>
      <c r="AD46" s="146">
        <f t="shared" si="4"/>
        <v>322.49900000000002</v>
      </c>
      <c r="AE46" s="146">
        <f t="shared" si="4"/>
        <v>347.64099999999996</v>
      </c>
      <c r="AF46" s="146">
        <f t="shared" si="4"/>
        <v>121.806</v>
      </c>
      <c r="AG46" s="146">
        <f t="shared" si="4"/>
        <v>229.512</v>
      </c>
    </row>
    <row r="47" spans="1:36" ht="30" customHeight="1" x14ac:dyDescent="0.2">
      <c r="A47" s="161" t="s">
        <v>523</v>
      </c>
      <c r="B47" s="86" t="s">
        <v>465</v>
      </c>
      <c r="C47" s="145" t="s">
        <v>524</v>
      </c>
      <c r="D47" s="273">
        <f t="shared" ref="D47:AG47" si="5">D17+D40+D46</f>
        <v>6054.9340000000011</v>
      </c>
      <c r="E47" s="273">
        <f t="shared" si="5"/>
        <v>6054.3089999999993</v>
      </c>
      <c r="F47" s="273">
        <f t="shared" si="5"/>
        <v>6046.5540000000001</v>
      </c>
      <c r="G47" s="273">
        <f t="shared" si="5"/>
        <v>6218.1260000000002</v>
      </c>
      <c r="H47" s="273">
        <f t="shared" si="5"/>
        <v>5064.2439999999997</v>
      </c>
      <c r="I47" s="273">
        <f t="shared" si="5"/>
        <v>5114.2959999999994</v>
      </c>
      <c r="J47" s="273">
        <f t="shared" si="5"/>
        <v>4858.3</v>
      </c>
      <c r="K47" s="273">
        <f t="shared" si="5"/>
        <v>4873.9990000000007</v>
      </c>
      <c r="L47" s="273">
        <f t="shared" si="5"/>
        <v>4940.9450000000006</v>
      </c>
      <c r="M47" s="273">
        <f t="shared" si="5"/>
        <v>5016.896999999999</v>
      </c>
      <c r="N47" s="273">
        <f t="shared" si="5"/>
        <v>5073.6269999999986</v>
      </c>
      <c r="O47" s="273">
        <f t="shared" si="5"/>
        <v>5403.5679999999993</v>
      </c>
      <c r="P47" s="273">
        <f t="shared" si="5"/>
        <v>5599.7670000000007</v>
      </c>
      <c r="Q47" s="273">
        <f t="shared" si="5"/>
        <v>5659.146999999999</v>
      </c>
      <c r="R47" s="273">
        <f t="shared" si="5"/>
        <v>5694.1510000000007</v>
      </c>
      <c r="S47" s="273">
        <f t="shared" si="5"/>
        <v>5696.4320000000007</v>
      </c>
      <c r="T47" s="273">
        <f t="shared" si="5"/>
        <v>5378.768</v>
      </c>
      <c r="U47" s="273">
        <f t="shared" si="5"/>
        <v>5604.3119999999999</v>
      </c>
      <c r="V47" s="273">
        <f t="shared" si="5"/>
        <v>5541.08</v>
      </c>
      <c r="W47" s="273">
        <f t="shared" si="5"/>
        <v>5288.0780000000004</v>
      </c>
      <c r="X47" s="273">
        <f t="shared" si="5"/>
        <v>5150.0069999999996</v>
      </c>
      <c r="Y47" s="273">
        <f t="shared" si="5"/>
        <v>5176.6029999999992</v>
      </c>
      <c r="Z47" s="273">
        <f t="shared" si="5"/>
        <v>5251.7120000000004</v>
      </c>
      <c r="AA47" s="273">
        <f t="shared" si="5"/>
        <v>5225.9759999999997</v>
      </c>
      <c r="AB47" s="273">
        <f t="shared" si="5"/>
        <v>5660.6040000000003</v>
      </c>
      <c r="AC47" s="273">
        <f t="shared" si="5"/>
        <v>5846.4159999999993</v>
      </c>
      <c r="AD47" s="273">
        <f t="shared" si="5"/>
        <v>5863.5990000000002</v>
      </c>
      <c r="AE47" s="273">
        <f t="shared" si="5"/>
        <v>6033.6829999999991</v>
      </c>
      <c r="AF47" s="273">
        <f t="shared" si="5"/>
        <v>2492.232</v>
      </c>
      <c r="AG47" s="273">
        <f t="shared" si="5"/>
        <v>4179.1400000000003</v>
      </c>
    </row>
    <row r="48" spans="1:36" x14ac:dyDescent="0.2">
      <c r="AH48" s="280"/>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K51"/>
  <sheetViews>
    <sheetView zoomScaleNormal="100" workbookViewId="0">
      <pane xSplit="3" ySplit="4" topLeftCell="R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12.21875" style="6" customWidth="1"/>
    <col min="2" max="2" width="36.21875" style="6" customWidth="1"/>
    <col min="3" max="3" width="13.88671875" style="6" customWidth="1"/>
    <col min="4" max="33" width="7.88671875" style="6" customWidth="1"/>
    <col min="34" max="16384" width="8.88671875" style="6"/>
  </cols>
  <sheetData>
    <row r="1" spans="1:37" s="5" customFormat="1" ht="15.75" x14ac:dyDescent="0.25">
      <c r="A1" s="1" t="s">
        <v>835</v>
      </c>
      <c r="B1" s="1"/>
      <c r="C1" s="1"/>
      <c r="D1" s="1"/>
      <c r="E1" s="1"/>
      <c r="F1" s="1"/>
      <c r="G1" s="1"/>
      <c r="H1" s="1"/>
      <c r="I1" s="1"/>
      <c r="J1" s="1"/>
      <c r="K1" s="1"/>
      <c r="L1" s="1"/>
      <c r="M1" s="2"/>
      <c r="N1" s="3"/>
      <c r="O1" s="4"/>
      <c r="P1" s="4"/>
      <c r="Q1" s="2"/>
    </row>
    <row r="2" spans="1:37" s="5" customFormat="1" ht="15.75" x14ac:dyDescent="0.25">
      <c r="A2" s="2" t="s">
        <v>5</v>
      </c>
      <c r="B2" s="2"/>
      <c r="C2" s="2"/>
      <c r="D2" s="2"/>
      <c r="E2" s="2"/>
      <c r="F2" s="2"/>
      <c r="G2" s="2"/>
      <c r="H2" s="2"/>
      <c r="I2" s="2"/>
      <c r="J2" s="2"/>
      <c r="K2" s="2"/>
      <c r="L2" s="2"/>
      <c r="M2" s="2"/>
      <c r="N2" s="3"/>
      <c r="O2" s="4"/>
      <c r="P2" s="4"/>
      <c r="Q2" s="2"/>
    </row>
    <row r="3" spans="1:37" s="5" customFormat="1" ht="15.75" x14ac:dyDescent="0.25">
      <c r="A3" s="5" t="s">
        <v>506</v>
      </c>
      <c r="M3" s="2"/>
      <c r="N3" s="3"/>
      <c r="O3" s="4"/>
      <c r="P3" s="4"/>
      <c r="Q3" s="2"/>
    </row>
    <row r="4" spans="1:37" s="260" customFormat="1" ht="36" customHeight="1" x14ac:dyDescent="0.25">
      <c r="A4" s="259" t="s">
        <v>511</v>
      </c>
      <c r="B4" s="259" t="s">
        <v>487</v>
      </c>
      <c r="C4" s="259" t="s">
        <v>453</v>
      </c>
      <c r="D4" s="259" t="s">
        <v>62</v>
      </c>
      <c r="E4" s="260" t="s">
        <v>63</v>
      </c>
      <c r="F4" s="260" t="s">
        <v>54</v>
      </c>
      <c r="G4" s="260" t="s">
        <v>55</v>
      </c>
      <c r="H4" s="260" t="s">
        <v>56</v>
      </c>
      <c r="I4" s="260" t="s">
        <v>40</v>
      </c>
      <c r="J4" s="260" t="s">
        <v>41</v>
      </c>
      <c r="K4" s="260" t="s">
        <v>42</v>
      </c>
      <c r="L4" s="260" t="s">
        <v>43</v>
      </c>
      <c r="M4" s="260" t="s">
        <v>17</v>
      </c>
      <c r="N4" s="260" t="s">
        <v>18</v>
      </c>
      <c r="O4" s="260" t="s">
        <v>44</v>
      </c>
      <c r="P4" s="260" t="s">
        <v>19</v>
      </c>
      <c r="Q4" s="260" t="s">
        <v>20</v>
      </c>
      <c r="R4" s="260" t="s">
        <v>21</v>
      </c>
      <c r="S4" s="260" t="s">
        <v>22</v>
      </c>
      <c r="T4" s="260" t="s">
        <v>23</v>
      </c>
      <c r="U4" s="260" t="s">
        <v>24</v>
      </c>
      <c r="V4" s="260" t="s">
        <v>25</v>
      </c>
      <c r="W4" s="260" t="s">
        <v>26</v>
      </c>
      <c r="X4" s="260" t="s">
        <v>27</v>
      </c>
      <c r="Y4" s="260" t="s">
        <v>28</v>
      </c>
      <c r="Z4" s="260" t="s">
        <v>29</v>
      </c>
      <c r="AA4" s="260" t="s">
        <v>30</v>
      </c>
      <c r="AB4" s="260" t="s">
        <v>31</v>
      </c>
      <c r="AC4" s="260" t="s">
        <v>32</v>
      </c>
      <c r="AD4" s="260" t="s">
        <v>33</v>
      </c>
      <c r="AE4" s="260" t="s">
        <v>34</v>
      </c>
      <c r="AF4" s="260" t="s">
        <v>35</v>
      </c>
      <c r="AG4" s="260" t="s">
        <v>484</v>
      </c>
      <c r="AH4" s="245" t="s">
        <v>854</v>
      </c>
    </row>
    <row r="5" spans="1:37" x14ac:dyDescent="0.2">
      <c r="A5" s="117" t="s">
        <v>227</v>
      </c>
      <c r="B5" s="236" t="s">
        <v>706</v>
      </c>
      <c r="C5" s="151" t="s">
        <v>512</v>
      </c>
      <c r="D5" s="146">
        <v>7.7</v>
      </c>
      <c r="E5" s="146">
        <v>8.1</v>
      </c>
      <c r="F5" s="146">
        <v>9.1999999999999993</v>
      </c>
      <c r="G5" s="146">
        <v>9.6</v>
      </c>
      <c r="H5" s="146">
        <v>9.6999999999999993</v>
      </c>
      <c r="I5" s="146">
        <v>9.5</v>
      </c>
      <c r="J5" s="146">
        <v>9.6</v>
      </c>
      <c r="K5" s="152">
        <v>11.1</v>
      </c>
      <c r="L5" s="147">
        <v>11.420999999999999</v>
      </c>
      <c r="M5" s="147">
        <v>11.420999999999999</v>
      </c>
      <c r="N5" s="147">
        <f>9.376+0.912</f>
        <v>10.288</v>
      </c>
      <c r="O5" s="144">
        <v>10.199999999999999</v>
      </c>
      <c r="P5" s="144">
        <v>10.4</v>
      </c>
      <c r="Q5" s="144">
        <v>10.869</v>
      </c>
      <c r="R5" s="147">
        <v>12.243</v>
      </c>
      <c r="S5" s="147">
        <v>11.381</v>
      </c>
      <c r="T5" s="147">
        <v>13.5</v>
      </c>
      <c r="U5" s="144">
        <v>12.536</v>
      </c>
      <c r="V5" s="144">
        <v>11.561999999999999</v>
      </c>
      <c r="W5" s="144">
        <v>13.217000000000001</v>
      </c>
      <c r="X5" s="144">
        <v>11.441000000000001</v>
      </c>
      <c r="Y5" s="147">
        <v>11.987</v>
      </c>
      <c r="Z5" s="118">
        <v>12.445</v>
      </c>
      <c r="AA5" s="117">
        <v>12.1</v>
      </c>
      <c r="AB5" s="117">
        <v>9.1999999999999993</v>
      </c>
      <c r="AC5" s="5">
        <v>10.7</v>
      </c>
      <c r="AD5" s="117">
        <v>10.4</v>
      </c>
      <c r="AE5" s="118">
        <v>10</v>
      </c>
      <c r="AF5" s="118">
        <v>9.4</v>
      </c>
      <c r="AG5" s="118">
        <v>6.9039999999999999</v>
      </c>
      <c r="AH5" s="250">
        <v>9.2200000000000006</v>
      </c>
    </row>
    <row r="6" spans="1:37" ht="18" x14ac:dyDescent="0.2">
      <c r="A6" s="117" t="s">
        <v>227</v>
      </c>
      <c r="B6" s="236" t="s">
        <v>707</v>
      </c>
      <c r="C6" s="151" t="s">
        <v>512</v>
      </c>
      <c r="D6" s="146"/>
      <c r="E6" s="146"/>
      <c r="F6" s="146"/>
      <c r="G6" s="146"/>
      <c r="H6" s="146"/>
      <c r="I6" s="146"/>
      <c r="J6" s="146"/>
      <c r="K6" s="152"/>
      <c r="L6" s="147"/>
      <c r="M6" s="147"/>
      <c r="N6" s="147"/>
      <c r="O6" s="144"/>
      <c r="P6" s="144"/>
      <c r="Q6" s="144"/>
      <c r="R6" s="147"/>
      <c r="S6" s="147" t="s">
        <v>46</v>
      </c>
      <c r="T6" s="147" t="s">
        <v>46</v>
      </c>
      <c r="U6" s="144" t="s">
        <v>46</v>
      </c>
      <c r="V6" s="144" t="s">
        <v>46</v>
      </c>
      <c r="W6" s="144" t="s">
        <v>46</v>
      </c>
      <c r="X6" s="144" t="s">
        <v>46</v>
      </c>
      <c r="Y6" s="147" t="s">
        <v>46</v>
      </c>
      <c r="Z6" s="118">
        <v>0.15</v>
      </c>
      <c r="AA6" s="117">
        <v>0.4</v>
      </c>
      <c r="AB6" s="117">
        <v>0.2</v>
      </c>
      <c r="AC6" s="117">
        <v>0.2</v>
      </c>
      <c r="AD6" s="117">
        <v>0.1</v>
      </c>
      <c r="AE6" s="117">
        <v>0.1</v>
      </c>
      <c r="AF6" s="117">
        <v>0.2</v>
      </c>
      <c r="AG6" s="118">
        <v>0</v>
      </c>
      <c r="AH6" s="250">
        <v>3.4000000000000002E-2</v>
      </c>
    </row>
    <row r="7" spans="1:37" x14ac:dyDescent="0.2">
      <c r="A7" s="117" t="s">
        <v>227</v>
      </c>
      <c r="B7" s="236" t="s">
        <v>708</v>
      </c>
      <c r="C7" s="151" t="s">
        <v>512</v>
      </c>
      <c r="D7" s="146">
        <v>8.8000000000000007</v>
      </c>
      <c r="E7" s="146">
        <v>10.7</v>
      </c>
      <c r="F7" s="146">
        <v>11.22</v>
      </c>
      <c r="G7" s="146">
        <v>10.7</v>
      </c>
      <c r="H7" s="146">
        <v>11.5</v>
      </c>
      <c r="I7" s="146">
        <v>11.3</v>
      </c>
      <c r="J7" s="146">
        <v>10.7</v>
      </c>
      <c r="K7" s="152">
        <v>10.756</v>
      </c>
      <c r="L7" s="147">
        <v>11.632999999999999</v>
      </c>
      <c r="M7" s="147">
        <v>11.632999999999999</v>
      </c>
      <c r="N7" s="147">
        <f>9.521+3.471</f>
        <v>12.992000000000001</v>
      </c>
      <c r="O7" s="144">
        <v>13.1</v>
      </c>
      <c r="P7" s="144">
        <v>13.1</v>
      </c>
      <c r="Q7" s="144">
        <v>12.747</v>
      </c>
      <c r="R7" s="147">
        <v>15.301</v>
      </c>
      <c r="S7" s="147">
        <v>16.501999999999999</v>
      </c>
      <c r="T7" s="147">
        <v>17.399999999999999</v>
      </c>
      <c r="U7" s="144">
        <v>17.498999999999999</v>
      </c>
      <c r="V7" s="144">
        <v>15.718</v>
      </c>
      <c r="W7" s="144">
        <v>14.936999999999999</v>
      </c>
      <c r="X7" s="144">
        <v>15.048</v>
      </c>
      <c r="Y7" s="147">
        <v>14.137</v>
      </c>
      <c r="Z7" s="118">
        <v>12.861000000000001</v>
      </c>
      <c r="AA7" s="117">
        <v>12.4</v>
      </c>
      <c r="AB7" s="117">
        <v>11.6</v>
      </c>
      <c r="AC7" s="5">
        <v>9.1999999999999993</v>
      </c>
      <c r="AD7" s="117">
        <v>8.1999999999999993</v>
      </c>
      <c r="AE7" s="117">
        <v>8.5</v>
      </c>
      <c r="AF7" s="117">
        <v>8.6</v>
      </c>
      <c r="AG7" s="118">
        <v>6.7539999999999996</v>
      </c>
      <c r="AH7" s="250">
        <v>7.4649999999999999</v>
      </c>
    </row>
    <row r="8" spans="1:37" ht="18.75" customHeight="1" x14ac:dyDescent="0.2">
      <c r="A8" s="117" t="s">
        <v>227</v>
      </c>
      <c r="B8" s="236" t="s">
        <v>672</v>
      </c>
      <c r="C8" s="151" t="s">
        <v>512</v>
      </c>
      <c r="D8" s="146">
        <v>11.2</v>
      </c>
      <c r="E8" s="152">
        <v>10.5</v>
      </c>
      <c r="F8" s="152">
        <v>9.1</v>
      </c>
      <c r="G8" s="152">
        <v>8.8000000000000007</v>
      </c>
      <c r="H8" s="152">
        <v>9.6</v>
      </c>
      <c r="I8" s="152">
        <v>8.6</v>
      </c>
      <c r="J8" s="152">
        <v>8.5</v>
      </c>
      <c r="K8" s="152">
        <v>8.8230000000000004</v>
      </c>
      <c r="L8" s="147">
        <v>9.6379999999999999</v>
      </c>
      <c r="M8" s="147">
        <v>9.6379999999999999</v>
      </c>
      <c r="N8" s="147">
        <v>9.0309999999999988</v>
      </c>
      <c r="O8" s="144">
        <v>8.1999999999999993</v>
      </c>
      <c r="P8" s="144">
        <v>4.9000000000000004</v>
      </c>
      <c r="Q8" s="144">
        <v>6.1360000000000001</v>
      </c>
      <c r="R8" s="147">
        <v>6.0330000000000004</v>
      </c>
      <c r="S8" s="155" t="s">
        <v>46</v>
      </c>
      <c r="T8" s="155" t="s">
        <v>46</v>
      </c>
      <c r="U8" s="155" t="s">
        <v>46</v>
      </c>
      <c r="V8" s="155" t="s">
        <v>46</v>
      </c>
      <c r="W8" s="155" t="s">
        <v>46</v>
      </c>
      <c r="X8" s="155" t="s">
        <v>46</v>
      </c>
      <c r="Y8" s="155" t="s">
        <v>46</v>
      </c>
      <c r="Z8" s="144" t="s">
        <v>46</v>
      </c>
      <c r="AA8" s="144" t="s">
        <v>46</v>
      </c>
      <c r="AB8" s="144" t="s">
        <v>46</v>
      </c>
      <c r="AC8" s="140" t="s">
        <v>46</v>
      </c>
      <c r="AD8" s="126" t="s">
        <v>46</v>
      </c>
      <c r="AE8" s="126" t="s">
        <v>46</v>
      </c>
      <c r="AF8" s="126" t="s">
        <v>46</v>
      </c>
      <c r="AG8" s="126" t="s">
        <v>46</v>
      </c>
      <c r="AH8" s="130" t="s">
        <v>46</v>
      </c>
    </row>
    <row r="9" spans="1:37" x14ac:dyDescent="0.2">
      <c r="A9" s="117" t="s">
        <v>227</v>
      </c>
      <c r="B9" s="236" t="s">
        <v>670</v>
      </c>
      <c r="C9" s="151" t="s">
        <v>514</v>
      </c>
      <c r="D9" s="164" t="s">
        <v>46</v>
      </c>
      <c r="E9" s="164" t="s">
        <v>46</v>
      </c>
      <c r="F9" s="164" t="s">
        <v>46</v>
      </c>
      <c r="G9" s="164" t="s">
        <v>46</v>
      </c>
      <c r="H9" s="164" t="s">
        <v>46</v>
      </c>
      <c r="I9" s="164" t="s">
        <v>46</v>
      </c>
      <c r="J9" s="164" t="s">
        <v>46</v>
      </c>
      <c r="K9" s="164" t="s">
        <v>46</v>
      </c>
      <c r="L9" s="164" t="s">
        <v>46</v>
      </c>
      <c r="M9" s="164" t="s">
        <v>46</v>
      </c>
      <c r="N9" s="164" t="s">
        <v>46</v>
      </c>
      <c r="O9" s="164" t="s">
        <v>46</v>
      </c>
      <c r="P9" s="164" t="s">
        <v>46</v>
      </c>
      <c r="Q9" s="164" t="s">
        <v>46</v>
      </c>
      <c r="R9" s="164" t="s">
        <v>46</v>
      </c>
      <c r="S9" s="144">
        <v>6</v>
      </c>
      <c r="T9" s="144">
        <v>5.2890000000000006</v>
      </c>
      <c r="U9" s="144">
        <v>3.8519999999999999</v>
      </c>
      <c r="V9" s="144">
        <v>3.8</v>
      </c>
      <c r="W9" s="144">
        <v>3.5</v>
      </c>
      <c r="X9" s="144">
        <v>1.5</v>
      </c>
      <c r="Y9" s="155" t="s">
        <v>46</v>
      </c>
      <c r="Z9" s="144" t="s">
        <v>46</v>
      </c>
      <c r="AA9" s="144" t="s">
        <v>46</v>
      </c>
      <c r="AB9" s="144" t="s">
        <v>46</v>
      </c>
      <c r="AC9" s="140" t="s">
        <v>46</v>
      </c>
      <c r="AD9" s="126" t="s">
        <v>46</v>
      </c>
      <c r="AE9" s="126" t="s">
        <v>46</v>
      </c>
      <c r="AF9" s="126" t="s">
        <v>46</v>
      </c>
      <c r="AG9" s="126" t="s">
        <v>46</v>
      </c>
      <c r="AH9" s="130" t="s">
        <v>46</v>
      </c>
    </row>
    <row r="10" spans="1:37" x14ac:dyDescent="0.2">
      <c r="A10" s="117" t="s">
        <v>227</v>
      </c>
      <c r="B10" s="236" t="s">
        <v>670</v>
      </c>
      <c r="C10" s="151" t="s">
        <v>515</v>
      </c>
      <c r="D10" s="155" t="s">
        <v>46</v>
      </c>
      <c r="E10" s="155" t="s">
        <v>46</v>
      </c>
      <c r="F10" s="155" t="s">
        <v>46</v>
      </c>
      <c r="G10" s="155" t="s">
        <v>46</v>
      </c>
      <c r="H10" s="155" t="s">
        <v>46</v>
      </c>
      <c r="I10" s="155" t="s">
        <v>46</v>
      </c>
      <c r="J10" s="155" t="s">
        <v>46</v>
      </c>
      <c r="K10" s="155" t="s">
        <v>46</v>
      </c>
      <c r="L10" s="155" t="s">
        <v>46</v>
      </c>
      <c r="M10" s="155" t="s">
        <v>46</v>
      </c>
      <c r="N10" s="155" t="s">
        <v>46</v>
      </c>
      <c r="O10" s="155" t="s">
        <v>46</v>
      </c>
      <c r="P10" s="155" t="s">
        <v>46</v>
      </c>
      <c r="Q10" s="155" t="s">
        <v>46</v>
      </c>
      <c r="R10" s="155" t="s">
        <v>46</v>
      </c>
      <c r="S10" s="155" t="s">
        <v>46</v>
      </c>
      <c r="T10" s="155" t="s">
        <v>46</v>
      </c>
      <c r="U10" s="155" t="s">
        <v>46</v>
      </c>
      <c r="V10" s="155" t="s">
        <v>46</v>
      </c>
      <c r="W10" s="155" t="s">
        <v>46</v>
      </c>
      <c r="X10" s="144" t="s">
        <v>46</v>
      </c>
      <c r="Y10" s="155" t="s">
        <v>46</v>
      </c>
      <c r="Z10" s="144" t="s">
        <v>46</v>
      </c>
      <c r="AA10" s="144" t="s">
        <v>46</v>
      </c>
      <c r="AB10" s="144" t="s">
        <v>46</v>
      </c>
      <c r="AC10" s="140" t="s">
        <v>46</v>
      </c>
      <c r="AD10" s="126" t="s">
        <v>46</v>
      </c>
      <c r="AE10" s="126" t="s">
        <v>46</v>
      </c>
      <c r="AF10" s="126" t="s">
        <v>46</v>
      </c>
      <c r="AG10" s="126" t="s">
        <v>46</v>
      </c>
      <c r="AH10" s="130" t="s">
        <v>46</v>
      </c>
    </row>
    <row r="11" spans="1:37" x14ac:dyDescent="0.2">
      <c r="A11" s="117" t="s">
        <v>227</v>
      </c>
      <c r="B11" s="236" t="s">
        <v>709</v>
      </c>
      <c r="C11" s="151" t="s">
        <v>512</v>
      </c>
      <c r="D11" s="146">
        <v>5.0999999999999996</v>
      </c>
      <c r="E11" s="146">
        <v>5.0999999999999996</v>
      </c>
      <c r="F11" s="146">
        <v>4.2</v>
      </c>
      <c r="G11" s="146">
        <v>4.9000000000000004</v>
      </c>
      <c r="H11" s="146">
        <v>4.0999999999999996</v>
      </c>
      <c r="I11" s="146">
        <v>3.9</v>
      </c>
      <c r="J11" s="140">
        <v>3.8</v>
      </c>
      <c r="K11" s="152">
        <v>4.3</v>
      </c>
      <c r="L11" s="147">
        <v>3.7890000000000001</v>
      </c>
      <c r="M11" s="147">
        <v>3.7890000000000001</v>
      </c>
      <c r="N11" s="147">
        <f>3.751+0.714</f>
        <v>4.4649999999999999</v>
      </c>
      <c r="O11" s="144">
        <v>4.8</v>
      </c>
      <c r="P11" s="144">
        <v>6</v>
      </c>
      <c r="Q11" s="144">
        <v>5.2030000000000003</v>
      </c>
      <c r="R11" s="147">
        <v>5.327</v>
      </c>
      <c r="S11" s="147">
        <v>6.4889999999999999</v>
      </c>
      <c r="T11" s="147">
        <v>7.4</v>
      </c>
      <c r="U11" s="144">
        <v>6.6</v>
      </c>
      <c r="V11" s="144">
        <v>5.3310000000000004</v>
      </c>
      <c r="W11" s="144">
        <v>5.0060000000000002</v>
      </c>
      <c r="X11" s="144">
        <v>5.3769999999999998</v>
      </c>
      <c r="Y11" s="147">
        <v>5.6289999999999996</v>
      </c>
      <c r="Z11" s="118">
        <v>6.77</v>
      </c>
      <c r="AA11" s="117">
        <v>6.2</v>
      </c>
      <c r="AB11" s="117">
        <v>6.5</v>
      </c>
      <c r="AC11" s="5">
        <v>4.2</v>
      </c>
      <c r="AD11" s="117">
        <v>4.2</v>
      </c>
      <c r="AE11" s="117">
        <v>4.4000000000000004</v>
      </c>
      <c r="AF11" s="117">
        <v>4.0999999999999996</v>
      </c>
      <c r="AG11" s="118">
        <v>4.6059999999999999</v>
      </c>
      <c r="AH11" s="250">
        <v>4.7489999999999997</v>
      </c>
    </row>
    <row r="12" spans="1:37" x14ac:dyDescent="0.2">
      <c r="A12" s="117" t="s">
        <v>227</v>
      </c>
      <c r="B12" s="236" t="s">
        <v>710</v>
      </c>
      <c r="C12" s="151" t="s">
        <v>512</v>
      </c>
      <c r="D12" s="146">
        <v>0.1</v>
      </c>
      <c r="E12" s="146">
        <v>0.2</v>
      </c>
      <c r="F12" s="146">
        <v>0.2</v>
      </c>
      <c r="G12" s="146">
        <v>0.3</v>
      </c>
      <c r="H12" s="146">
        <v>0.4</v>
      </c>
      <c r="I12" s="140">
        <v>0.4</v>
      </c>
      <c r="J12" s="146">
        <v>0.4</v>
      </c>
      <c r="K12" s="152">
        <v>0.4</v>
      </c>
      <c r="L12" s="147">
        <v>0.48199999999999998</v>
      </c>
      <c r="M12" s="147">
        <v>0.48199999999999998</v>
      </c>
      <c r="N12" s="147">
        <f>0.457+0.11</f>
        <v>0.56700000000000006</v>
      </c>
      <c r="O12" s="144">
        <v>0.4</v>
      </c>
      <c r="P12" s="144">
        <v>0.4</v>
      </c>
      <c r="Q12" s="144">
        <v>0.36299999999999999</v>
      </c>
      <c r="R12" s="147">
        <v>0.376</v>
      </c>
      <c r="S12" s="147">
        <v>0.42199999999999999</v>
      </c>
      <c r="T12" s="147">
        <v>0.6</v>
      </c>
      <c r="U12" s="144">
        <v>0.505</v>
      </c>
      <c r="V12" s="144">
        <v>0.52300000000000002</v>
      </c>
      <c r="W12" s="144">
        <v>0.52600000000000002</v>
      </c>
      <c r="X12" s="144">
        <v>0.47499999999999998</v>
      </c>
      <c r="Y12" s="147">
        <v>0.53800000000000003</v>
      </c>
      <c r="Z12" s="118">
        <v>0.439</v>
      </c>
      <c r="AA12" s="117">
        <v>0.4</v>
      </c>
      <c r="AB12" s="117">
        <v>0.4</v>
      </c>
      <c r="AC12" s="5">
        <v>0.4</v>
      </c>
      <c r="AD12" s="117">
        <v>0.4</v>
      </c>
      <c r="AE12" s="117">
        <v>0.5</v>
      </c>
      <c r="AF12" s="117">
        <v>0.5</v>
      </c>
      <c r="AG12" s="118">
        <v>0.26400000000000001</v>
      </c>
      <c r="AH12" s="250">
        <v>0.52300000000000002</v>
      </c>
    </row>
    <row r="13" spans="1:37" x14ac:dyDescent="0.2">
      <c r="A13" s="117" t="s">
        <v>227</v>
      </c>
      <c r="B13" s="236" t="s">
        <v>711</v>
      </c>
      <c r="C13" s="151" t="s">
        <v>512</v>
      </c>
      <c r="D13" s="146" t="s">
        <v>46</v>
      </c>
      <c r="E13" s="146" t="s">
        <v>46</v>
      </c>
      <c r="F13" s="146" t="s">
        <v>46</v>
      </c>
      <c r="G13" s="146" t="s">
        <v>46</v>
      </c>
      <c r="H13" s="146" t="s">
        <v>46</v>
      </c>
      <c r="I13" s="146" t="s">
        <v>46</v>
      </c>
      <c r="J13" s="152">
        <v>0.4</v>
      </c>
      <c r="K13" s="152">
        <v>0.4</v>
      </c>
      <c r="L13" s="147">
        <f>0.448+0.024</f>
        <v>0.47200000000000003</v>
      </c>
      <c r="M13" s="147">
        <f>0.448+0.024</f>
        <v>0.47200000000000003</v>
      </c>
      <c r="N13" s="147">
        <f>0.3+0.011</f>
        <v>0.311</v>
      </c>
      <c r="O13" s="144">
        <v>0.4</v>
      </c>
      <c r="P13" s="144">
        <v>0.3</v>
      </c>
      <c r="Q13" s="144">
        <v>0.32900000000000001</v>
      </c>
      <c r="R13" s="147">
        <v>0.58099999999999996</v>
      </c>
      <c r="S13" s="147">
        <v>0.87</v>
      </c>
      <c r="T13" s="147">
        <v>0.6</v>
      </c>
      <c r="U13" s="144">
        <v>0.52700000000000002</v>
      </c>
      <c r="V13" s="144">
        <v>0.67</v>
      </c>
      <c r="W13" s="144">
        <v>0.52100000000000002</v>
      </c>
      <c r="X13" s="144">
        <v>0.56399999999999995</v>
      </c>
      <c r="Y13" s="147">
        <v>0.55700000000000005</v>
      </c>
      <c r="Z13" s="118">
        <v>0.501</v>
      </c>
      <c r="AA13" s="117">
        <v>0.4</v>
      </c>
      <c r="AB13" s="117">
        <v>0.7</v>
      </c>
      <c r="AC13" s="5">
        <v>0.5</v>
      </c>
      <c r="AD13" s="117">
        <v>0.5</v>
      </c>
      <c r="AE13" s="117">
        <v>0.5</v>
      </c>
      <c r="AF13" s="117">
        <v>0.5</v>
      </c>
      <c r="AG13" s="118">
        <v>0.217</v>
      </c>
      <c r="AH13" s="250">
        <v>0.307</v>
      </c>
    </row>
    <row r="14" spans="1:37" x14ac:dyDescent="0.2">
      <c r="A14" s="117" t="s">
        <v>227</v>
      </c>
      <c r="B14" s="236" t="s">
        <v>712</v>
      </c>
      <c r="C14" s="151" t="s">
        <v>512</v>
      </c>
      <c r="D14" s="146">
        <v>12.9</v>
      </c>
      <c r="E14" s="146">
        <v>11.9</v>
      </c>
      <c r="F14" s="146">
        <v>11.9</v>
      </c>
      <c r="G14" s="146">
        <v>12.8</v>
      </c>
      <c r="H14" s="146">
        <v>10.9</v>
      </c>
      <c r="I14" s="146">
        <v>10.8</v>
      </c>
      <c r="J14" s="146">
        <v>11.2</v>
      </c>
      <c r="K14" s="152">
        <f>9.381+1.253</f>
        <v>10.634</v>
      </c>
      <c r="L14" s="147">
        <f>10.977+1.513</f>
        <v>12.49</v>
      </c>
      <c r="M14" s="147">
        <f>10.977+1.513</f>
        <v>12.49</v>
      </c>
      <c r="N14" s="147">
        <f>12.167+1.386</f>
        <v>13.552999999999999</v>
      </c>
      <c r="O14" s="144">
        <v>14</v>
      </c>
      <c r="P14" s="144">
        <v>13.1</v>
      </c>
      <c r="Q14" s="144">
        <v>13.186</v>
      </c>
      <c r="R14" s="147">
        <v>11.007999999999999</v>
      </c>
      <c r="S14" s="147">
        <v>14.186</v>
      </c>
      <c r="T14" s="147">
        <v>13.6</v>
      </c>
      <c r="U14" s="144">
        <v>14.068</v>
      </c>
      <c r="V14" s="144">
        <v>12.074</v>
      </c>
      <c r="W14" s="144">
        <v>12.606999999999999</v>
      </c>
      <c r="X14" s="144">
        <v>14.134</v>
      </c>
      <c r="Y14" s="147">
        <v>14.215</v>
      </c>
      <c r="Z14" s="118">
        <v>13.173999999999999</v>
      </c>
      <c r="AA14" s="117">
        <v>13.7</v>
      </c>
      <c r="AB14" s="117">
        <v>11.9</v>
      </c>
      <c r="AC14" s="5">
        <v>8.9</v>
      </c>
      <c r="AD14" s="117">
        <v>9.5</v>
      </c>
      <c r="AE14" s="117">
        <v>9.1999999999999993</v>
      </c>
      <c r="AF14" s="117">
        <v>9.1999999999999993</v>
      </c>
      <c r="AG14" s="118">
        <v>6.8149999999999995</v>
      </c>
      <c r="AH14" s="250">
        <v>8.4730000000000008</v>
      </c>
    </row>
    <row r="15" spans="1:37" ht="18" x14ac:dyDescent="0.2">
      <c r="A15" s="117" t="s">
        <v>227</v>
      </c>
      <c r="B15" s="163" t="s">
        <v>873</v>
      </c>
      <c r="C15" s="145" t="s">
        <v>524</v>
      </c>
      <c r="D15" s="152" t="s">
        <v>46</v>
      </c>
      <c r="E15" s="152" t="s">
        <v>46</v>
      </c>
      <c r="F15" s="152" t="s">
        <v>46</v>
      </c>
      <c r="G15" s="146">
        <v>0.1</v>
      </c>
      <c r="H15" s="146">
        <v>0.2</v>
      </c>
      <c r="I15" s="146">
        <v>0.3</v>
      </c>
      <c r="J15" s="152">
        <v>0.4</v>
      </c>
      <c r="K15" s="152">
        <v>0.2</v>
      </c>
      <c r="L15" s="147">
        <v>0.71999999999999886</v>
      </c>
      <c r="M15" s="147">
        <v>0.71999999999999886</v>
      </c>
      <c r="N15" s="147">
        <f>0.14+0.145</f>
        <v>0.28500000000000003</v>
      </c>
      <c r="O15" s="144">
        <v>0.2</v>
      </c>
      <c r="P15" s="144">
        <v>0.3</v>
      </c>
      <c r="Q15" s="144">
        <v>0.252</v>
      </c>
      <c r="R15" s="147">
        <v>0.34100000000000003</v>
      </c>
      <c r="S15" s="147">
        <v>0.375</v>
      </c>
      <c r="T15" s="147">
        <v>0.4</v>
      </c>
      <c r="U15" s="153" t="s">
        <v>46</v>
      </c>
      <c r="V15" s="153" t="s">
        <v>46</v>
      </c>
      <c r="W15" s="153" t="s">
        <v>46</v>
      </c>
      <c r="X15" s="153" t="s">
        <v>46</v>
      </c>
      <c r="Y15" s="153" t="s">
        <v>46</v>
      </c>
      <c r="Z15" s="154" t="s">
        <v>46</v>
      </c>
      <c r="AA15" s="154" t="s">
        <v>46</v>
      </c>
      <c r="AB15" s="154" t="s">
        <v>46</v>
      </c>
      <c r="AC15" s="154" t="s">
        <v>46</v>
      </c>
      <c r="AD15" s="154" t="s">
        <v>46</v>
      </c>
      <c r="AE15" s="154" t="s">
        <v>46</v>
      </c>
      <c r="AF15" s="154" t="s">
        <v>46</v>
      </c>
      <c r="AG15" s="154" t="s">
        <v>46</v>
      </c>
      <c r="AH15" s="154" t="s">
        <v>46</v>
      </c>
    </row>
    <row r="16" spans="1:37" x14ac:dyDescent="0.2">
      <c r="A16" s="117" t="s">
        <v>227</v>
      </c>
      <c r="B16" s="151" t="s">
        <v>516</v>
      </c>
      <c r="C16" s="145" t="s">
        <v>524</v>
      </c>
      <c r="D16" s="274">
        <f t="shared" ref="D16:AG16" si="0">SUM(D5:D15)</f>
        <v>45.8</v>
      </c>
      <c r="E16" s="274">
        <f t="shared" si="0"/>
        <v>46.5</v>
      </c>
      <c r="F16" s="274">
        <f t="shared" si="0"/>
        <v>45.820000000000007</v>
      </c>
      <c r="G16" s="274">
        <f t="shared" si="0"/>
        <v>47.199999999999996</v>
      </c>
      <c r="H16" s="274">
        <f t="shared" si="0"/>
        <v>46.4</v>
      </c>
      <c r="I16" s="274">
        <f t="shared" si="0"/>
        <v>44.8</v>
      </c>
      <c r="J16" s="274">
        <f t="shared" si="0"/>
        <v>44.999999999999993</v>
      </c>
      <c r="K16" s="274">
        <f t="shared" si="0"/>
        <v>46.613</v>
      </c>
      <c r="L16" s="274">
        <f t="shared" si="0"/>
        <v>50.645000000000003</v>
      </c>
      <c r="M16" s="274">
        <f t="shared" si="0"/>
        <v>50.645000000000003</v>
      </c>
      <c r="N16" s="274">
        <f t="shared" si="0"/>
        <v>51.49199999999999</v>
      </c>
      <c r="O16" s="274">
        <f t="shared" si="0"/>
        <v>51.3</v>
      </c>
      <c r="P16" s="274">
        <f t="shared" si="0"/>
        <v>48.499999999999993</v>
      </c>
      <c r="Q16" s="274">
        <f t="shared" si="0"/>
        <v>49.085000000000001</v>
      </c>
      <c r="R16" s="274">
        <f t="shared" si="0"/>
        <v>51.21</v>
      </c>
      <c r="S16" s="274">
        <f t="shared" si="0"/>
        <v>56.224999999999987</v>
      </c>
      <c r="T16" s="274">
        <f t="shared" si="0"/>
        <v>58.789000000000001</v>
      </c>
      <c r="U16" s="274">
        <f t="shared" si="0"/>
        <v>55.586999999999996</v>
      </c>
      <c r="V16" s="274">
        <f t="shared" si="0"/>
        <v>49.678000000000004</v>
      </c>
      <c r="W16" s="274">
        <f t="shared" si="0"/>
        <v>50.314</v>
      </c>
      <c r="X16" s="274">
        <f t="shared" si="0"/>
        <v>48.539000000000001</v>
      </c>
      <c r="Y16" s="274">
        <f t="shared" si="0"/>
        <v>47.063000000000002</v>
      </c>
      <c r="Z16" s="274">
        <f t="shared" si="0"/>
        <v>46.339999999999996</v>
      </c>
      <c r="AA16" s="274">
        <f t="shared" si="0"/>
        <v>45.599999999999994</v>
      </c>
      <c r="AB16" s="274">
        <f t="shared" si="0"/>
        <v>40.5</v>
      </c>
      <c r="AC16" s="274">
        <f t="shared" si="0"/>
        <v>34.099999999999994</v>
      </c>
      <c r="AD16" s="274">
        <f t="shared" si="0"/>
        <v>33.299999999999997</v>
      </c>
      <c r="AE16" s="274">
        <f t="shared" si="0"/>
        <v>33.200000000000003</v>
      </c>
      <c r="AF16" s="274">
        <f t="shared" si="0"/>
        <v>32.5</v>
      </c>
      <c r="AG16" s="274">
        <f t="shared" si="0"/>
        <v>25.559999999999995</v>
      </c>
      <c r="AH16" s="274">
        <f t="shared" ref="AH16" si="1">SUM(AH5:AH15)</f>
        <v>30.771000000000001</v>
      </c>
      <c r="AJ16" s="272"/>
      <c r="AK16" s="272"/>
    </row>
    <row r="17" spans="1:34" ht="51.75" customHeight="1" x14ac:dyDescent="0.2">
      <c r="A17" s="161" t="s">
        <v>519</v>
      </c>
      <c r="B17" s="236" t="s">
        <v>713</v>
      </c>
      <c r="C17" s="151" t="s">
        <v>512</v>
      </c>
      <c r="D17" s="146" t="s">
        <v>46</v>
      </c>
      <c r="E17" s="146" t="s">
        <v>46</v>
      </c>
      <c r="F17" s="146" t="s">
        <v>46</v>
      </c>
      <c r="G17" s="146" t="s">
        <v>46</v>
      </c>
      <c r="H17" s="146" t="s">
        <v>46</v>
      </c>
      <c r="I17" s="146" t="s">
        <v>46</v>
      </c>
      <c r="J17" s="146" t="s">
        <v>46</v>
      </c>
      <c r="K17" s="146" t="s">
        <v>46</v>
      </c>
      <c r="L17" s="146" t="s">
        <v>46</v>
      </c>
      <c r="M17" s="146" t="s">
        <v>46</v>
      </c>
      <c r="N17" s="146" t="s">
        <v>46</v>
      </c>
      <c r="O17" s="146" t="s">
        <v>46</v>
      </c>
      <c r="P17" s="167">
        <v>0.54100000000000004</v>
      </c>
      <c r="Q17" s="164">
        <v>0.96399999999999997</v>
      </c>
      <c r="R17" s="147">
        <v>1.2090000000000001</v>
      </c>
      <c r="S17" s="147">
        <v>1.407</v>
      </c>
      <c r="T17" s="147">
        <v>1.3049999999999999</v>
      </c>
      <c r="U17" s="147">
        <v>1.2509999999999999</v>
      </c>
      <c r="V17" s="147">
        <v>1.5169999999999999</v>
      </c>
      <c r="W17" s="147">
        <v>1.496</v>
      </c>
      <c r="X17" s="147">
        <v>1.325</v>
      </c>
      <c r="Y17" s="147">
        <v>1.4019999999999999</v>
      </c>
      <c r="Z17" s="118">
        <v>1.2050000000000001</v>
      </c>
      <c r="AA17" s="117">
        <v>1.3</v>
      </c>
      <c r="AB17" s="117">
        <v>1.3</v>
      </c>
      <c r="AC17" s="5">
        <v>1.3</v>
      </c>
      <c r="AD17" s="118">
        <v>2</v>
      </c>
      <c r="AE17" s="118">
        <v>2.1</v>
      </c>
      <c r="AF17" s="118">
        <v>2.1</v>
      </c>
      <c r="AG17" s="118">
        <v>0.91400000000000003</v>
      </c>
      <c r="AH17" s="250">
        <v>0.83799999999999997</v>
      </c>
    </row>
    <row r="18" spans="1:34" x14ac:dyDescent="0.2">
      <c r="A18" s="161" t="s">
        <v>519</v>
      </c>
      <c r="B18" s="236" t="s">
        <v>714</v>
      </c>
      <c r="C18" s="151" t="s">
        <v>512</v>
      </c>
      <c r="D18" s="146" t="s">
        <v>46</v>
      </c>
      <c r="E18" s="146" t="s">
        <v>46</v>
      </c>
      <c r="F18" s="146" t="s">
        <v>46</v>
      </c>
      <c r="G18" s="146" t="s">
        <v>46</v>
      </c>
      <c r="H18" s="146">
        <v>0.36099999999999999</v>
      </c>
      <c r="I18" s="146">
        <v>0.94599999999999995</v>
      </c>
      <c r="J18" s="146">
        <v>1.5</v>
      </c>
      <c r="K18" s="152">
        <v>2.1</v>
      </c>
      <c r="L18" s="147">
        <v>2.008</v>
      </c>
      <c r="M18" s="146" t="s">
        <v>46</v>
      </c>
      <c r="N18" s="146" t="s">
        <v>46</v>
      </c>
      <c r="O18" s="146">
        <v>1.7450000000000001</v>
      </c>
      <c r="P18" s="146">
        <v>1.69</v>
      </c>
      <c r="Q18" s="144">
        <v>1.5249999999999999</v>
      </c>
      <c r="R18" s="147">
        <v>1.6080000000000001</v>
      </c>
      <c r="S18" s="147">
        <v>1.663</v>
      </c>
      <c r="T18" s="147">
        <v>2.2999999999999998</v>
      </c>
      <c r="U18" s="144">
        <v>2.1059999999999999</v>
      </c>
      <c r="V18" s="144">
        <v>2.1520000000000001</v>
      </c>
      <c r="W18" s="144">
        <v>1.94</v>
      </c>
      <c r="X18" s="144">
        <v>2.15</v>
      </c>
      <c r="Y18" s="147">
        <v>1.952</v>
      </c>
      <c r="Z18" s="118">
        <v>1.8740000000000001</v>
      </c>
      <c r="AA18" s="117">
        <v>1.3</v>
      </c>
      <c r="AB18" s="117">
        <v>1.8</v>
      </c>
      <c r="AC18" s="5">
        <v>1.1000000000000001</v>
      </c>
      <c r="AD18" s="117">
        <v>1.4</v>
      </c>
      <c r="AE18" s="117">
        <v>1.4</v>
      </c>
      <c r="AF18" s="117">
        <v>1.5</v>
      </c>
      <c r="AG18" s="118">
        <v>1.24</v>
      </c>
      <c r="AH18" s="250">
        <v>1.6</v>
      </c>
    </row>
    <row r="19" spans="1:34" x14ac:dyDescent="0.2">
      <c r="A19" s="161" t="s">
        <v>519</v>
      </c>
      <c r="B19" s="236" t="s">
        <v>715</v>
      </c>
      <c r="C19" s="151" t="s">
        <v>512</v>
      </c>
      <c r="D19" s="146">
        <v>0.5</v>
      </c>
      <c r="E19" s="146">
        <v>0.7</v>
      </c>
      <c r="F19" s="146">
        <v>0.7</v>
      </c>
      <c r="G19" s="146">
        <v>0.5</v>
      </c>
      <c r="H19" s="146">
        <v>0.8</v>
      </c>
      <c r="I19" s="146">
        <v>0.7</v>
      </c>
      <c r="J19" s="146">
        <v>0.7</v>
      </c>
      <c r="K19" s="152">
        <v>0.67100000000000004</v>
      </c>
      <c r="L19" s="147">
        <v>0.626</v>
      </c>
      <c r="M19" s="147">
        <v>0.626</v>
      </c>
      <c r="N19" s="147">
        <v>0.84099999999999997</v>
      </c>
      <c r="O19" s="144">
        <v>0.8</v>
      </c>
      <c r="P19" s="144">
        <v>0.8</v>
      </c>
      <c r="Q19" s="144">
        <v>0.90200000000000002</v>
      </c>
      <c r="R19" s="147">
        <v>0.97199999999999998</v>
      </c>
      <c r="S19" s="147">
        <v>1.0109999999999999</v>
      </c>
      <c r="T19" s="147">
        <v>0.7</v>
      </c>
      <c r="U19" s="144">
        <v>0.88700000000000001</v>
      </c>
      <c r="V19" s="144">
        <v>0.86299999999999999</v>
      </c>
      <c r="W19" s="144">
        <v>1.0289999999999999</v>
      </c>
      <c r="X19" s="144">
        <v>0.873</v>
      </c>
      <c r="Y19" s="147">
        <v>0.85499999999999998</v>
      </c>
      <c r="Z19" s="118">
        <v>1.073</v>
      </c>
      <c r="AA19" s="117">
        <v>0.9</v>
      </c>
      <c r="AB19" s="117">
        <v>1.2</v>
      </c>
      <c r="AC19" s="5">
        <v>0.9</v>
      </c>
      <c r="AD19" s="117">
        <v>0.9</v>
      </c>
      <c r="AE19" s="117">
        <v>0.8</v>
      </c>
      <c r="AF19" s="117">
        <v>0.9</v>
      </c>
      <c r="AG19" s="118">
        <v>0.50600000000000001</v>
      </c>
      <c r="AH19" s="250">
        <v>0.60899999999999999</v>
      </c>
    </row>
    <row r="20" spans="1:34" x14ac:dyDescent="0.2">
      <c r="A20" s="161" t="s">
        <v>519</v>
      </c>
      <c r="B20" s="236" t="s">
        <v>716</v>
      </c>
      <c r="C20" s="151" t="s">
        <v>512</v>
      </c>
      <c r="D20" s="146">
        <v>1.5</v>
      </c>
      <c r="E20" s="146">
        <v>1.7</v>
      </c>
      <c r="F20" s="146">
        <v>2.2999999999999998</v>
      </c>
      <c r="G20" s="146">
        <v>2.8</v>
      </c>
      <c r="H20" s="146">
        <v>3.2</v>
      </c>
      <c r="I20" s="146">
        <v>2.8</v>
      </c>
      <c r="J20" s="146">
        <v>3.1</v>
      </c>
      <c r="K20" s="152">
        <v>2.4740000000000002</v>
      </c>
      <c r="L20" s="147">
        <v>2.266</v>
      </c>
      <c r="M20" s="147">
        <v>2.266</v>
      </c>
      <c r="N20" s="147">
        <f>1.839+0.339</f>
        <v>2.1779999999999999</v>
      </c>
      <c r="O20" s="144">
        <v>2.2999999999999998</v>
      </c>
      <c r="P20" s="144">
        <v>2</v>
      </c>
      <c r="Q20" s="144">
        <v>3.0449999999999999</v>
      </c>
      <c r="R20" s="147">
        <v>2.718</v>
      </c>
      <c r="S20" s="147">
        <v>3.4689999999999999</v>
      </c>
      <c r="T20" s="147">
        <v>4</v>
      </c>
      <c r="U20" s="144">
        <v>3.9790000000000001</v>
      </c>
      <c r="V20" s="144">
        <v>3.4729999999999999</v>
      </c>
      <c r="W20" s="144">
        <v>3.831</v>
      </c>
      <c r="X20" s="144">
        <v>3.8439999999999999</v>
      </c>
      <c r="Y20" s="147">
        <v>4.5010000000000003</v>
      </c>
      <c r="Z20" s="118">
        <v>4.0039999999999996</v>
      </c>
      <c r="AA20" s="117">
        <v>3.4</v>
      </c>
      <c r="AB20" s="117">
        <v>3.7</v>
      </c>
      <c r="AC20" s="5">
        <v>2.8</v>
      </c>
      <c r="AD20" s="117">
        <v>2.1</v>
      </c>
      <c r="AE20" s="117">
        <v>3.1</v>
      </c>
      <c r="AF20" s="117">
        <v>2.8</v>
      </c>
      <c r="AG20" s="118">
        <v>2.2669999999999999</v>
      </c>
      <c r="AH20" s="250">
        <v>3.5409999999999999</v>
      </c>
    </row>
    <row r="21" spans="1:34" x14ac:dyDescent="0.2">
      <c r="A21" s="161" t="s">
        <v>519</v>
      </c>
      <c r="B21" s="236" t="s">
        <v>517</v>
      </c>
      <c r="C21" s="151" t="s">
        <v>512</v>
      </c>
      <c r="D21" s="146"/>
      <c r="E21" s="146"/>
      <c r="F21" s="146"/>
      <c r="G21" s="146"/>
      <c r="H21" s="146"/>
      <c r="I21" s="146"/>
      <c r="J21" s="146"/>
      <c r="K21" s="152"/>
      <c r="L21" s="147"/>
      <c r="M21" s="147"/>
      <c r="N21" s="147"/>
      <c r="O21" s="144"/>
      <c r="P21" s="144"/>
      <c r="Q21" s="144"/>
      <c r="R21" s="147"/>
      <c r="S21" s="147"/>
      <c r="T21" s="147"/>
      <c r="U21" s="144"/>
      <c r="V21" s="144"/>
      <c r="W21" s="153" t="s">
        <v>46</v>
      </c>
      <c r="X21" s="153" t="s">
        <v>46</v>
      </c>
      <c r="Y21" s="153" t="s">
        <v>46</v>
      </c>
      <c r="Z21" s="154" t="s">
        <v>46</v>
      </c>
      <c r="AA21" s="154" t="s">
        <v>46</v>
      </c>
      <c r="AB21" s="154" t="s">
        <v>46</v>
      </c>
      <c r="AC21" s="154" t="s">
        <v>46</v>
      </c>
      <c r="AD21" s="154" t="s">
        <v>46</v>
      </c>
      <c r="AE21" s="154" t="s">
        <v>46</v>
      </c>
      <c r="AF21" s="154" t="s">
        <v>46</v>
      </c>
      <c r="AG21" s="118">
        <v>1E-3</v>
      </c>
      <c r="AH21" s="250">
        <v>0</v>
      </c>
    </row>
    <row r="22" spans="1:34" x14ac:dyDescent="0.2">
      <c r="A22" s="161" t="s">
        <v>519</v>
      </c>
      <c r="B22" s="236" t="s">
        <v>701</v>
      </c>
      <c r="C22" s="151" t="s">
        <v>512</v>
      </c>
      <c r="D22" s="146" t="s">
        <v>46</v>
      </c>
      <c r="E22" s="146" t="s">
        <v>46</v>
      </c>
      <c r="F22" s="146" t="s">
        <v>46</v>
      </c>
      <c r="G22" s="146" t="s">
        <v>46</v>
      </c>
      <c r="H22" s="146" t="s">
        <v>46</v>
      </c>
      <c r="I22" s="146" t="s">
        <v>46</v>
      </c>
      <c r="J22" s="146" t="s">
        <v>46</v>
      </c>
      <c r="K22" s="146" t="s">
        <v>46</v>
      </c>
      <c r="L22" s="146" t="s">
        <v>46</v>
      </c>
      <c r="M22" s="153">
        <v>0.435</v>
      </c>
      <c r="N22" s="153">
        <v>0.55400000000000005</v>
      </c>
      <c r="O22" s="167">
        <v>0.69799999999999995</v>
      </c>
      <c r="P22" s="167">
        <v>0.56000000000000005</v>
      </c>
      <c r="Q22" s="167">
        <v>0.46</v>
      </c>
      <c r="R22" s="147">
        <v>0.53300000000000003</v>
      </c>
      <c r="S22" s="147">
        <v>0.54100000000000004</v>
      </c>
      <c r="T22" s="147">
        <v>0.48699999999999999</v>
      </c>
      <c r="U22" s="147">
        <v>0.45200000000000001</v>
      </c>
      <c r="V22" s="147">
        <v>0.36499999999999999</v>
      </c>
      <c r="W22" s="147">
        <v>0.438</v>
      </c>
      <c r="X22" s="147">
        <v>0.55700000000000005</v>
      </c>
      <c r="Y22" s="147">
        <v>0.63</v>
      </c>
      <c r="Z22" s="118">
        <v>0.629</v>
      </c>
      <c r="AA22" s="117">
        <v>0.6</v>
      </c>
      <c r="AB22" s="117">
        <v>0.8</v>
      </c>
      <c r="AC22" s="5">
        <v>0.9</v>
      </c>
      <c r="AD22" s="117">
        <v>0.8</v>
      </c>
      <c r="AE22" s="117">
        <v>0.6</v>
      </c>
      <c r="AF22" s="117">
        <v>0.6</v>
      </c>
      <c r="AG22" s="118">
        <v>0.248</v>
      </c>
      <c r="AH22" s="250">
        <v>0.495</v>
      </c>
    </row>
    <row r="23" spans="1:34" x14ac:dyDescent="0.2">
      <c r="A23" s="161" t="s">
        <v>519</v>
      </c>
      <c r="B23" s="236" t="s">
        <v>702</v>
      </c>
      <c r="C23" s="151" t="s">
        <v>512</v>
      </c>
      <c r="D23" s="146">
        <v>6.4</v>
      </c>
      <c r="E23" s="146">
        <v>6.4</v>
      </c>
      <c r="F23" s="146">
        <v>6.2</v>
      </c>
      <c r="G23" s="146">
        <v>6.5</v>
      </c>
      <c r="H23" s="146">
        <v>6.9</v>
      </c>
      <c r="I23" s="146">
        <v>7.1</v>
      </c>
      <c r="J23" s="146">
        <v>6.7</v>
      </c>
      <c r="K23" s="152">
        <v>6.6630000000000003</v>
      </c>
      <c r="L23" s="147">
        <v>6.8550000000000004</v>
      </c>
      <c r="M23" s="147">
        <v>6.8550000000000004</v>
      </c>
      <c r="N23" s="147">
        <f>6.724+0.174</f>
        <v>6.8980000000000006</v>
      </c>
      <c r="O23" s="144">
        <v>7.1</v>
      </c>
      <c r="P23" s="144">
        <v>7.5</v>
      </c>
      <c r="Q23" s="144">
        <v>7.617</v>
      </c>
      <c r="R23" s="147">
        <v>8.32</v>
      </c>
      <c r="S23" s="147">
        <v>8.7639999999999993</v>
      </c>
      <c r="T23" s="147">
        <v>9.5</v>
      </c>
      <c r="U23" s="144">
        <v>9.9809999999999999</v>
      </c>
      <c r="V23" s="144">
        <v>9.6720000000000006</v>
      </c>
      <c r="W23" s="144">
        <v>9.8000000000000007</v>
      </c>
      <c r="X23" s="144">
        <v>10.858000000000001</v>
      </c>
      <c r="Y23" s="147">
        <v>12.420999999999999</v>
      </c>
      <c r="Z23" s="118">
        <v>10.340999999999999</v>
      </c>
      <c r="AA23" s="117">
        <v>10.8</v>
      </c>
      <c r="AB23" s="117">
        <v>10.8</v>
      </c>
      <c r="AC23" s="5">
        <v>11.4</v>
      </c>
      <c r="AD23" s="117">
        <v>11.6</v>
      </c>
      <c r="AE23" s="117">
        <v>12.5</v>
      </c>
      <c r="AF23" s="117">
        <v>13</v>
      </c>
      <c r="AG23" s="118">
        <v>10.406000000000001</v>
      </c>
      <c r="AH23" s="250">
        <v>12.968999999999999</v>
      </c>
    </row>
    <row r="24" spans="1:34" x14ac:dyDescent="0.2">
      <c r="A24" s="161" t="s">
        <v>519</v>
      </c>
      <c r="B24" s="236" t="s">
        <v>717</v>
      </c>
      <c r="C24" s="151" t="s">
        <v>512</v>
      </c>
      <c r="D24" s="146" t="s">
        <v>46</v>
      </c>
      <c r="E24" s="146" t="s">
        <v>46</v>
      </c>
      <c r="F24" s="146" t="s">
        <v>46</v>
      </c>
      <c r="G24" s="146" t="s">
        <v>46</v>
      </c>
      <c r="H24" s="146" t="s">
        <v>46</v>
      </c>
      <c r="I24" s="146" t="s">
        <v>46</v>
      </c>
      <c r="J24" s="146" t="s">
        <v>46</v>
      </c>
      <c r="K24" s="146" t="s">
        <v>46</v>
      </c>
      <c r="L24" s="146" t="s">
        <v>46</v>
      </c>
      <c r="M24" s="153">
        <v>1E-3</v>
      </c>
      <c r="N24" s="153">
        <v>4.0000000000000001E-3</v>
      </c>
      <c r="O24" s="167">
        <v>3.0000000000000001E-3</v>
      </c>
      <c r="P24" s="167">
        <v>0</v>
      </c>
      <c r="Q24" s="164">
        <v>8.8999999999999996E-2</v>
      </c>
      <c r="R24" s="147">
        <v>0.10299999999999999</v>
      </c>
      <c r="S24" s="147">
        <v>0.23599999999999999</v>
      </c>
      <c r="T24" s="147">
        <v>0.21099999999999999</v>
      </c>
      <c r="U24" s="147">
        <v>0.17699999999999999</v>
      </c>
      <c r="V24" s="147">
        <v>0.20300000000000001</v>
      </c>
      <c r="W24" s="147">
        <v>0.26400000000000001</v>
      </c>
      <c r="X24" s="147">
        <v>0.32100000000000001</v>
      </c>
      <c r="Y24" s="147">
        <v>0.34399999999999997</v>
      </c>
      <c r="Z24" s="118">
        <v>0.34</v>
      </c>
      <c r="AA24" s="117">
        <v>0.3</v>
      </c>
      <c r="AB24" s="117">
        <v>0.3</v>
      </c>
      <c r="AC24" s="5">
        <v>0.3</v>
      </c>
      <c r="AD24" s="117">
        <v>0.2</v>
      </c>
      <c r="AE24" s="117">
        <v>0.2</v>
      </c>
      <c r="AF24" s="117">
        <v>0.2</v>
      </c>
      <c r="AG24" s="118">
        <v>0.14499999999999999</v>
      </c>
      <c r="AH24" s="250">
        <v>0.157</v>
      </c>
    </row>
    <row r="25" spans="1:34" x14ac:dyDescent="0.2">
      <c r="A25" s="161" t="s">
        <v>519</v>
      </c>
      <c r="B25" s="236" t="s">
        <v>718</v>
      </c>
      <c r="C25" s="151" t="s">
        <v>512</v>
      </c>
      <c r="D25" s="146">
        <v>0.4</v>
      </c>
      <c r="E25" s="146">
        <v>0.5</v>
      </c>
      <c r="F25" s="146">
        <v>0.9</v>
      </c>
      <c r="G25" s="146">
        <v>0.9</v>
      </c>
      <c r="H25" s="146">
        <v>1.3</v>
      </c>
      <c r="I25" s="146">
        <v>1.3</v>
      </c>
      <c r="J25" s="146">
        <v>1.3</v>
      </c>
      <c r="K25" s="152">
        <v>1.5</v>
      </c>
      <c r="L25" s="147">
        <v>1.349</v>
      </c>
      <c r="M25" s="147">
        <v>1.349</v>
      </c>
      <c r="N25" s="147">
        <f>0.112+1.013</f>
        <v>1.125</v>
      </c>
      <c r="O25" s="144">
        <v>1.3</v>
      </c>
      <c r="P25" s="144">
        <v>1.3</v>
      </c>
      <c r="Q25" s="144">
        <v>1.5</v>
      </c>
      <c r="R25" s="147">
        <v>1.5940000000000001</v>
      </c>
      <c r="S25" s="147">
        <v>1.776</v>
      </c>
      <c r="T25" s="147">
        <v>1.6</v>
      </c>
      <c r="U25" s="144">
        <v>1.903</v>
      </c>
      <c r="V25" s="144">
        <v>1.625</v>
      </c>
      <c r="W25" s="144">
        <v>1.915</v>
      </c>
      <c r="X25" s="144">
        <v>1.921</v>
      </c>
      <c r="Y25" s="147">
        <v>2.15</v>
      </c>
      <c r="Z25" s="118">
        <v>2.5430000000000001</v>
      </c>
      <c r="AA25" s="117">
        <v>2.5</v>
      </c>
      <c r="AB25" s="117">
        <v>2.7</v>
      </c>
      <c r="AC25" s="5">
        <v>2.2000000000000002</v>
      </c>
      <c r="AD25" s="117">
        <v>2.5</v>
      </c>
      <c r="AE25" s="117">
        <v>2.5</v>
      </c>
      <c r="AF25" s="117">
        <v>2.5</v>
      </c>
      <c r="AG25" s="118">
        <v>0.06</v>
      </c>
      <c r="AH25" s="250">
        <v>0.216</v>
      </c>
    </row>
    <row r="26" spans="1:34" x14ac:dyDescent="0.2">
      <c r="A26" s="161" t="s">
        <v>519</v>
      </c>
      <c r="B26" s="236" t="s">
        <v>719</v>
      </c>
      <c r="C26" s="151" t="s">
        <v>512</v>
      </c>
      <c r="D26" s="155">
        <v>0</v>
      </c>
      <c r="E26" s="155">
        <v>0</v>
      </c>
      <c r="F26" s="155">
        <v>0</v>
      </c>
      <c r="G26" s="155">
        <v>0</v>
      </c>
      <c r="H26" s="155">
        <v>0</v>
      </c>
      <c r="I26" s="155">
        <v>0</v>
      </c>
      <c r="J26" s="155">
        <v>0</v>
      </c>
      <c r="K26" s="155">
        <v>0</v>
      </c>
      <c r="L26" s="155">
        <v>0</v>
      </c>
      <c r="M26" s="155">
        <v>0</v>
      </c>
      <c r="N26" s="155">
        <v>0</v>
      </c>
      <c r="O26" s="155">
        <v>0</v>
      </c>
      <c r="P26" s="155">
        <v>0</v>
      </c>
      <c r="Q26" s="155">
        <v>0</v>
      </c>
      <c r="R26" s="155">
        <v>0</v>
      </c>
      <c r="S26" s="155">
        <v>0</v>
      </c>
      <c r="T26" s="155">
        <v>0</v>
      </c>
      <c r="U26" s="120">
        <v>0</v>
      </c>
      <c r="V26" s="120">
        <v>0</v>
      </c>
      <c r="W26" s="120">
        <v>0</v>
      </c>
      <c r="X26" s="120">
        <v>0</v>
      </c>
      <c r="Y26" s="155">
        <v>0</v>
      </c>
      <c r="Z26" s="168">
        <v>0.02</v>
      </c>
      <c r="AA26" s="168">
        <v>0.04</v>
      </c>
      <c r="AB26" s="168">
        <v>0.03</v>
      </c>
      <c r="AC26" s="157">
        <v>0.59499999999999997</v>
      </c>
      <c r="AD26" s="117">
        <v>0.5</v>
      </c>
      <c r="AE26" s="117">
        <v>0.5</v>
      </c>
      <c r="AF26" s="117">
        <v>0.4</v>
      </c>
      <c r="AG26" s="118">
        <v>0.16600000000000001</v>
      </c>
      <c r="AH26" s="250">
        <v>0.17</v>
      </c>
    </row>
    <row r="27" spans="1:34" x14ac:dyDescent="0.2">
      <c r="A27" s="161" t="s">
        <v>519</v>
      </c>
      <c r="B27" s="236" t="s">
        <v>697</v>
      </c>
      <c r="C27" s="151" t="s">
        <v>512</v>
      </c>
      <c r="D27" s="146" t="s">
        <v>46</v>
      </c>
      <c r="E27" s="146" t="s">
        <v>46</v>
      </c>
      <c r="F27" s="146" t="s">
        <v>46</v>
      </c>
      <c r="G27" s="146" t="s">
        <v>46</v>
      </c>
      <c r="H27" s="146" t="s">
        <v>46</v>
      </c>
      <c r="I27" s="146" t="s">
        <v>46</v>
      </c>
      <c r="J27" s="146" t="s">
        <v>46</v>
      </c>
      <c r="K27" s="146" t="s">
        <v>46</v>
      </c>
      <c r="L27" s="146" t="s">
        <v>46</v>
      </c>
      <c r="M27" s="146" t="s">
        <v>46</v>
      </c>
      <c r="N27" s="146" t="s">
        <v>46</v>
      </c>
      <c r="O27" s="167">
        <v>5.1999999999999998E-2</v>
      </c>
      <c r="P27" s="167">
        <v>0.185</v>
      </c>
      <c r="Q27" s="164">
        <v>0.20799999999999999</v>
      </c>
      <c r="R27" s="147">
        <v>0.24099999999999999</v>
      </c>
      <c r="S27" s="147">
        <v>0.32200000000000001</v>
      </c>
      <c r="T27" s="147">
        <v>0.29499999999999998</v>
      </c>
      <c r="U27" s="147">
        <v>0.34499999999999997</v>
      </c>
      <c r="V27" s="147">
        <v>0.36499999999999999</v>
      </c>
      <c r="W27" s="147">
        <v>0.29399999999999998</v>
      </c>
      <c r="X27" s="147">
        <v>0.31900000000000001</v>
      </c>
      <c r="Y27" s="147">
        <v>0.23</v>
      </c>
      <c r="Z27" s="118">
        <v>0.27600000000000002</v>
      </c>
      <c r="AA27" s="117">
        <v>0.3</v>
      </c>
      <c r="AB27" s="117">
        <v>0.3</v>
      </c>
      <c r="AC27" s="5">
        <v>0.2</v>
      </c>
      <c r="AD27" s="117">
        <v>0.2</v>
      </c>
      <c r="AE27" s="117">
        <v>0.2</v>
      </c>
      <c r="AF27" s="117">
        <v>0.2</v>
      </c>
      <c r="AG27" s="118">
        <v>0</v>
      </c>
      <c r="AH27" s="250">
        <v>0.17599999999999999</v>
      </c>
    </row>
    <row r="28" spans="1:34" x14ac:dyDescent="0.2">
      <c r="A28" s="161" t="s">
        <v>519</v>
      </c>
      <c r="B28" s="236" t="s">
        <v>703</v>
      </c>
      <c r="C28" s="151" t="s">
        <v>512</v>
      </c>
      <c r="D28" s="146" t="s">
        <v>46</v>
      </c>
      <c r="E28" s="146" t="s">
        <v>46</v>
      </c>
      <c r="F28" s="146" t="s">
        <v>46</v>
      </c>
      <c r="G28" s="146" t="s">
        <v>46</v>
      </c>
      <c r="H28" s="146" t="s">
        <v>46</v>
      </c>
      <c r="I28" s="146" t="s">
        <v>46</v>
      </c>
      <c r="J28" s="146" t="s">
        <v>46</v>
      </c>
      <c r="K28" s="146" t="s">
        <v>46</v>
      </c>
      <c r="L28" s="146" t="s">
        <v>46</v>
      </c>
      <c r="M28" s="153">
        <v>0.24</v>
      </c>
      <c r="N28" s="153">
        <v>0.221</v>
      </c>
      <c r="O28" s="167">
        <v>0.29499999999999998</v>
      </c>
      <c r="P28" s="167">
        <v>0.42899999999999999</v>
      </c>
      <c r="Q28" s="164">
        <v>0.309</v>
      </c>
      <c r="R28" s="147">
        <v>0.25</v>
      </c>
      <c r="S28" s="147">
        <v>0.309</v>
      </c>
      <c r="T28" s="147">
        <v>0.29199999999999998</v>
      </c>
      <c r="U28" s="147">
        <v>0.28899999999999998</v>
      </c>
      <c r="V28" s="147">
        <v>0.309</v>
      </c>
      <c r="W28" s="147">
        <v>0.3</v>
      </c>
      <c r="X28" s="147">
        <v>0.27100000000000002</v>
      </c>
      <c r="Y28" s="147">
        <v>0.40100000000000002</v>
      </c>
      <c r="Z28" s="118">
        <v>0.27200000000000002</v>
      </c>
      <c r="AA28" s="117">
        <v>0.2</v>
      </c>
      <c r="AB28" s="117">
        <v>0.1</v>
      </c>
      <c r="AC28" s="5">
        <v>0.2</v>
      </c>
      <c r="AD28" s="117">
        <v>0.2</v>
      </c>
      <c r="AE28" s="117">
        <v>0.2</v>
      </c>
      <c r="AF28" s="117">
        <v>0.2</v>
      </c>
      <c r="AG28" s="118">
        <v>0.23400000000000001</v>
      </c>
      <c r="AH28" s="250">
        <v>0.21099999999999999</v>
      </c>
    </row>
    <row r="29" spans="1:34" x14ac:dyDescent="0.2">
      <c r="A29" s="161" t="s">
        <v>519</v>
      </c>
      <c r="B29" s="236" t="s">
        <v>720</v>
      </c>
      <c r="C29" s="151" t="s">
        <v>512</v>
      </c>
      <c r="D29" s="146" t="s">
        <v>46</v>
      </c>
      <c r="E29" s="146" t="s">
        <v>46</v>
      </c>
      <c r="F29" s="146" t="s">
        <v>46</v>
      </c>
      <c r="G29" s="146" t="s">
        <v>46</v>
      </c>
      <c r="H29" s="146" t="s">
        <v>46</v>
      </c>
      <c r="I29" s="146" t="s">
        <v>46</v>
      </c>
      <c r="J29" s="146" t="s">
        <v>46</v>
      </c>
      <c r="K29" s="146" t="s">
        <v>46</v>
      </c>
      <c r="L29" s="146" t="s">
        <v>46</v>
      </c>
      <c r="M29" s="153">
        <v>0.623</v>
      </c>
      <c r="N29" s="153">
        <v>0.46500000000000002</v>
      </c>
      <c r="O29" s="167">
        <v>0.505</v>
      </c>
      <c r="P29" s="167">
        <v>0.50700000000000001</v>
      </c>
      <c r="Q29" s="164">
        <v>0.5</v>
      </c>
      <c r="R29" s="147">
        <v>0.432</v>
      </c>
      <c r="S29" s="147">
        <v>0.52100000000000002</v>
      </c>
      <c r="T29" s="147">
        <v>0.53200000000000003</v>
      </c>
      <c r="U29" s="147">
        <v>0.61499999999999999</v>
      </c>
      <c r="V29" s="147">
        <v>0.53500000000000003</v>
      </c>
      <c r="W29" s="147">
        <v>0.60099999999999998</v>
      </c>
      <c r="X29" s="147">
        <v>0.63600000000000001</v>
      </c>
      <c r="Y29" s="147">
        <v>0.61899999999999999</v>
      </c>
      <c r="Z29" s="118">
        <v>0.498</v>
      </c>
      <c r="AA29" s="117">
        <v>0.5</v>
      </c>
      <c r="AB29" s="118">
        <v>0.6</v>
      </c>
      <c r="AC29" s="5">
        <v>0.5</v>
      </c>
      <c r="AD29" s="117">
        <v>0.7</v>
      </c>
      <c r="AE29" s="117">
        <v>0.7</v>
      </c>
      <c r="AF29" s="117">
        <v>0.6</v>
      </c>
      <c r="AG29" s="118">
        <v>0.246</v>
      </c>
      <c r="AH29" s="250">
        <v>0.35299999999999998</v>
      </c>
    </row>
    <row r="30" spans="1:34" x14ac:dyDescent="0.2">
      <c r="A30" s="161" t="s">
        <v>519</v>
      </c>
      <c r="B30" s="236" t="s">
        <v>698</v>
      </c>
      <c r="C30" s="151" t="s">
        <v>512</v>
      </c>
      <c r="D30" s="146">
        <v>3.1</v>
      </c>
      <c r="E30" s="146">
        <v>2.9</v>
      </c>
      <c r="F30" s="146">
        <v>2.6</v>
      </c>
      <c r="G30" s="146">
        <v>2.6</v>
      </c>
      <c r="H30" s="146">
        <v>2.5</v>
      </c>
      <c r="I30" s="146">
        <v>2.6</v>
      </c>
      <c r="J30" s="146">
        <v>2.1</v>
      </c>
      <c r="K30" s="152">
        <v>2.1</v>
      </c>
      <c r="L30" s="147">
        <v>2.282</v>
      </c>
      <c r="M30" s="147">
        <v>2.282</v>
      </c>
      <c r="N30" s="147">
        <f>1.947+0.144</f>
        <v>2.0910000000000002</v>
      </c>
      <c r="O30" s="144">
        <v>2</v>
      </c>
      <c r="P30" s="144">
        <v>1.4</v>
      </c>
      <c r="Q30" s="144">
        <v>1.1479999999999999</v>
      </c>
      <c r="R30" s="147">
        <v>0.98499999999999999</v>
      </c>
      <c r="S30" s="147">
        <v>1.1020000000000001</v>
      </c>
      <c r="T30" s="147">
        <v>1</v>
      </c>
      <c r="U30" s="144">
        <v>1.0569999999999999</v>
      </c>
      <c r="V30" s="144">
        <v>1.22</v>
      </c>
      <c r="W30" s="144">
        <v>1.345</v>
      </c>
      <c r="X30" s="144">
        <v>1.2749999999999999</v>
      </c>
      <c r="Y30" s="147">
        <v>1.298</v>
      </c>
      <c r="Z30" s="118">
        <v>1.3120000000000001</v>
      </c>
      <c r="AA30" s="117">
        <v>1.4</v>
      </c>
      <c r="AB30" s="117">
        <v>1.3</v>
      </c>
      <c r="AC30" s="5">
        <v>1.1000000000000001</v>
      </c>
      <c r="AD30" s="117">
        <v>1.2</v>
      </c>
      <c r="AE30" s="117">
        <v>1.4</v>
      </c>
      <c r="AF30" s="117">
        <v>1.1000000000000001</v>
      </c>
      <c r="AG30" s="118">
        <v>0.878</v>
      </c>
      <c r="AH30" s="250">
        <v>1.044</v>
      </c>
    </row>
    <row r="31" spans="1:34" x14ac:dyDescent="0.2">
      <c r="A31" s="161" t="s">
        <v>519</v>
      </c>
      <c r="B31" s="236" t="s">
        <v>699</v>
      </c>
      <c r="C31" s="151" t="s">
        <v>512</v>
      </c>
      <c r="D31" s="146">
        <v>0.9</v>
      </c>
      <c r="E31" s="146">
        <v>0.9</v>
      </c>
      <c r="F31" s="146">
        <v>0.8</v>
      </c>
      <c r="G31" s="146">
        <v>0.9</v>
      </c>
      <c r="H31" s="146">
        <v>1</v>
      </c>
      <c r="I31" s="146">
        <v>1.4</v>
      </c>
      <c r="J31" s="146">
        <v>1.3</v>
      </c>
      <c r="K31" s="152">
        <v>1.6</v>
      </c>
      <c r="L31" s="147">
        <v>1.7010000000000001</v>
      </c>
      <c r="M31" s="147">
        <v>1.7010000000000001</v>
      </c>
      <c r="N31" s="147">
        <f>1.891+0.035</f>
        <v>1.9259999999999999</v>
      </c>
      <c r="O31" s="144">
        <v>1.6</v>
      </c>
      <c r="P31" s="144">
        <v>1.5</v>
      </c>
      <c r="Q31" s="144">
        <v>1.534</v>
      </c>
      <c r="R31" s="147">
        <v>1.8180000000000001</v>
      </c>
      <c r="S31" s="147">
        <v>1.7629999999999999</v>
      </c>
      <c r="T31" s="147">
        <v>1.9</v>
      </c>
      <c r="U31" s="144">
        <v>1.68</v>
      </c>
      <c r="V31" s="144">
        <v>1.9339999999999999</v>
      </c>
      <c r="W31" s="144">
        <v>1.8089999999999999</v>
      </c>
      <c r="X31" s="144">
        <v>2.17</v>
      </c>
      <c r="Y31" s="147">
        <v>1.724</v>
      </c>
      <c r="Z31" s="118">
        <v>1.607</v>
      </c>
      <c r="AA31" s="117">
        <v>1.7</v>
      </c>
      <c r="AB31" s="117">
        <v>1.7</v>
      </c>
      <c r="AC31" s="5">
        <v>1.7</v>
      </c>
      <c r="AD31" s="117">
        <v>1.8</v>
      </c>
      <c r="AE31" s="117">
        <v>1.7</v>
      </c>
      <c r="AF31" s="117">
        <v>1.8</v>
      </c>
      <c r="AG31" s="118">
        <v>1.6719999999999999</v>
      </c>
      <c r="AH31" s="250">
        <v>1.8</v>
      </c>
    </row>
    <row r="32" spans="1:34" x14ac:dyDescent="0.2">
      <c r="A32" s="161" t="s">
        <v>519</v>
      </c>
      <c r="B32" s="236" t="s">
        <v>721</v>
      </c>
      <c r="C32" s="151" t="s">
        <v>512</v>
      </c>
      <c r="D32" s="146">
        <v>6.8</v>
      </c>
      <c r="E32" s="146">
        <v>6.7</v>
      </c>
      <c r="F32" s="146">
        <v>7.3</v>
      </c>
      <c r="G32" s="146">
        <v>8.3000000000000007</v>
      </c>
      <c r="H32" s="146">
        <v>8.6</v>
      </c>
      <c r="I32" s="146">
        <v>9</v>
      </c>
      <c r="J32" s="146">
        <v>8.4</v>
      </c>
      <c r="K32" s="152">
        <v>8.7430000000000003</v>
      </c>
      <c r="L32" s="147">
        <v>8.8870000000000005</v>
      </c>
      <c r="M32" s="147">
        <v>8.8870000000000005</v>
      </c>
      <c r="N32" s="147">
        <f>7.166+2.497</f>
        <v>9.6630000000000003</v>
      </c>
      <c r="O32" s="144">
        <v>9.1</v>
      </c>
      <c r="P32" s="144">
        <v>9.1</v>
      </c>
      <c r="Q32" s="144">
        <v>9.0090000000000003</v>
      </c>
      <c r="R32" s="147">
        <v>9.2449999999999992</v>
      </c>
      <c r="S32" s="147">
        <v>9.4870000000000001</v>
      </c>
      <c r="T32" s="147">
        <v>9.4</v>
      </c>
      <c r="U32" s="144">
        <v>10.914999999999999</v>
      </c>
      <c r="V32" s="144">
        <v>10.568</v>
      </c>
      <c r="W32" s="144">
        <v>11.218</v>
      </c>
      <c r="X32" s="144">
        <v>11.337</v>
      </c>
      <c r="Y32" s="147">
        <v>12.239000000000001</v>
      </c>
      <c r="Z32" s="118">
        <v>10.94</v>
      </c>
      <c r="AA32" s="117">
        <v>10.7</v>
      </c>
      <c r="AB32" s="117">
        <v>10.6</v>
      </c>
      <c r="AC32" s="5">
        <v>9.3000000000000007</v>
      </c>
      <c r="AD32" s="117">
        <v>9.6999999999999993</v>
      </c>
      <c r="AE32" s="117">
        <v>8.9</v>
      </c>
      <c r="AF32" s="117">
        <v>8.9</v>
      </c>
      <c r="AG32" s="118">
        <v>5.6080000000000005</v>
      </c>
      <c r="AH32" s="250">
        <v>7.319</v>
      </c>
    </row>
    <row r="33" spans="1:34" x14ac:dyDescent="0.2">
      <c r="A33" s="161" t="s">
        <v>519</v>
      </c>
      <c r="B33" s="236" t="s">
        <v>673</v>
      </c>
      <c r="C33" s="151" t="s">
        <v>512</v>
      </c>
      <c r="D33" s="146">
        <v>0.376</v>
      </c>
      <c r="E33" s="146">
        <v>0.55200000000000005</v>
      </c>
      <c r="F33" s="146">
        <v>0.55500000000000005</v>
      </c>
      <c r="G33" s="146">
        <v>0.53500000000000003</v>
      </c>
      <c r="H33" s="146">
        <v>0.85599999999999998</v>
      </c>
      <c r="I33" s="146">
        <v>0.52900000000000003</v>
      </c>
      <c r="J33" s="146">
        <v>0.7</v>
      </c>
      <c r="K33" s="152">
        <v>0.7</v>
      </c>
      <c r="L33" s="147">
        <v>0.66600000000000004</v>
      </c>
      <c r="M33" s="147">
        <v>2.008</v>
      </c>
      <c r="N33" s="147">
        <f>1.83+0.107</f>
        <v>1.9370000000000001</v>
      </c>
      <c r="O33" s="153" t="s">
        <v>46</v>
      </c>
      <c r="P33" s="153" t="s">
        <v>46</v>
      </c>
      <c r="Q33" s="153" t="s">
        <v>46</v>
      </c>
      <c r="R33" s="153" t="s">
        <v>46</v>
      </c>
      <c r="S33" s="153" t="s">
        <v>46</v>
      </c>
      <c r="T33" s="153" t="s">
        <v>46</v>
      </c>
      <c r="U33" s="153" t="s">
        <v>46</v>
      </c>
      <c r="V33" s="153" t="s">
        <v>46</v>
      </c>
      <c r="W33" s="153" t="s">
        <v>46</v>
      </c>
      <c r="X33" s="153" t="s">
        <v>46</v>
      </c>
      <c r="Y33" s="153" t="s">
        <v>46</v>
      </c>
      <c r="Z33" s="158" t="s">
        <v>46</v>
      </c>
      <c r="AA33" s="158" t="s">
        <v>46</v>
      </c>
      <c r="AB33" s="158" t="s">
        <v>46</v>
      </c>
      <c r="AC33" s="158" t="s">
        <v>46</v>
      </c>
      <c r="AD33" s="158" t="s">
        <v>46</v>
      </c>
      <c r="AE33" s="158" t="s">
        <v>46</v>
      </c>
      <c r="AF33" s="158" t="s">
        <v>46</v>
      </c>
      <c r="AG33" s="158" t="s">
        <v>46</v>
      </c>
      <c r="AH33" s="158" t="s">
        <v>46</v>
      </c>
    </row>
    <row r="34" spans="1:34" x14ac:dyDescent="0.2">
      <c r="A34" s="161" t="s">
        <v>519</v>
      </c>
      <c r="B34" s="236" t="s">
        <v>722</v>
      </c>
      <c r="C34" s="151" t="s">
        <v>512</v>
      </c>
      <c r="D34" s="146">
        <v>1.4510000000000001</v>
      </c>
      <c r="E34" s="146">
        <v>1.4370000000000001</v>
      </c>
      <c r="F34" s="146">
        <v>1.7170000000000001</v>
      </c>
      <c r="G34" s="146">
        <v>1.5309999999999999</v>
      </c>
      <c r="H34" s="146">
        <v>1.3660000000000001</v>
      </c>
      <c r="I34" s="146">
        <v>1.3169999999999999</v>
      </c>
      <c r="J34" s="146">
        <v>1.6</v>
      </c>
      <c r="K34" s="152">
        <v>1.5</v>
      </c>
      <c r="L34" s="147">
        <v>1.891</v>
      </c>
      <c r="M34" s="147">
        <v>0.66600000000000004</v>
      </c>
      <c r="N34" s="147">
        <f>0.575+0.056</f>
        <v>0.63100000000000001</v>
      </c>
      <c r="O34" s="144">
        <v>0.6</v>
      </c>
      <c r="P34" s="144">
        <v>0.7</v>
      </c>
      <c r="Q34" s="144">
        <v>0.54100000000000004</v>
      </c>
      <c r="R34" s="147">
        <v>0.84699999999999998</v>
      </c>
      <c r="S34" s="147">
        <v>0.77800000000000002</v>
      </c>
      <c r="T34" s="147">
        <v>1</v>
      </c>
      <c r="U34" s="144">
        <v>1.4650000000000001</v>
      </c>
      <c r="V34" s="144">
        <v>1.194</v>
      </c>
      <c r="W34" s="144">
        <v>1.472</v>
      </c>
      <c r="X34" s="144">
        <v>1.071</v>
      </c>
      <c r="Y34" s="147">
        <v>1.3180000000000001</v>
      </c>
      <c r="Z34" s="118">
        <v>0.98699999999999999</v>
      </c>
      <c r="AA34" s="117">
        <v>0.5</v>
      </c>
      <c r="AB34" s="117">
        <v>0.6</v>
      </c>
      <c r="AC34" s="5">
        <v>0.7</v>
      </c>
      <c r="AD34" s="118">
        <v>1</v>
      </c>
      <c r="AE34" s="118">
        <v>0.5</v>
      </c>
      <c r="AF34" s="118">
        <v>0.7</v>
      </c>
      <c r="AG34" s="118">
        <v>0.55800000000000005</v>
      </c>
      <c r="AH34" s="250">
        <v>0.59699999999999998</v>
      </c>
    </row>
    <row r="35" spans="1:34" x14ac:dyDescent="0.2">
      <c r="A35" s="161" t="s">
        <v>519</v>
      </c>
      <c r="B35" s="236" t="s">
        <v>704</v>
      </c>
      <c r="C35" s="151" t="s">
        <v>512</v>
      </c>
      <c r="D35" s="146">
        <v>11</v>
      </c>
      <c r="E35" s="146">
        <v>10.7</v>
      </c>
      <c r="F35" s="146">
        <v>11.8</v>
      </c>
      <c r="G35" s="146">
        <v>12.7</v>
      </c>
      <c r="H35" s="146">
        <v>13.2</v>
      </c>
      <c r="I35" s="146">
        <v>13</v>
      </c>
      <c r="J35" s="146">
        <v>12.8</v>
      </c>
      <c r="K35" s="152">
        <v>12</v>
      </c>
      <c r="L35" s="147">
        <v>12.962999999999999</v>
      </c>
      <c r="M35" s="147">
        <v>1.891</v>
      </c>
      <c r="N35" s="147">
        <f>1.853+0.021</f>
        <v>1.8739999999999999</v>
      </c>
      <c r="O35" s="144">
        <v>1.8</v>
      </c>
      <c r="P35" s="144">
        <v>1.9</v>
      </c>
      <c r="Q35" s="144">
        <v>1.96</v>
      </c>
      <c r="R35" s="147">
        <v>2.1560000000000001</v>
      </c>
      <c r="S35" s="147">
        <v>1.9870000000000001</v>
      </c>
      <c r="T35" s="147">
        <v>2</v>
      </c>
      <c r="U35" s="144">
        <v>1.4219999999999999</v>
      </c>
      <c r="V35" s="144">
        <v>1.5720000000000001</v>
      </c>
      <c r="W35" s="144">
        <v>1.627</v>
      </c>
      <c r="X35" s="144">
        <v>1.4390000000000001</v>
      </c>
      <c r="Y35" s="147">
        <v>1.4019999999999999</v>
      </c>
      <c r="Z35" s="118">
        <v>1.333</v>
      </c>
      <c r="AA35" s="117">
        <v>1.1000000000000001</v>
      </c>
      <c r="AB35" s="117">
        <v>1.2</v>
      </c>
      <c r="AC35" s="5">
        <v>1.1000000000000001</v>
      </c>
      <c r="AD35" s="117">
        <v>1.2</v>
      </c>
      <c r="AE35" s="117">
        <v>1.2</v>
      </c>
      <c r="AF35" s="117">
        <v>1.3</v>
      </c>
      <c r="AG35" s="118">
        <v>1.1829999999999998</v>
      </c>
      <c r="AH35" s="250">
        <v>1.4870000000000001</v>
      </c>
    </row>
    <row r="36" spans="1:34" x14ac:dyDescent="0.2">
      <c r="A36" s="161" t="s">
        <v>519</v>
      </c>
      <c r="B36" s="236" t="s">
        <v>723</v>
      </c>
      <c r="C36" s="151" t="s">
        <v>512</v>
      </c>
      <c r="D36" s="148" t="s">
        <v>46</v>
      </c>
      <c r="E36" s="148" t="s">
        <v>46</v>
      </c>
      <c r="F36" s="148" t="s">
        <v>46</v>
      </c>
      <c r="G36" s="148" t="s">
        <v>46</v>
      </c>
      <c r="H36" s="148" t="s">
        <v>46</v>
      </c>
      <c r="I36" s="148" t="s">
        <v>46</v>
      </c>
      <c r="J36" s="148" t="s">
        <v>46</v>
      </c>
      <c r="K36" s="148" t="s">
        <v>46</v>
      </c>
      <c r="L36" s="148" t="s">
        <v>46</v>
      </c>
      <c r="M36" s="165">
        <v>8.0000000000000002E-3</v>
      </c>
      <c r="N36" s="165">
        <v>2.5999999999999999E-2</v>
      </c>
      <c r="O36" s="165">
        <v>3.5999999999999997E-2</v>
      </c>
      <c r="P36" s="165">
        <v>0.04</v>
      </c>
      <c r="Q36" s="164">
        <v>5.1999999999999998E-2</v>
      </c>
      <c r="R36" s="147">
        <v>5.0999999999999997E-2</v>
      </c>
      <c r="S36" s="147">
        <v>2.4E-2</v>
      </c>
      <c r="T36" s="147">
        <v>0.03</v>
      </c>
      <c r="U36" s="147">
        <v>1.6E-2</v>
      </c>
      <c r="V36" s="147">
        <v>2.5999999999999999E-2</v>
      </c>
      <c r="W36" s="147">
        <v>1.7000000000000001E-2</v>
      </c>
      <c r="X36" s="147">
        <v>1.7999999999999999E-2</v>
      </c>
      <c r="Y36" s="147">
        <v>2.1999999999999999E-2</v>
      </c>
      <c r="Z36" s="118">
        <v>7.3999999999999996E-2</v>
      </c>
      <c r="AA36" s="117">
        <v>0.1</v>
      </c>
      <c r="AB36" s="117">
        <v>0.05</v>
      </c>
      <c r="AC36" s="5">
        <v>0.02</v>
      </c>
      <c r="AD36" s="117">
        <v>0.04</v>
      </c>
      <c r="AE36" s="117">
        <v>0.1</v>
      </c>
      <c r="AF36" s="117">
        <v>0.1</v>
      </c>
      <c r="AG36" s="118">
        <v>1.2E-2</v>
      </c>
      <c r="AH36" s="250">
        <v>0.11799999999999999</v>
      </c>
    </row>
    <row r="37" spans="1:34" x14ac:dyDescent="0.2">
      <c r="A37" s="161" t="s">
        <v>519</v>
      </c>
      <c r="B37" s="236" t="s">
        <v>705</v>
      </c>
      <c r="C37" s="151" t="s">
        <v>512</v>
      </c>
      <c r="D37" s="146">
        <v>40.799999999999997</v>
      </c>
      <c r="E37" s="146">
        <v>42.8</v>
      </c>
      <c r="F37" s="146">
        <v>42.7</v>
      </c>
      <c r="G37" s="146">
        <v>33.5</v>
      </c>
      <c r="H37" s="152" t="s">
        <v>46</v>
      </c>
      <c r="I37" s="152" t="s">
        <v>46</v>
      </c>
      <c r="J37" s="152" t="s">
        <v>46</v>
      </c>
      <c r="K37" s="152" t="s">
        <v>46</v>
      </c>
      <c r="L37" s="152" t="s">
        <v>46</v>
      </c>
      <c r="M37" s="147">
        <f>0.927+0.255+0.126+5.324+0.003+0.005+0.472+0.006</f>
        <v>7.1180000000000003</v>
      </c>
      <c r="N37" s="147">
        <f>0.349+0.002+4.894+0.107+0.693+0.253+0.001</f>
        <v>6.2990000000000004</v>
      </c>
      <c r="O37" s="166">
        <v>6.0759999999999996</v>
      </c>
      <c r="P37" s="166">
        <v>6.1</v>
      </c>
      <c r="Q37" s="166">
        <v>6.2610000000000001</v>
      </c>
      <c r="R37" s="147">
        <v>7.5990000000000002</v>
      </c>
      <c r="S37" s="147">
        <v>7.4459999999999997</v>
      </c>
      <c r="T37" s="147">
        <v>6.9</v>
      </c>
      <c r="U37" s="144">
        <v>7.2409999999999997</v>
      </c>
      <c r="V37" s="144">
        <v>6.94</v>
      </c>
      <c r="W37" s="144">
        <v>7.7149999999999999</v>
      </c>
      <c r="X37" s="144">
        <v>7.9560000000000004</v>
      </c>
      <c r="Y37" s="147">
        <v>6.7329999999999997</v>
      </c>
      <c r="Z37" s="118">
        <v>5.984</v>
      </c>
      <c r="AA37" s="117">
        <v>6.2</v>
      </c>
      <c r="AB37" s="117">
        <v>6.1</v>
      </c>
      <c r="AC37" s="5">
        <v>6.2</v>
      </c>
      <c r="AD37" s="118">
        <v>6</v>
      </c>
      <c r="AE37" s="118">
        <v>6.2</v>
      </c>
      <c r="AF37" s="118">
        <v>6</v>
      </c>
      <c r="AG37" s="118">
        <v>5.5839999999999996</v>
      </c>
      <c r="AH37" s="250">
        <v>6.0979999999999999</v>
      </c>
    </row>
    <row r="38" spans="1:34" x14ac:dyDescent="0.2">
      <c r="A38" s="161" t="s">
        <v>519</v>
      </c>
      <c r="B38" s="236" t="s">
        <v>700</v>
      </c>
      <c r="C38" s="151" t="s">
        <v>512</v>
      </c>
      <c r="D38" s="146">
        <v>6.6</v>
      </c>
      <c r="E38" s="146">
        <v>7.3</v>
      </c>
      <c r="F38" s="146">
        <v>7.6</v>
      </c>
      <c r="G38" s="146">
        <v>7.6</v>
      </c>
      <c r="H38" s="146">
        <v>7.4</v>
      </c>
      <c r="I38" s="146">
        <v>7.2</v>
      </c>
      <c r="J38" s="146">
        <v>7.7</v>
      </c>
      <c r="K38" s="152">
        <v>7.9</v>
      </c>
      <c r="L38" s="147">
        <f>0.927+0.255+0.126+5.324+0.003+0.005+0.472+0.006</f>
        <v>7.1180000000000003</v>
      </c>
      <c r="M38" s="147">
        <v>12.962999999999999</v>
      </c>
      <c r="N38" s="147">
        <f>9.848+0.374</f>
        <v>10.222000000000001</v>
      </c>
      <c r="O38" s="144">
        <v>12.5</v>
      </c>
      <c r="P38" s="144">
        <v>12.2</v>
      </c>
      <c r="Q38" s="144">
        <v>12.381</v>
      </c>
      <c r="R38" s="147">
        <v>12.510999999999999</v>
      </c>
      <c r="S38" s="147">
        <v>12.340999999999999</v>
      </c>
      <c r="T38" s="147">
        <v>12.5</v>
      </c>
      <c r="U38" s="144">
        <v>12.728999999999999</v>
      </c>
      <c r="V38" s="144">
        <v>13.555999999999999</v>
      </c>
      <c r="W38" s="144">
        <v>14.128</v>
      </c>
      <c r="X38" s="144">
        <v>15.885</v>
      </c>
      <c r="Y38" s="147">
        <v>13.183</v>
      </c>
      <c r="Z38" s="118">
        <v>12.28</v>
      </c>
      <c r="AA38" s="118">
        <v>13</v>
      </c>
      <c r="AB38" s="117">
        <v>11.6</v>
      </c>
      <c r="AC38" s="5">
        <v>12.9</v>
      </c>
      <c r="AD38" s="118">
        <v>13</v>
      </c>
      <c r="AE38" s="118">
        <v>12.9</v>
      </c>
      <c r="AF38" s="118">
        <v>13.9</v>
      </c>
      <c r="AG38" s="118">
        <v>12.513</v>
      </c>
      <c r="AH38" s="250">
        <v>14.137</v>
      </c>
    </row>
    <row r="39" spans="1:34" x14ac:dyDescent="0.2">
      <c r="A39" s="161" t="s">
        <v>519</v>
      </c>
      <c r="B39" s="151" t="s">
        <v>518</v>
      </c>
      <c r="C39" s="145" t="s">
        <v>524</v>
      </c>
      <c r="D39" s="129">
        <f t="shared" ref="D39:R39" si="2">SUM(D17:D38)</f>
        <v>79.826999999999998</v>
      </c>
      <c r="E39" s="129">
        <f t="shared" si="2"/>
        <v>82.588999999999999</v>
      </c>
      <c r="F39" s="129">
        <f t="shared" si="2"/>
        <v>85.171999999999997</v>
      </c>
      <c r="G39" s="129">
        <f t="shared" si="2"/>
        <v>78.365999999999985</v>
      </c>
      <c r="H39" s="129">
        <f t="shared" si="2"/>
        <v>47.482999999999997</v>
      </c>
      <c r="I39" s="129">
        <f t="shared" si="2"/>
        <v>47.892000000000003</v>
      </c>
      <c r="J39" s="129">
        <f t="shared" si="2"/>
        <v>47.900000000000006</v>
      </c>
      <c r="K39" s="129">
        <f t="shared" si="2"/>
        <v>47.951000000000001</v>
      </c>
      <c r="L39" s="129">
        <f t="shared" si="2"/>
        <v>48.612000000000002</v>
      </c>
      <c r="M39" s="129">
        <f t="shared" si="2"/>
        <v>49.918999999999997</v>
      </c>
      <c r="N39" s="129">
        <f t="shared" si="2"/>
        <v>46.954999999999998</v>
      </c>
      <c r="O39" s="129">
        <f t="shared" si="2"/>
        <v>48.510000000000005</v>
      </c>
      <c r="P39" s="129">
        <f t="shared" si="2"/>
        <v>48.451999999999998</v>
      </c>
      <c r="Q39" s="129">
        <f t="shared" si="2"/>
        <v>50.005000000000003</v>
      </c>
      <c r="R39" s="129">
        <f t="shared" si="2"/>
        <v>53.191999999999993</v>
      </c>
      <c r="S39" s="129">
        <f>SUM(S17:S38)</f>
        <v>54.947000000000003</v>
      </c>
      <c r="T39" s="129">
        <f t="shared" ref="T39:AH39" si="3">SUM(T17:T38)</f>
        <v>55.952000000000005</v>
      </c>
      <c r="U39" s="129">
        <f t="shared" si="3"/>
        <v>58.509999999999991</v>
      </c>
      <c r="V39" s="129">
        <f t="shared" si="3"/>
        <v>58.089000000000006</v>
      </c>
      <c r="W39" s="129">
        <f t="shared" si="3"/>
        <v>61.239000000000004</v>
      </c>
      <c r="X39" s="129">
        <f t="shared" si="3"/>
        <v>64.225999999999999</v>
      </c>
      <c r="Y39" s="129">
        <f t="shared" si="3"/>
        <v>63.423999999999999</v>
      </c>
      <c r="Z39" s="129">
        <f t="shared" si="3"/>
        <v>57.591999999999999</v>
      </c>
      <c r="AA39" s="129">
        <f t="shared" si="3"/>
        <v>56.84</v>
      </c>
      <c r="AB39" s="129">
        <f t="shared" si="3"/>
        <v>56.780000000000008</v>
      </c>
      <c r="AC39" s="129">
        <f t="shared" si="3"/>
        <v>55.415000000000006</v>
      </c>
      <c r="AD39" s="129">
        <f t="shared" si="3"/>
        <v>57.04</v>
      </c>
      <c r="AE39" s="129">
        <f t="shared" si="3"/>
        <v>57.7</v>
      </c>
      <c r="AF39" s="129">
        <f t="shared" si="3"/>
        <v>58.8</v>
      </c>
      <c r="AG39" s="129">
        <f t="shared" si="3"/>
        <v>44.441000000000003</v>
      </c>
      <c r="AH39" s="129">
        <f t="shared" si="3"/>
        <v>53.935000000000002</v>
      </c>
    </row>
    <row r="40" spans="1:34" ht="45.75" customHeight="1" x14ac:dyDescent="0.2">
      <c r="A40" s="161" t="s">
        <v>522</v>
      </c>
      <c r="B40" s="162" t="s">
        <v>689</v>
      </c>
      <c r="C40" s="162" t="s">
        <v>520</v>
      </c>
      <c r="D40" s="164" t="s">
        <v>46</v>
      </c>
      <c r="E40" s="164" t="s">
        <v>46</v>
      </c>
      <c r="F40" s="164" t="s">
        <v>46</v>
      </c>
      <c r="G40" s="164" t="s">
        <v>46</v>
      </c>
      <c r="H40" s="164" t="s">
        <v>46</v>
      </c>
      <c r="I40" s="164" t="s">
        <v>46</v>
      </c>
      <c r="J40" s="164" t="s">
        <v>46</v>
      </c>
      <c r="K40" s="164" t="s">
        <v>46</v>
      </c>
      <c r="L40" s="164" t="s">
        <v>46</v>
      </c>
      <c r="M40" s="164" t="s">
        <v>46</v>
      </c>
      <c r="N40" s="164" t="s">
        <v>46</v>
      </c>
      <c r="O40" s="144">
        <v>1.4999999999999999E-2</v>
      </c>
      <c r="P40" s="144">
        <v>0.08</v>
      </c>
      <c r="Q40" s="144">
        <v>0.1</v>
      </c>
      <c r="R40" s="164" t="s">
        <v>46</v>
      </c>
      <c r="S40" s="164" t="s">
        <v>46</v>
      </c>
      <c r="T40" s="164" t="s">
        <v>46</v>
      </c>
      <c r="U40" s="164" t="s">
        <v>46</v>
      </c>
      <c r="V40" s="164" t="s">
        <v>46</v>
      </c>
      <c r="W40" s="164" t="s">
        <v>46</v>
      </c>
      <c r="X40" s="164" t="s">
        <v>46</v>
      </c>
      <c r="Y40" s="164" t="s">
        <v>46</v>
      </c>
      <c r="Z40" s="169">
        <v>1.6E-2</v>
      </c>
      <c r="AA40" s="169">
        <v>1.9E-2</v>
      </c>
      <c r="AB40" s="169">
        <v>2.5999999999999999E-2</v>
      </c>
      <c r="AC40" s="169">
        <v>1.7000000000000001E-2</v>
      </c>
      <c r="AD40" s="169">
        <v>2.1999999999999999E-2</v>
      </c>
      <c r="AE40" s="169">
        <v>1.4E-2</v>
      </c>
      <c r="AF40" s="169">
        <v>8.0000000000000002E-3</v>
      </c>
      <c r="AG40" s="117">
        <v>0</v>
      </c>
      <c r="AH40" s="244">
        <v>1E-3</v>
      </c>
    </row>
    <row r="41" spans="1:34" x14ac:dyDescent="0.2">
      <c r="A41" s="161" t="s">
        <v>522</v>
      </c>
      <c r="B41" s="162" t="s">
        <v>686</v>
      </c>
      <c r="C41" s="162" t="s">
        <v>520</v>
      </c>
      <c r="D41" s="164" t="s">
        <v>46</v>
      </c>
      <c r="E41" s="164" t="s">
        <v>46</v>
      </c>
      <c r="F41" s="164" t="s">
        <v>46</v>
      </c>
      <c r="G41" s="164" t="s">
        <v>46</v>
      </c>
      <c r="H41" s="146">
        <v>12</v>
      </c>
      <c r="I41" s="146">
        <v>11.5</v>
      </c>
      <c r="J41" s="146">
        <v>11.3</v>
      </c>
      <c r="K41" s="146">
        <v>11.5</v>
      </c>
      <c r="L41" s="164" t="s">
        <v>46</v>
      </c>
      <c r="M41" s="147">
        <v>12</v>
      </c>
      <c r="N41" s="170">
        <v>10.3</v>
      </c>
      <c r="O41" s="144">
        <v>0.18099999999999999</v>
      </c>
      <c r="P41" s="144">
        <v>0.16900000000000001</v>
      </c>
      <c r="Q41" s="144">
        <v>0.2</v>
      </c>
      <c r="R41" s="164" t="s">
        <v>46</v>
      </c>
      <c r="S41" s="164" t="s">
        <v>46</v>
      </c>
      <c r="T41" s="164" t="s">
        <v>46</v>
      </c>
      <c r="U41" s="164" t="s">
        <v>46</v>
      </c>
      <c r="V41" s="164" t="s">
        <v>46</v>
      </c>
      <c r="W41" s="164" t="s">
        <v>46</v>
      </c>
      <c r="X41" s="164" t="s">
        <v>46</v>
      </c>
      <c r="Y41" s="164" t="s">
        <v>46</v>
      </c>
      <c r="Z41" s="164">
        <v>0.126</v>
      </c>
      <c r="AA41" s="164">
        <v>0.129</v>
      </c>
      <c r="AB41" s="164">
        <v>0.111</v>
      </c>
      <c r="AC41" s="164">
        <v>0.12</v>
      </c>
      <c r="AD41" s="164">
        <v>0.14099999999999999</v>
      </c>
      <c r="AE41" s="164">
        <v>0.13800000000000001</v>
      </c>
      <c r="AF41" s="164">
        <v>0.14099999999999999</v>
      </c>
      <c r="AG41" s="117">
        <v>1.2999999999999999E-2</v>
      </c>
      <c r="AH41" s="117">
        <v>1.2999999999999999E-2</v>
      </c>
    </row>
    <row r="42" spans="1:34" x14ac:dyDescent="0.2">
      <c r="A42" s="161" t="s">
        <v>522</v>
      </c>
      <c r="B42" s="162" t="s">
        <v>685</v>
      </c>
      <c r="C42" s="162" t="s">
        <v>520</v>
      </c>
      <c r="D42" s="164" t="s">
        <v>46</v>
      </c>
      <c r="E42" s="164" t="s">
        <v>46</v>
      </c>
      <c r="F42" s="164" t="s">
        <v>46</v>
      </c>
      <c r="G42" s="164" t="s">
        <v>46</v>
      </c>
      <c r="H42" s="146">
        <v>3.4</v>
      </c>
      <c r="I42" s="146">
        <v>3.3</v>
      </c>
      <c r="J42" s="146">
        <v>3.2</v>
      </c>
      <c r="K42" s="146">
        <v>3.2</v>
      </c>
      <c r="L42" s="164" t="s">
        <v>46</v>
      </c>
      <c r="M42" s="140">
        <v>2.4</v>
      </c>
      <c r="N42" s="171">
        <v>2.1</v>
      </c>
      <c r="O42" s="164" t="s">
        <v>46</v>
      </c>
      <c r="P42" s="164" t="s">
        <v>46</v>
      </c>
      <c r="Q42" s="164" t="s">
        <v>46</v>
      </c>
      <c r="R42" s="164" t="s">
        <v>46</v>
      </c>
      <c r="S42" s="164" t="s">
        <v>46</v>
      </c>
      <c r="T42" s="164" t="s">
        <v>46</v>
      </c>
      <c r="U42" s="164" t="s">
        <v>46</v>
      </c>
      <c r="V42" s="164" t="s">
        <v>46</v>
      </c>
      <c r="W42" s="164" t="s">
        <v>46</v>
      </c>
      <c r="X42" s="164" t="s">
        <v>46</v>
      </c>
      <c r="Y42" s="164" t="s">
        <v>46</v>
      </c>
      <c r="Z42" s="164" t="s">
        <v>46</v>
      </c>
      <c r="AA42" s="164" t="s">
        <v>46</v>
      </c>
      <c r="AB42" s="164" t="s">
        <v>46</v>
      </c>
      <c r="AC42" s="164" t="s">
        <v>46</v>
      </c>
      <c r="AD42" s="164" t="s">
        <v>46</v>
      </c>
      <c r="AE42" s="164" t="s">
        <v>46</v>
      </c>
      <c r="AF42" s="164" t="s">
        <v>46</v>
      </c>
      <c r="AG42" s="164" t="s">
        <v>46</v>
      </c>
      <c r="AH42" s="164" t="s">
        <v>46</v>
      </c>
    </row>
    <row r="43" spans="1:34" x14ac:dyDescent="0.2">
      <c r="A43" s="161" t="s">
        <v>522</v>
      </c>
      <c r="B43" s="163" t="s">
        <v>688</v>
      </c>
      <c r="C43" s="162" t="s">
        <v>520</v>
      </c>
      <c r="D43" s="164" t="s">
        <v>46</v>
      </c>
      <c r="E43" s="164" t="s">
        <v>46</v>
      </c>
      <c r="F43" s="164" t="s">
        <v>46</v>
      </c>
      <c r="G43" s="164" t="s">
        <v>46</v>
      </c>
      <c r="H43" s="164" t="s">
        <v>46</v>
      </c>
      <c r="I43" s="164" t="s">
        <v>46</v>
      </c>
      <c r="J43" s="164" t="s">
        <v>46</v>
      </c>
      <c r="K43" s="164" t="s">
        <v>46</v>
      </c>
      <c r="L43" s="164" t="s">
        <v>46</v>
      </c>
      <c r="M43" s="164" t="s">
        <v>46</v>
      </c>
      <c r="N43" s="164" t="s">
        <v>46</v>
      </c>
      <c r="O43" s="122">
        <v>6.9000000000000006E-2</v>
      </c>
      <c r="P43" s="122">
        <v>0.02</v>
      </c>
      <c r="Q43" s="122">
        <v>0</v>
      </c>
      <c r="R43" s="164" t="s">
        <v>46</v>
      </c>
      <c r="S43" s="164" t="s">
        <v>46</v>
      </c>
      <c r="T43" s="164" t="s">
        <v>46</v>
      </c>
      <c r="U43" s="164" t="s">
        <v>46</v>
      </c>
      <c r="V43" s="164" t="s">
        <v>46</v>
      </c>
      <c r="W43" s="164" t="s">
        <v>46</v>
      </c>
      <c r="X43" s="164" t="s">
        <v>46</v>
      </c>
      <c r="Y43" s="164" t="s">
        <v>46</v>
      </c>
      <c r="Z43" s="164">
        <v>6.4000000000000001E-2</v>
      </c>
      <c r="AA43" s="164">
        <v>6.7000000000000004E-2</v>
      </c>
      <c r="AB43" s="164">
        <v>6.0999999999999999E-2</v>
      </c>
      <c r="AC43" s="164">
        <v>7.8E-2</v>
      </c>
      <c r="AD43" s="164">
        <v>8.7599999999999997E-2</v>
      </c>
      <c r="AE43" s="164">
        <v>5.8999999999999997E-2</v>
      </c>
      <c r="AF43" s="164">
        <v>6.0999999999999999E-2</v>
      </c>
      <c r="AG43" s="85">
        <v>0</v>
      </c>
      <c r="AH43" s="244">
        <v>4.0000000000000001E-3</v>
      </c>
    </row>
    <row r="44" spans="1:34" x14ac:dyDescent="0.2">
      <c r="A44" s="161" t="s">
        <v>522</v>
      </c>
      <c r="B44" s="151" t="s">
        <v>687</v>
      </c>
      <c r="C44" s="162" t="s">
        <v>520</v>
      </c>
      <c r="D44" s="164" t="s">
        <v>46</v>
      </c>
      <c r="E44" s="164" t="s">
        <v>46</v>
      </c>
      <c r="F44" s="164" t="s">
        <v>46</v>
      </c>
      <c r="G44" s="164" t="s">
        <v>46</v>
      </c>
      <c r="H44" s="146">
        <v>42.3</v>
      </c>
      <c r="I44" s="146">
        <v>44.8</v>
      </c>
      <c r="J44" s="146">
        <v>45.4</v>
      </c>
      <c r="K44" s="146">
        <v>47</v>
      </c>
      <c r="L44" s="164" t="s">
        <v>46</v>
      </c>
      <c r="M44" s="3">
        <v>7.6</v>
      </c>
      <c r="N44" s="171">
        <v>4.8</v>
      </c>
      <c r="O44" s="122">
        <v>0.24299999999999999</v>
      </c>
      <c r="P44" s="122">
        <v>0.26800000000000002</v>
      </c>
      <c r="Q44" s="122">
        <v>0.2</v>
      </c>
      <c r="R44" s="164" t="s">
        <v>46</v>
      </c>
      <c r="S44" s="164" t="s">
        <v>46</v>
      </c>
      <c r="T44" s="164" t="s">
        <v>46</v>
      </c>
      <c r="U44" s="164" t="s">
        <v>46</v>
      </c>
      <c r="V44" s="164" t="s">
        <v>46</v>
      </c>
      <c r="W44" s="164" t="s">
        <v>46</v>
      </c>
      <c r="X44" s="164" t="s">
        <v>46</v>
      </c>
      <c r="Y44" s="164" t="s">
        <v>46</v>
      </c>
      <c r="Z44" s="164">
        <v>0.19700000000000001</v>
      </c>
      <c r="AA44" s="164">
        <v>0.23799999999999999</v>
      </c>
      <c r="AB44" s="164">
        <v>0.22900000000000001</v>
      </c>
      <c r="AC44" s="164">
        <v>0.216</v>
      </c>
      <c r="AD44" s="164">
        <v>0.313</v>
      </c>
      <c r="AE44" s="164">
        <v>0.29799999999999999</v>
      </c>
      <c r="AF44" s="164">
        <v>0.31900000000000001</v>
      </c>
      <c r="AG44" s="85">
        <v>3.0000000000000001E-3</v>
      </c>
      <c r="AH44" s="275">
        <v>1.2999999999999999E-2</v>
      </c>
    </row>
    <row r="45" spans="1:34" x14ac:dyDescent="0.2">
      <c r="A45" s="161" t="s">
        <v>522</v>
      </c>
      <c r="B45" s="151" t="s">
        <v>521</v>
      </c>
      <c r="C45" s="145" t="s">
        <v>524</v>
      </c>
      <c r="D45" s="146">
        <f>SUM(D40:D44)</f>
        <v>0</v>
      </c>
      <c r="E45" s="146">
        <f>SUM(E40:E44)</f>
        <v>0</v>
      </c>
      <c r="F45" s="146">
        <f t="shared" ref="F45:AG45" si="4">SUM(F40:F44)</f>
        <v>0</v>
      </c>
      <c r="G45" s="146">
        <f t="shared" si="4"/>
        <v>0</v>
      </c>
      <c r="H45" s="146">
        <f t="shared" si="4"/>
        <v>57.699999999999996</v>
      </c>
      <c r="I45" s="146">
        <f t="shared" si="4"/>
        <v>59.599999999999994</v>
      </c>
      <c r="J45" s="146">
        <f t="shared" si="4"/>
        <v>59.9</v>
      </c>
      <c r="K45" s="146">
        <f t="shared" si="4"/>
        <v>61.7</v>
      </c>
      <c r="L45" s="146">
        <f t="shared" si="4"/>
        <v>0</v>
      </c>
      <c r="M45" s="146">
        <f t="shared" si="4"/>
        <v>22</v>
      </c>
      <c r="N45" s="146">
        <f t="shared" si="4"/>
        <v>17.2</v>
      </c>
      <c r="O45" s="146">
        <f t="shared" si="4"/>
        <v>0.50800000000000001</v>
      </c>
      <c r="P45" s="146">
        <f t="shared" si="4"/>
        <v>0.53700000000000003</v>
      </c>
      <c r="Q45" s="146">
        <f t="shared" si="4"/>
        <v>0.5</v>
      </c>
      <c r="R45" s="146">
        <f t="shared" si="4"/>
        <v>0</v>
      </c>
      <c r="S45" s="146">
        <f t="shared" si="4"/>
        <v>0</v>
      </c>
      <c r="T45" s="146">
        <f t="shared" si="4"/>
        <v>0</v>
      </c>
      <c r="U45" s="146">
        <f t="shared" si="4"/>
        <v>0</v>
      </c>
      <c r="V45" s="146">
        <f t="shared" si="4"/>
        <v>0</v>
      </c>
      <c r="W45" s="146">
        <f t="shared" si="4"/>
        <v>0</v>
      </c>
      <c r="X45" s="146">
        <f t="shared" si="4"/>
        <v>0</v>
      </c>
      <c r="Y45" s="146">
        <f t="shared" si="4"/>
        <v>0</v>
      </c>
      <c r="Z45" s="146">
        <f t="shared" si="4"/>
        <v>0.40300000000000002</v>
      </c>
      <c r="AA45" s="276">
        <f t="shared" si="4"/>
        <v>0.45299999999999996</v>
      </c>
      <c r="AB45" s="276">
        <f t="shared" si="4"/>
        <v>0.42700000000000005</v>
      </c>
      <c r="AC45" s="276">
        <f t="shared" si="4"/>
        <v>0.43100000000000005</v>
      </c>
      <c r="AD45" s="276">
        <f t="shared" si="4"/>
        <v>0.56359999999999999</v>
      </c>
      <c r="AE45" s="276">
        <f t="shared" si="4"/>
        <v>0.50900000000000001</v>
      </c>
      <c r="AF45" s="276">
        <f t="shared" si="4"/>
        <v>0.52900000000000003</v>
      </c>
      <c r="AG45" s="277">
        <f t="shared" si="4"/>
        <v>1.6E-2</v>
      </c>
      <c r="AH45" s="277">
        <f t="shared" ref="AH45" si="5">SUM(AH40:AH44)</f>
        <v>3.1E-2</v>
      </c>
    </row>
    <row r="46" spans="1:34" ht="30" customHeight="1" x14ac:dyDescent="0.2">
      <c r="A46" s="161" t="s">
        <v>523</v>
      </c>
      <c r="B46" s="86" t="s">
        <v>465</v>
      </c>
      <c r="C46" s="145" t="s">
        <v>524</v>
      </c>
      <c r="D46" s="273">
        <f t="shared" ref="D46:AG46" si="6">D16+D39+D45</f>
        <v>125.627</v>
      </c>
      <c r="E46" s="273">
        <f t="shared" si="6"/>
        <v>129.089</v>
      </c>
      <c r="F46" s="273">
        <f t="shared" si="6"/>
        <v>130.99200000000002</v>
      </c>
      <c r="G46" s="273">
        <f t="shared" si="6"/>
        <v>125.56599999999997</v>
      </c>
      <c r="H46" s="273">
        <f t="shared" si="6"/>
        <v>151.583</v>
      </c>
      <c r="I46" s="273">
        <f t="shared" si="6"/>
        <v>152.292</v>
      </c>
      <c r="J46" s="273">
        <f t="shared" si="6"/>
        <v>152.80000000000001</v>
      </c>
      <c r="K46" s="273">
        <f t="shared" si="6"/>
        <v>156.26400000000001</v>
      </c>
      <c r="L46" s="273">
        <f t="shared" si="6"/>
        <v>99.257000000000005</v>
      </c>
      <c r="M46" s="273">
        <f t="shared" si="6"/>
        <v>122.56399999999999</v>
      </c>
      <c r="N46" s="273">
        <f t="shared" si="6"/>
        <v>115.64699999999999</v>
      </c>
      <c r="O46" s="273">
        <f t="shared" si="6"/>
        <v>100.318</v>
      </c>
      <c r="P46" s="273">
        <f t="shared" si="6"/>
        <v>97.489000000000004</v>
      </c>
      <c r="Q46" s="273">
        <f t="shared" si="6"/>
        <v>99.59</v>
      </c>
      <c r="R46" s="273">
        <f t="shared" si="6"/>
        <v>104.40199999999999</v>
      </c>
      <c r="S46" s="273">
        <f t="shared" si="6"/>
        <v>111.172</v>
      </c>
      <c r="T46" s="273">
        <f t="shared" si="6"/>
        <v>114.74100000000001</v>
      </c>
      <c r="U46" s="273">
        <f t="shared" si="6"/>
        <v>114.09699999999998</v>
      </c>
      <c r="V46" s="273">
        <f t="shared" si="6"/>
        <v>107.76700000000001</v>
      </c>
      <c r="W46" s="273">
        <f t="shared" si="6"/>
        <v>111.553</v>
      </c>
      <c r="X46" s="273">
        <f t="shared" si="6"/>
        <v>112.765</v>
      </c>
      <c r="Y46" s="273">
        <f t="shared" si="6"/>
        <v>110.48699999999999</v>
      </c>
      <c r="Z46" s="273">
        <f t="shared" si="6"/>
        <v>104.33499999999999</v>
      </c>
      <c r="AA46" s="273">
        <f t="shared" si="6"/>
        <v>102.893</v>
      </c>
      <c r="AB46" s="273">
        <f t="shared" si="6"/>
        <v>97.707000000000008</v>
      </c>
      <c r="AC46" s="273">
        <f t="shared" si="6"/>
        <v>89.945999999999998</v>
      </c>
      <c r="AD46" s="273">
        <f t="shared" si="6"/>
        <v>90.903599999999997</v>
      </c>
      <c r="AE46" s="273">
        <f t="shared" si="6"/>
        <v>91.409000000000006</v>
      </c>
      <c r="AF46" s="273">
        <f t="shared" si="6"/>
        <v>91.828999999999994</v>
      </c>
      <c r="AG46" s="273">
        <f t="shared" si="6"/>
        <v>70.01700000000001</v>
      </c>
      <c r="AH46" s="273">
        <f t="shared" ref="AH46" si="7">AH16+AH39+AH45</f>
        <v>84.737000000000009</v>
      </c>
    </row>
    <row r="51" spans="31:31" x14ac:dyDescent="0.2">
      <c r="AE51" s="278"/>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J46"/>
  <sheetViews>
    <sheetView zoomScaleNormal="100" workbookViewId="0">
      <pane xSplit="3" ySplit="4" topLeftCell="X11"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12.109375" style="6" customWidth="1"/>
    <col min="2" max="2" width="36" style="6" customWidth="1"/>
    <col min="3" max="3" width="14.109375" style="6" customWidth="1"/>
    <col min="4" max="32" width="7.88671875" style="6" customWidth="1"/>
    <col min="33" max="16384" width="8.88671875" style="6"/>
  </cols>
  <sheetData>
    <row r="1" spans="1:33" s="5" customFormat="1" ht="15.75" x14ac:dyDescent="0.25">
      <c r="A1" s="1" t="s">
        <v>834</v>
      </c>
      <c r="B1" s="1"/>
      <c r="C1" s="1"/>
      <c r="D1" s="1"/>
      <c r="E1" s="1"/>
      <c r="F1" s="1"/>
      <c r="G1" s="1"/>
      <c r="H1" s="1"/>
      <c r="I1" s="1"/>
      <c r="J1" s="1"/>
      <c r="K1" s="1"/>
      <c r="L1" s="2"/>
      <c r="M1" s="3"/>
      <c r="N1" s="4"/>
      <c r="O1" s="4"/>
      <c r="P1" s="2"/>
    </row>
    <row r="2" spans="1:33" s="5" customFormat="1" ht="15.75" x14ac:dyDescent="0.25">
      <c r="A2" s="2" t="s">
        <v>5</v>
      </c>
      <c r="B2" s="2"/>
      <c r="C2" s="2"/>
      <c r="D2" s="2"/>
      <c r="E2" s="2"/>
      <c r="F2" s="2"/>
      <c r="G2" s="2"/>
      <c r="H2" s="2"/>
      <c r="I2" s="2"/>
      <c r="J2" s="2"/>
      <c r="K2" s="2"/>
      <c r="L2" s="2"/>
      <c r="M2" s="3"/>
      <c r="N2" s="4"/>
      <c r="O2" s="4"/>
      <c r="P2" s="2"/>
    </row>
    <row r="3" spans="1:33" s="5" customFormat="1" ht="15.75" x14ac:dyDescent="0.25">
      <c r="A3" s="5" t="s">
        <v>506</v>
      </c>
      <c r="L3" s="2"/>
      <c r="M3" s="3"/>
      <c r="N3" s="4"/>
      <c r="O3" s="4"/>
      <c r="P3" s="2"/>
    </row>
    <row r="4" spans="1:33" s="260" customFormat="1" ht="33.75" customHeight="1" x14ac:dyDescent="0.25">
      <c r="A4" s="259" t="s">
        <v>511</v>
      </c>
      <c r="B4" s="259" t="s">
        <v>487</v>
      </c>
      <c r="C4" s="259" t="s">
        <v>453</v>
      </c>
      <c r="D4" s="260" t="s">
        <v>63</v>
      </c>
      <c r="E4" s="260" t="s">
        <v>54</v>
      </c>
      <c r="F4" s="260" t="s">
        <v>55</v>
      </c>
      <c r="G4" s="260" t="s">
        <v>56</v>
      </c>
      <c r="H4" s="260" t="s">
        <v>40</v>
      </c>
      <c r="I4" s="260" t="s">
        <v>41</v>
      </c>
      <c r="J4" s="260" t="s">
        <v>42</v>
      </c>
      <c r="K4" s="260" t="s">
        <v>43</v>
      </c>
      <c r="L4" s="260" t="s">
        <v>17</v>
      </c>
      <c r="M4" s="260" t="s">
        <v>18</v>
      </c>
      <c r="N4" s="260" t="s">
        <v>44</v>
      </c>
      <c r="O4" s="260" t="s">
        <v>19</v>
      </c>
      <c r="P4" s="260" t="s">
        <v>20</v>
      </c>
      <c r="Q4" s="260" t="s">
        <v>21</v>
      </c>
      <c r="R4" s="260" t="s">
        <v>22</v>
      </c>
      <c r="S4" s="260" t="s">
        <v>23</v>
      </c>
      <c r="T4" s="260" t="s">
        <v>24</v>
      </c>
      <c r="U4" s="260" t="s">
        <v>25</v>
      </c>
      <c r="V4" s="260" t="s">
        <v>26</v>
      </c>
      <c r="W4" s="260" t="s">
        <v>27</v>
      </c>
      <c r="X4" s="260" t="s">
        <v>28</v>
      </c>
      <c r="Y4" s="260" t="s">
        <v>29</v>
      </c>
      <c r="Z4" s="260" t="s">
        <v>30</v>
      </c>
      <c r="AA4" s="260" t="s">
        <v>31</v>
      </c>
      <c r="AB4" s="260" t="s">
        <v>32</v>
      </c>
      <c r="AC4" s="260" t="s">
        <v>33</v>
      </c>
      <c r="AD4" s="260" t="s">
        <v>34</v>
      </c>
      <c r="AE4" s="260" t="s">
        <v>35</v>
      </c>
      <c r="AF4" s="260" t="s">
        <v>484</v>
      </c>
      <c r="AG4" s="245" t="s">
        <v>854</v>
      </c>
    </row>
    <row r="5" spans="1:33" x14ac:dyDescent="0.2">
      <c r="A5" s="117" t="s">
        <v>227</v>
      </c>
      <c r="B5" s="236" t="s">
        <v>706</v>
      </c>
      <c r="C5" s="145" t="s">
        <v>512</v>
      </c>
      <c r="D5" s="146">
        <v>94.7</v>
      </c>
      <c r="E5" s="146">
        <v>92.1</v>
      </c>
      <c r="F5" s="146">
        <v>93.4</v>
      </c>
      <c r="G5" s="146">
        <v>97.1</v>
      </c>
      <c r="H5" s="146">
        <v>100</v>
      </c>
      <c r="I5" s="146">
        <v>99.6</v>
      </c>
      <c r="J5" s="146">
        <v>98.4</v>
      </c>
      <c r="K5" s="146">
        <v>98.415000000000006</v>
      </c>
      <c r="L5" s="147">
        <v>100.82899999999999</v>
      </c>
      <c r="M5" s="147">
        <v>107.7</v>
      </c>
      <c r="N5" s="144">
        <v>117.9</v>
      </c>
      <c r="O5" s="144">
        <v>121.9</v>
      </c>
      <c r="P5" s="144">
        <v>125.819</v>
      </c>
      <c r="Q5" s="147">
        <v>130.959</v>
      </c>
      <c r="R5" s="147">
        <v>131.96</v>
      </c>
      <c r="S5" s="147">
        <v>137.4</v>
      </c>
      <c r="T5" s="144">
        <v>131.08500000000001</v>
      </c>
      <c r="U5" s="144">
        <v>136.01300000000001</v>
      </c>
      <c r="V5" s="144">
        <v>134.19999999999999</v>
      </c>
      <c r="W5" s="144">
        <v>127.854</v>
      </c>
      <c r="X5" s="147">
        <v>127.04</v>
      </c>
      <c r="Y5" s="118">
        <v>130.40199999999999</v>
      </c>
      <c r="Z5" s="117">
        <v>139.6</v>
      </c>
      <c r="AA5" s="117">
        <v>189.9</v>
      </c>
      <c r="AB5" s="5">
        <v>202.8</v>
      </c>
      <c r="AC5" s="117">
        <v>205.5</v>
      </c>
      <c r="AD5" s="118">
        <v>199</v>
      </c>
      <c r="AE5" s="117">
        <v>207.7</v>
      </c>
      <c r="AF5" s="119">
        <v>103.437</v>
      </c>
      <c r="AG5" s="250">
        <v>159.923</v>
      </c>
    </row>
    <row r="6" spans="1:33" ht="18" x14ac:dyDescent="0.2">
      <c r="A6" s="117" t="s">
        <v>227</v>
      </c>
      <c r="B6" s="236" t="s">
        <v>707</v>
      </c>
      <c r="C6" s="145" t="s">
        <v>512</v>
      </c>
      <c r="D6" s="146"/>
      <c r="E6" s="146"/>
      <c r="F6" s="146"/>
      <c r="G6" s="146"/>
      <c r="H6" s="146"/>
      <c r="I6" s="146"/>
      <c r="J6" s="146"/>
      <c r="K6" s="146"/>
      <c r="L6" s="147"/>
      <c r="M6" s="147"/>
      <c r="N6" s="144"/>
      <c r="O6" s="144"/>
      <c r="P6" s="144"/>
      <c r="Q6" s="147"/>
      <c r="R6" s="147" t="s">
        <v>46</v>
      </c>
      <c r="S6" s="147" t="s">
        <v>46</v>
      </c>
      <c r="T6" s="144" t="s">
        <v>46</v>
      </c>
      <c r="U6" s="144" t="s">
        <v>46</v>
      </c>
      <c r="V6" s="144" t="s">
        <v>46</v>
      </c>
      <c r="W6" s="144" t="s">
        <v>46</v>
      </c>
      <c r="X6" s="147" t="s">
        <v>46</v>
      </c>
      <c r="Y6" s="118">
        <v>2</v>
      </c>
      <c r="Z6" s="117">
        <v>2.2000000000000002</v>
      </c>
      <c r="AA6" s="117">
        <v>2.2999999999999998</v>
      </c>
      <c r="AB6" s="117">
        <v>2.5</v>
      </c>
      <c r="AC6" s="117">
        <v>2.5</v>
      </c>
      <c r="AD6" s="117">
        <v>2.2000000000000002</v>
      </c>
      <c r="AE6" s="117">
        <v>2.9</v>
      </c>
      <c r="AF6" s="119">
        <v>0</v>
      </c>
      <c r="AG6" s="244">
        <v>2.7610000000000001</v>
      </c>
    </row>
    <row r="7" spans="1:33" x14ac:dyDescent="0.2">
      <c r="A7" s="117" t="s">
        <v>227</v>
      </c>
      <c r="B7" s="236" t="s">
        <v>708</v>
      </c>
      <c r="C7" s="145" t="s">
        <v>512</v>
      </c>
      <c r="D7" s="146">
        <v>75.400000000000006</v>
      </c>
      <c r="E7" s="146">
        <v>77.8</v>
      </c>
      <c r="F7" s="146">
        <v>76.900000000000006</v>
      </c>
      <c r="G7" s="146">
        <v>84.5</v>
      </c>
      <c r="H7" s="146">
        <v>85</v>
      </c>
      <c r="I7" s="146">
        <v>89.5</v>
      </c>
      <c r="J7" s="146">
        <v>85</v>
      </c>
      <c r="K7" s="146">
        <v>84.77</v>
      </c>
      <c r="L7" s="147">
        <v>88.838999999999999</v>
      </c>
      <c r="M7" s="147">
        <v>95.1</v>
      </c>
      <c r="N7" s="144">
        <v>90.8</v>
      </c>
      <c r="O7" s="144">
        <v>93.3</v>
      </c>
      <c r="P7" s="144">
        <v>92.692999999999998</v>
      </c>
      <c r="Q7" s="147">
        <v>93.507000000000005</v>
      </c>
      <c r="R7" s="147">
        <v>89.557000000000002</v>
      </c>
      <c r="S7" s="147">
        <v>90.2</v>
      </c>
      <c r="T7" s="144">
        <v>88.224999999999994</v>
      </c>
      <c r="U7" s="144">
        <v>87.34</v>
      </c>
      <c r="V7" s="144">
        <v>84.6</v>
      </c>
      <c r="W7" s="144">
        <v>80.924000000000007</v>
      </c>
      <c r="X7" s="147">
        <v>76.441000000000003</v>
      </c>
      <c r="Y7" s="118">
        <v>75.507000000000005</v>
      </c>
      <c r="Z7" s="117">
        <v>74.599999999999994</v>
      </c>
      <c r="AA7" s="117">
        <v>83.7</v>
      </c>
      <c r="AB7" s="5">
        <v>95.2</v>
      </c>
      <c r="AC7" s="117">
        <v>91.6</v>
      </c>
      <c r="AD7" s="117">
        <v>84.7</v>
      </c>
      <c r="AE7" s="117">
        <v>86.6</v>
      </c>
      <c r="AF7" s="119">
        <v>56.911999999999999</v>
      </c>
      <c r="AG7" s="244">
        <v>76.644999999999996</v>
      </c>
    </row>
    <row r="8" spans="1:33" ht="18.75" customHeight="1" x14ac:dyDescent="0.2">
      <c r="A8" s="117" t="s">
        <v>227</v>
      </c>
      <c r="B8" s="236" t="s">
        <v>672</v>
      </c>
      <c r="C8" s="145" t="s">
        <v>512</v>
      </c>
      <c r="D8" s="146">
        <v>123.4</v>
      </c>
      <c r="E8" s="146">
        <v>121.7</v>
      </c>
      <c r="F8" s="146">
        <v>119.8</v>
      </c>
      <c r="G8" s="146">
        <v>115.4</v>
      </c>
      <c r="H8" s="146">
        <v>114.8</v>
      </c>
      <c r="I8" s="146">
        <v>107.7</v>
      </c>
      <c r="J8" s="146">
        <v>103.4</v>
      </c>
      <c r="K8" s="146">
        <v>102.485</v>
      </c>
      <c r="L8" s="147">
        <v>107.107</v>
      </c>
      <c r="M8" s="147">
        <v>110</v>
      </c>
      <c r="N8" s="144">
        <v>101.3</v>
      </c>
      <c r="O8" s="144">
        <v>70.5</v>
      </c>
      <c r="P8" s="144">
        <v>90.218999999999994</v>
      </c>
      <c r="Q8" s="147">
        <v>84.864000000000004</v>
      </c>
      <c r="R8" s="155" t="s">
        <v>46</v>
      </c>
      <c r="S8" s="155" t="s">
        <v>46</v>
      </c>
      <c r="T8" s="155" t="s">
        <v>46</v>
      </c>
      <c r="U8" s="155" t="s">
        <v>46</v>
      </c>
      <c r="V8" s="155" t="s">
        <v>46</v>
      </c>
      <c r="W8" s="155" t="s">
        <v>46</v>
      </c>
      <c r="X8" s="155" t="s">
        <v>46</v>
      </c>
      <c r="Y8" s="144" t="s">
        <v>46</v>
      </c>
      <c r="Z8" s="144" t="s">
        <v>46</v>
      </c>
      <c r="AA8" s="144" t="s">
        <v>46</v>
      </c>
      <c r="AB8" s="144" t="s">
        <v>46</v>
      </c>
      <c r="AC8" s="144" t="s">
        <v>46</v>
      </c>
      <c r="AD8" s="144" t="s">
        <v>46</v>
      </c>
      <c r="AE8" s="144" t="s">
        <v>46</v>
      </c>
      <c r="AF8" s="144" t="s">
        <v>46</v>
      </c>
      <c r="AG8" s="144" t="s">
        <v>46</v>
      </c>
    </row>
    <row r="9" spans="1:33" x14ac:dyDescent="0.2">
      <c r="A9" s="117" t="s">
        <v>227</v>
      </c>
      <c r="B9" s="236" t="s">
        <v>670</v>
      </c>
      <c r="C9" s="145" t="s">
        <v>514</v>
      </c>
      <c r="D9" s="164" t="s">
        <v>46</v>
      </c>
      <c r="E9" s="164" t="s">
        <v>46</v>
      </c>
      <c r="F9" s="164" t="s">
        <v>46</v>
      </c>
      <c r="G9" s="164" t="s">
        <v>46</v>
      </c>
      <c r="H9" s="164" t="s">
        <v>46</v>
      </c>
      <c r="I9" s="164" t="s">
        <v>46</v>
      </c>
      <c r="J9" s="164" t="s">
        <v>46</v>
      </c>
      <c r="K9" s="164" t="s">
        <v>46</v>
      </c>
      <c r="L9" s="164" t="s">
        <v>46</v>
      </c>
      <c r="M9" s="164" t="s">
        <v>46</v>
      </c>
      <c r="N9" s="164" t="s">
        <v>46</v>
      </c>
      <c r="O9" s="164" t="s">
        <v>46</v>
      </c>
      <c r="P9" s="164" t="s">
        <v>46</v>
      </c>
      <c r="Q9" s="164" t="s">
        <v>46</v>
      </c>
      <c r="R9" s="130">
        <v>77.816000000000003</v>
      </c>
      <c r="S9" s="130">
        <v>80.11</v>
      </c>
      <c r="T9" s="130">
        <v>71.754000000000005</v>
      </c>
      <c r="U9" s="130">
        <v>70.716999999999999</v>
      </c>
      <c r="V9" s="130">
        <v>61.4</v>
      </c>
      <c r="W9" s="148">
        <v>25.849</v>
      </c>
      <c r="X9" s="140" t="s">
        <v>46</v>
      </c>
      <c r="Y9" s="144" t="s">
        <v>46</v>
      </c>
      <c r="Z9" s="144" t="s">
        <v>46</v>
      </c>
      <c r="AA9" s="144" t="s">
        <v>46</v>
      </c>
      <c r="AB9" s="144" t="s">
        <v>46</v>
      </c>
      <c r="AC9" s="144" t="s">
        <v>46</v>
      </c>
      <c r="AD9" s="144" t="s">
        <v>46</v>
      </c>
      <c r="AE9" s="144" t="s">
        <v>46</v>
      </c>
      <c r="AF9" s="144" t="s">
        <v>46</v>
      </c>
      <c r="AG9" s="144" t="s">
        <v>46</v>
      </c>
    </row>
    <row r="10" spans="1:33" x14ac:dyDescent="0.2">
      <c r="A10" s="117" t="s">
        <v>227</v>
      </c>
      <c r="B10" s="236" t="s">
        <v>670</v>
      </c>
      <c r="C10" s="145" t="s">
        <v>515</v>
      </c>
      <c r="D10" s="164" t="s">
        <v>46</v>
      </c>
      <c r="E10" s="164" t="s">
        <v>46</v>
      </c>
      <c r="F10" s="164" t="s">
        <v>46</v>
      </c>
      <c r="G10" s="164" t="s">
        <v>46</v>
      </c>
      <c r="H10" s="164" t="s">
        <v>46</v>
      </c>
      <c r="I10" s="164" t="s">
        <v>46</v>
      </c>
      <c r="J10" s="164" t="s">
        <v>46</v>
      </c>
      <c r="K10" s="164" t="s">
        <v>46</v>
      </c>
      <c r="L10" s="164" t="s">
        <v>46</v>
      </c>
      <c r="M10" s="164" t="s">
        <v>46</v>
      </c>
      <c r="N10" s="164" t="s">
        <v>46</v>
      </c>
      <c r="O10" s="164" t="s">
        <v>46</v>
      </c>
      <c r="P10" s="164" t="s">
        <v>46</v>
      </c>
      <c r="Q10" s="164" t="s">
        <v>46</v>
      </c>
      <c r="R10" s="164" t="s">
        <v>46</v>
      </c>
      <c r="S10" s="164" t="s">
        <v>46</v>
      </c>
      <c r="T10" s="164" t="s">
        <v>46</v>
      </c>
      <c r="U10" s="164" t="s">
        <v>46</v>
      </c>
      <c r="V10" s="164" t="s">
        <v>46</v>
      </c>
      <c r="W10" s="148" t="s">
        <v>46</v>
      </c>
      <c r="X10" s="164" t="s">
        <v>46</v>
      </c>
      <c r="Y10" s="144" t="s">
        <v>46</v>
      </c>
      <c r="Z10" s="144" t="s">
        <v>46</v>
      </c>
      <c r="AA10" s="144" t="s">
        <v>46</v>
      </c>
      <c r="AB10" s="144" t="s">
        <v>46</v>
      </c>
      <c r="AC10" s="144" t="s">
        <v>46</v>
      </c>
      <c r="AD10" s="144" t="s">
        <v>46</v>
      </c>
      <c r="AE10" s="144" t="s">
        <v>46</v>
      </c>
      <c r="AF10" s="144" t="s">
        <v>46</v>
      </c>
      <c r="AG10" s="144" t="s">
        <v>46</v>
      </c>
    </row>
    <row r="11" spans="1:33" x14ac:dyDescent="0.2">
      <c r="A11" s="117" t="s">
        <v>227</v>
      </c>
      <c r="B11" s="236" t="s">
        <v>709</v>
      </c>
      <c r="C11" s="145" t="s">
        <v>512</v>
      </c>
      <c r="D11" s="146">
        <v>111.5</v>
      </c>
      <c r="E11" s="146">
        <v>111</v>
      </c>
      <c r="F11" s="146">
        <v>105</v>
      </c>
      <c r="G11" s="146">
        <v>110.9</v>
      </c>
      <c r="H11" s="146">
        <v>111.4</v>
      </c>
      <c r="I11" s="146">
        <v>109.2</v>
      </c>
      <c r="J11" s="146">
        <v>111</v>
      </c>
      <c r="K11" s="146">
        <v>112.496</v>
      </c>
      <c r="L11" s="147">
        <v>112.721</v>
      </c>
      <c r="M11" s="147">
        <v>120.3</v>
      </c>
      <c r="N11" s="144">
        <v>125.9</v>
      </c>
      <c r="O11" s="144">
        <v>132.30000000000001</v>
      </c>
      <c r="P11" s="144">
        <v>132.37799999999999</v>
      </c>
      <c r="Q11" s="147">
        <v>135.90100000000001</v>
      </c>
      <c r="R11" s="147">
        <v>139.41999999999999</v>
      </c>
      <c r="S11" s="147">
        <v>151.30000000000001</v>
      </c>
      <c r="T11" s="144">
        <v>143.08699999999999</v>
      </c>
      <c r="U11" s="144">
        <v>139.81700000000001</v>
      </c>
      <c r="V11" s="144">
        <v>138.69999999999999</v>
      </c>
      <c r="W11" s="144">
        <v>136.02799999999999</v>
      </c>
      <c r="X11" s="147">
        <v>134.11000000000001</v>
      </c>
      <c r="Y11" s="118">
        <v>134.87700000000001</v>
      </c>
      <c r="Z11" s="117">
        <v>135</v>
      </c>
      <c r="AA11" s="117">
        <v>138.19999999999999</v>
      </c>
      <c r="AB11" s="5">
        <v>161.30000000000001</v>
      </c>
      <c r="AC11" s="117">
        <v>169.9</v>
      </c>
      <c r="AD11" s="117">
        <v>174.1</v>
      </c>
      <c r="AE11" s="117">
        <v>178.9</v>
      </c>
      <c r="AF11" s="119">
        <v>125.69799999999999</v>
      </c>
      <c r="AG11" s="250">
        <v>175.46899999999999</v>
      </c>
    </row>
    <row r="12" spans="1:33" x14ac:dyDescent="0.2">
      <c r="A12" s="117" t="s">
        <v>227</v>
      </c>
      <c r="B12" s="236" t="s">
        <v>710</v>
      </c>
      <c r="C12" s="145" t="s">
        <v>512</v>
      </c>
      <c r="D12" s="146">
        <v>19.7</v>
      </c>
      <c r="E12" s="146">
        <v>18.100000000000001</v>
      </c>
      <c r="F12" s="146">
        <v>17</v>
      </c>
      <c r="G12" s="146">
        <v>18.399999999999999</v>
      </c>
      <c r="H12" s="146">
        <v>18.899999999999999</v>
      </c>
      <c r="I12" s="146">
        <v>17.5</v>
      </c>
      <c r="J12" s="146">
        <v>16</v>
      </c>
      <c r="K12" s="146">
        <v>15.433</v>
      </c>
      <c r="L12" s="147">
        <v>14.557</v>
      </c>
      <c r="M12" s="147">
        <v>16.2</v>
      </c>
      <c r="N12" s="144">
        <v>15.9</v>
      </c>
      <c r="O12" s="144">
        <v>16.8</v>
      </c>
      <c r="P12" s="144">
        <v>16.834</v>
      </c>
      <c r="Q12" s="147">
        <v>17.649999999999999</v>
      </c>
      <c r="R12" s="147">
        <v>17.329000000000001</v>
      </c>
      <c r="S12" s="147">
        <v>17.899999999999999</v>
      </c>
      <c r="T12" s="144">
        <v>16.672000000000001</v>
      </c>
      <c r="U12" s="144">
        <v>17.635999999999999</v>
      </c>
      <c r="V12" s="144">
        <v>16.600000000000001</v>
      </c>
      <c r="W12" s="144">
        <v>14.692</v>
      </c>
      <c r="X12" s="147">
        <v>14.041</v>
      </c>
      <c r="Y12" s="118">
        <v>13.906000000000001</v>
      </c>
      <c r="Z12" s="117">
        <v>14.9</v>
      </c>
      <c r="AA12" s="117">
        <v>20.8</v>
      </c>
      <c r="AB12" s="5">
        <v>23.9</v>
      </c>
      <c r="AC12" s="117">
        <v>24.2</v>
      </c>
      <c r="AD12" s="117">
        <v>25.5</v>
      </c>
      <c r="AE12" s="117">
        <v>27.5</v>
      </c>
      <c r="AF12" s="119">
        <v>12.182</v>
      </c>
      <c r="AG12" s="250">
        <v>26.826000000000001</v>
      </c>
    </row>
    <row r="13" spans="1:33" x14ac:dyDescent="0.2">
      <c r="A13" s="117" t="s">
        <v>227</v>
      </c>
      <c r="B13" s="236" t="s">
        <v>711</v>
      </c>
      <c r="C13" s="145" t="s">
        <v>512</v>
      </c>
      <c r="D13" s="146" t="s">
        <v>46</v>
      </c>
      <c r="E13" s="146" t="s">
        <v>46</v>
      </c>
      <c r="F13" s="150">
        <v>4.5999999999999996</v>
      </c>
      <c r="G13" s="146">
        <v>8.9309999999999992</v>
      </c>
      <c r="H13" s="146">
        <v>12.532</v>
      </c>
      <c r="I13" s="146">
        <v>12.09</v>
      </c>
      <c r="J13" s="146">
        <v>14.9</v>
      </c>
      <c r="K13" s="146">
        <v>14.789</v>
      </c>
      <c r="L13" s="147">
        <v>14.965</v>
      </c>
      <c r="M13" s="147">
        <v>15.6</v>
      </c>
      <c r="N13" s="144">
        <v>15.5</v>
      </c>
      <c r="O13" s="144">
        <v>17.5</v>
      </c>
      <c r="P13" s="144">
        <v>18.641999999999999</v>
      </c>
      <c r="Q13" s="147">
        <v>18.818000000000001</v>
      </c>
      <c r="R13" s="147">
        <v>19.134</v>
      </c>
      <c r="S13" s="147">
        <v>20.9</v>
      </c>
      <c r="T13" s="144">
        <v>20.992000000000001</v>
      </c>
      <c r="U13" s="144">
        <v>21.640999999999998</v>
      </c>
      <c r="V13" s="144">
        <v>21.2</v>
      </c>
      <c r="W13" s="144">
        <v>19.675999999999998</v>
      </c>
      <c r="X13" s="147">
        <v>18.962</v>
      </c>
      <c r="Y13" s="118">
        <v>18.501999999999999</v>
      </c>
      <c r="Z13" s="117">
        <v>18.5</v>
      </c>
      <c r="AA13" s="117">
        <v>17.899999999999999</v>
      </c>
      <c r="AB13" s="5">
        <v>25.5</v>
      </c>
      <c r="AC13" s="117">
        <v>26.6</v>
      </c>
      <c r="AD13" s="117">
        <v>28.8</v>
      </c>
      <c r="AE13" s="117">
        <v>30.2</v>
      </c>
      <c r="AF13" s="119">
        <v>18.405999999999999</v>
      </c>
      <c r="AG13" s="250">
        <v>27.824000000000002</v>
      </c>
    </row>
    <row r="14" spans="1:33" x14ac:dyDescent="0.2">
      <c r="A14" s="117" t="s">
        <v>227</v>
      </c>
      <c r="B14" s="236" t="s">
        <v>712</v>
      </c>
      <c r="C14" s="145" t="s">
        <v>512</v>
      </c>
      <c r="D14" s="146">
        <v>119.2</v>
      </c>
      <c r="E14" s="146">
        <v>115.8</v>
      </c>
      <c r="F14" s="146">
        <v>117</v>
      </c>
      <c r="G14" s="146">
        <v>121.1</v>
      </c>
      <c r="H14" s="146">
        <v>118.6</v>
      </c>
      <c r="I14" s="146">
        <v>115.1</v>
      </c>
      <c r="J14" s="146">
        <v>116.9</v>
      </c>
      <c r="K14" s="146">
        <v>116.71899999999999</v>
      </c>
      <c r="L14" s="147">
        <v>126.102</v>
      </c>
      <c r="M14" s="147">
        <v>135.69999999999999</v>
      </c>
      <c r="N14" s="144">
        <v>141.30000000000001</v>
      </c>
      <c r="O14" s="144">
        <v>147.69999999999999</v>
      </c>
      <c r="P14" s="144">
        <v>152.09899999999999</v>
      </c>
      <c r="Q14" s="147">
        <v>152.46</v>
      </c>
      <c r="R14" s="147">
        <v>158.18100000000001</v>
      </c>
      <c r="S14" s="147">
        <v>164.2</v>
      </c>
      <c r="T14" s="144">
        <v>159.85499999999999</v>
      </c>
      <c r="U14" s="144">
        <v>162.727</v>
      </c>
      <c r="V14" s="144">
        <v>155.69999999999999</v>
      </c>
      <c r="W14" s="144">
        <v>152.85900000000001</v>
      </c>
      <c r="X14" s="147">
        <v>150.1</v>
      </c>
      <c r="Y14" s="118">
        <v>144.82400000000001</v>
      </c>
      <c r="Z14" s="117">
        <v>147.5</v>
      </c>
      <c r="AA14" s="117">
        <v>145.1</v>
      </c>
      <c r="AB14" s="5">
        <v>172.9</v>
      </c>
      <c r="AC14" s="117">
        <v>188.7</v>
      </c>
      <c r="AD14" s="117">
        <v>193.7</v>
      </c>
      <c r="AE14" s="117">
        <v>198.1</v>
      </c>
      <c r="AF14" s="119">
        <v>112.657</v>
      </c>
      <c r="AG14" s="250">
        <v>165.75</v>
      </c>
    </row>
    <row r="15" spans="1:33" ht="18" x14ac:dyDescent="0.2">
      <c r="A15" s="117" t="s">
        <v>227</v>
      </c>
      <c r="B15" s="163" t="s">
        <v>873</v>
      </c>
      <c r="C15" s="145" t="s">
        <v>524</v>
      </c>
      <c r="D15" s="129" t="s">
        <v>46</v>
      </c>
      <c r="E15" s="129" t="s">
        <v>46</v>
      </c>
      <c r="F15" s="129">
        <v>0.6</v>
      </c>
      <c r="G15" s="129">
        <v>1.1690000000000005</v>
      </c>
      <c r="H15" s="129">
        <v>2.1679999999999993</v>
      </c>
      <c r="I15" s="129">
        <v>2.11</v>
      </c>
      <c r="J15" s="129">
        <v>1.7</v>
      </c>
      <c r="K15" s="129">
        <v>2.1</v>
      </c>
      <c r="L15" s="144">
        <v>2.66599999999994</v>
      </c>
      <c r="M15" s="144">
        <v>2.4889999999999999</v>
      </c>
      <c r="N15" s="144">
        <v>2.6</v>
      </c>
      <c r="O15" s="144">
        <v>2.8</v>
      </c>
      <c r="P15" s="144">
        <v>2.597</v>
      </c>
      <c r="Q15" s="144">
        <v>2.5579999999999998</v>
      </c>
      <c r="R15" s="144">
        <v>2.6179999999999999</v>
      </c>
      <c r="S15" s="144">
        <v>2.6</v>
      </c>
      <c r="T15" s="154" t="s">
        <v>46</v>
      </c>
      <c r="U15" s="154" t="s">
        <v>46</v>
      </c>
      <c r="V15" s="154" t="s">
        <v>46</v>
      </c>
      <c r="W15" s="154" t="s">
        <v>46</v>
      </c>
      <c r="X15" s="154" t="s">
        <v>46</v>
      </c>
      <c r="Y15" s="154" t="s">
        <v>46</v>
      </c>
      <c r="Z15" s="154" t="s">
        <v>46</v>
      </c>
      <c r="AA15" s="154" t="s">
        <v>46</v>
      </c>
      <c r="AB15" s="154" t="s">
        <v>46</v>
      </c>
      <c r="AC15" s="154" t="s">
        <v>46</v>
      </c>
      <c r="AD15" s="154" t="s">
        <v>46</v>
      </c>
      <c r="AE15" s="154" t="s">
        <v>46</v>
      </c>
      <c r="AF15" s="154" t="s">
        <v>46</v>
      </c>
      <c r="AG15" s="154" t="s">
        <v>46</v>
      </c>
    </row>
    <row r="16" spans="1:33" x14ac:dyDescent="0.2">
      <c r="A16" s="117" t="s">
        <v>227</v>
      </c>
      <c r="B16" s="151" t="s">
        <v>516</v>
      </c>
      <c r="C16" s="145" t="s">
        <v>524</v>
      </c>
      <c r="D16" s="271">
        <f t="shared" ref="D16:AG16" si="0">SUM(D5:D15)</f>
        <v>543.9</v>
      </c>
      <c r="E16" s="271">
        <f t="shared" si="0"/>
        <v>536.5</v>
      </c>
      <c r="F16" s="271">
        <f t="shared" si="0"/>
        <v>534.30000000000007</v>
      </c>
      <c r="G16" s="271">
        <f t="shared" si="0"/>
        <v>557.49999999999989</v>
      </c>
      <c r="H16" s="271">
        <f t="shared" si="0"/>
        <v>563.4</v>
      </c>
      <c r="I16" s="271">
        <f t="shared" si="0"/>
        <v>552.79999999999995</v>
      </c>
      <c r="J16" s="271">
        <f t="shared" si="0"/>
        <v>547.30000000000007</v>
      </c>
      <c r="K16" s="271">
        <f t="shared" si="0"/>
        <v>547.20699999999999</v>
      </c>
      <c r="L16" s="271">
        <f t="shared" si="0"/>
        <v>567.78599999999994</v>
      </c>
      <c r="M16" s="271">
        <f t="shared" si="0"/>
        <v>603.08900000000006</v>
      </c>
      <c r="N16" s="271">
        <f t="shared" si="0"/>
        <v>611.19999999999993</v>
      </c>
      <c r="O16" s="271">
        <f t="shared" si="0"/>
        <v>602.79999999999995</v>
      </c>
      <c r="P16" s="271">
        <f t="shared" si="0"/>
        <v>631.28099999999995</v>
      </c>
      <c r="Q16" s="271">
        <f t="shared" si="0"/>
        <v>636.71699999999998</v>
      </c>
      <c r="R16" s="271">
        <f t="shared" si="0"/>
        <v>636.01499999999999</v>
      </c>
      <c r="S16" s="271">
        <f t="shared" si="0"/>
        <v>664.61</v>
      </c>
      <c r="T16" s="271">
        <f t="shared" si="0"/>
        <v>631.67000000000007</v>
      </c>
      <c r="U16" s="271">
        <f t="shared" si="0"/>
        <v>635.89100000000008</v>
      </c>
      <c r="V16" s="271">
        <f t="shared" si="0"/>
        <v>612.4</v>
      </c>
      <c r="W16" s="271">
        <f t="shared" si="0"/>
        <v>557.88199999999995</v>
      </c>
      <c r="X16" s="271">
        <f t="shared" si="0"/>
        <v>520.69399999999996</v>
      </c>
      <c r="Y16" s="271">
        <f t="shared" si="0"/>
        <v>520.01800000000003</v>
      </c>
      <c r="Z16" s="271">
        <f t="shared" si="0"/>
        <v>532.29999999999995</v>
      </c>
      <c r="AA16" s="271">
        <f t="shared" si="0"/>
        <v>597.9</v>
      </c>
      <c r="AB16" s="271">
        <f t="shared" si="0"/>
        <v>684.1</v>
      </c>
      <c r="AC16" s="271">
        <f t="shared" si="0"/>
        <v>709</v>
      </c>
      <c r="AD16" s="271">
        <f t="shared" si="0"/>
        <v>708</v>
      </c>
      <c r="AE16" s="271">
        <f t="shared" si="0"/>
        <v>731.90000000000009</v>
      </c>
      <c r="AF16" s="271">
        <f t="shared" si="0"/>
        <v>429.29199999999997</v>
      </c>
      <c r="AG16" s="271">
        <f t="shared" si="0"/>
        <v>635.19800000000009</v>
      </c>
    </row>
    <row r="17" spans="1:33" ht="51.75" customHeight="1" x14ac:dyDescent="0.2">
      <c r="A17" s="161" t="s">
        <v>519</v>
      </c>
      <c r="B17" s="236" t="s">
        <v>713</v>
      </c>
      <c r="C17" s="151" t="s">
        <v>512</v>
      </c>
      <c r="D17" s="146" t="s">
        <v>46</v>
      </c>
      <c r="E17" s="146" t="s">
        <v>46</v>
      </c>
      <c r="F17" s="146" t="s">
        <v>46</v>
      </c>
      <c r="G17" s="146" t="s">
        <v>46</v>
      </c>
      <c r="H17" s="146" t="s">
        <v>46</v>
      </c>
      <c r="I17" s="146" t="s">
        <v>46</v>
      </c>
      <c r="J17" s="146" t="s">
        <v>46</v>
      </c>
      <c r="K17" s="146" t="s">
        <v>46</v>
      </c>
      <c r="L17" s="146" t="s">
        <v>46</v>
      </c>
      <c r="M17" s="146" t="s">
        <v>46</v>
      </c>
      <c r="N17" s="146" t="s">
        <v>46</v>
      </c>
      <c r="O17" s="164">
        <v>9.8849999999999998</v>
      </c>
      <c r="P17" s="164">
        <v>13.848000000000001</v>
      </c>
      <c r="Q17" s="144">
        <v>13.683999999999999</v>
      </c>
      <c r="R17" s="144">
        <v>13.154</v>
      </c>
      <c r="S17" s="144">
        <v>14.417999999999999</v>
      </c>
      <c r="T17" s="144">
        <v>13.94</v>
      </c>
      <c r="U17" s="144">
        <v>17.004999999999999</v>
      </c>
      <c r="V17" s="144">
        <v>15.972</v>
      </c>
      <c r="W17" s="144">
        <v>17.015999999999998</v>
      </c>
      <c r="X17" s="147">
        <v>16.696000000000002</v>
      </c>
      <c r="Y17" s="118">
        <v>16.638999999999999</v>
      </c>
      <c r="Z17" s="118">
        <v>17</v>
      </c>
      <c r="AA17" s="117">
        <v>17.3</v>
      </c>
      <c r="AB17" s="119">
        <v>22</v>
      </c>
      <c r="AC17" s="118">
        <v>23</v>
      </c>
      <c r="AD17" s="118">
        <v>23.9</v>
      </c>
      <c r="AE17" s="118">
        <v>25.3</v>
      </c>
      <c r="AF17" s="119">
        <v>13.073</v>
      </c>
      <c r="AG17" s="250">
        <v>21.381</v>
      </c>
    </row>
    <row r="18" spans="1:33" x14ac:dyDescent="0.2">
      <c r="A18" s="161" t="s">
        <v>519</v>
      </c>
      <c r="B18" s="236" t="s">
        <v>714</v>
      </c>
      <c r="C18" s="151" t="s">
        <v>512</v>
      </c>
      <c r="D18" s="146" t="s">
        <v>46</v>
      </c>
      <c r="E18" s="146" t="s">
        <v>46</v>
      </c>
      <c r="F18" s="146" t="s">
        <v>46</v>
      </c>
      <c r="G18" s="146" t="s">
        <v>46</v>
      </c>
      <c r="H18" s="146">
        <v>7.29</v>
      </c>
      <c r="I18" s="146">
        <v>9.9890000000000008</v>
      </c>
      <c r="J18" s="146">
        <v>11.5</v>
      </c>
      <c r="K18" s="146">
        <v>12.364000000000001</v>
      </c>
      <c r="L18" s="153" t="s">
        <v>46</v>
      </c>
      <c r="M18" s="153" t="s">
        <v>46</v>
      </c>
      <c r="N18" s="144">
        <v>14.6</v>
      </c>
      <c r="O18" s="144">
        <v>16.600000000000001</v>
      </c>
      <c r="P18" s="144">
        <v>18.925999999999998</v>
      </c>
      <c r="Q18" s="147">
        <v>19.215</v>
      </c>
      <c r="R18" s="147">
        <v>20.795000000000002</v>
      </c>
      <c r="S18" s="147">
        <v>21.5</v>
      </c>
      <c r="T18" s="144">
        <v>21.513000000000002</v>
      </c>
      <c r="U18" s="144">
        <v>24.728999999999999</v>
      </c>
      <c r="V18" s="144">
        <v>23.66</v>
      </c>
      <c r="W18" s="144">
        <v>23.382999999999999</v>
      </c>
      <c r="X18" s="147">
        <v>21.693999999999999</v>
      </c>
      <c r="Y18" s="118">
        <v>22.245000000000001</v>
      </c>
      <c r="Z18" s="117">
        <v>23.9</v>
      </c>
      <c r="AA18" s="117">
        <v>22.5</v>
      </c>
      <c r="AB18" s="5">
        <v>28.2</v>
      </c>
      <c r="AC18" s="117">
        <v>29.7</v>
      </c>
      <c r="AD18" s="117">
        <v>30.4</v>
      </c>
      <c r="AE18" s="117">
        <v>32.299999999999997</v>
      </c>
      <c r="AF18" s="119">
        <v>14.404</v>
      </c>
      <c r="AG18" s="250">
        <v>26.69</v>
      </c>
    </row>
    <row r="19" spans="1:33" x14ac:dyDescent="0.2">
      <c r="A19" s="161" t="s">
        <v>519</v>
      </c>
      <c r="B19" s="236" t="s">
        <v>715</v>
      </c>
      <c r="C19" s="151" t="s">
        <v>512</v>
      </c>
      <c r="D19" s="146">
        <v>4.0999999999999996</v>
      </c>
      <c r="E19" s="146">
        <v>3.7</v>
      </c>
      <c r="F19" s="146">
        <v>4.5999999999999996</v>
      </c>
      <c r="G19" s="146">
        <v>4.2</v>
      </c>
      <c r="H19" s="146">
        <v>5.3</v>
      </c>
      <c r="I19" s="146">
        <v>4.0999999999999996</v>
      </c>
      <c r="J19" s="146">
        <v>3.8</v>
      </c>
      <c r="K19" s="146">
        <v>4.3760000000000003</v>
      </c>
      <c r="L19" s="147">
        <v>5.048</v>
      </c>
      <c r="M19" s="147">
        <v>4.8</v>
      </c>
      <c r="N19" s="144">
        <v>4.8</v>
      </c>
      <c r="O19" s="144">
        <v>4.7</v>
      </c>
      <c r="P19" s="144">
        <v>5.0250000000000004</v>
      </c>
      <c r="Q19" s="147">
        <v>5.2009999999999996</v>
      </c>
      <c r="R19" s="147">
        <v>5.3239999999999998</v>
      </c>
      <c r="S19" s="147">
        <v>4.5999999999999996</v>
      </c>
      <c r="T19" s="144">
        <v>4.8120000000000003</v>
      </c>
      <c r="U19" s="144">
        <v>4.6159999999999997</v>
      </c>
      <c r="V19" s="144">
        <v>5.218</v>
      </c>
      <c r="W19" s="144">
        <v>5.5919999999999996</v>
      </c>
      <c r="X19" s="147">
        <v>6.0670000000000002</v>
      </c>
      <c r="Y19" s="118">
        <v>6.71</v>
      </c>
      <c r="Z19" s="117">
        <v>6.7</v>
      </c>
      <c r="AA19" s="117">
        <v>6.7</v>
      </c>
      <c r="AB19" s="5">
        <v>8.3000000000000007</v>
      </c>
      <c r="AC19" s="117">
        <v>8.8000000000000007</v>
      </c>
      <c r="AD19" s="117">
        <v>9.1</v>
      </c>
      <c r="AE19" s="117">
        <v>9.1999999999999993</v>
      </c>
      <c r="AF19" s="119">
        <v>6.7610000000000001</v>
      </c>
      <c r="AG19" s="250">
        <v>8.1950000000000003</v>
      </c>
    </row>
    <row r="20" spans="1:33" x14ac:dyDescent="0.2">
      <c r="A20" s="161" t="s">
        <v>519</v>
      </c>
      <c r="B20" s="236" t="s">
        <v>716</v>
      </c>
      <c r="C20" s="151" t="s">
        <v>512</v>
      </c>
      <c r="D20" s="146">
        <v>34.700000000000003</v>
      </c>
      <c r="E20" s="146">
        <v>37.9</v>
      </c>
      <c r="F20" s="146">
        <v>39.4</v>
      </c>
      <c r="G20" s="146">
        <v>42.9</v>
      </c>
      <c r="H20" s="146">
        <v>44.1</v>
      </c>
      <c r="I20" s="146">
        <v>43.5</v>
      </c>
      <c r="J20" s="146">
        <v>40.9</v>
      </c>
      <c r="K20" s="146">
        <v>38.625999999999998</v>
      </c>
      <c r="L20" s="147">
        <v>36.368000000000002</v>
      </c>
      <c r="M20" s="147">
        <v>37</v>
      </c>
      <c r="N20" s="144">
        <v>38.6</v>
      </c>
      <c r="O20" s="144">
        <v>43.8</v>
      </c>
      <c r="P20" s="144">
        <v>45.451000000000001</v>
      </c>
      <c r="Q20" s="147">
        <v>46.021000000000001</v>
      </c>
      <c r="R20" s="147">
        <v>47.863999999999997</v>
      </c>
      <c r="S20" s="147">
        <v>48</v>
      </c>
      <c r="T20" s="144">
        <v>45.212000000000003</v>
      </c>
      <c r="U20" s="144">
        <v>47.884999999999998</v>
      </c>
      <c r="V20" s="144">
        <v>45.259</v>
      </c>
      <c r="W20" s="144">
        <v>46.15</v>
      </c>
      <c r="X20" s="147">
        <v>43.731999999999999</v>
      </c>
      <c r="Y20" s="118">
        <v>43.372</v>
      </c>
      <c r="Z20" s="117">
        <v>44.6</v>
      </c>
      <c r="AA20" s="117">
        <v>45.1</v>
      </c>
      <c r="AB20" s="5">
        <v>42.7</v>
      </c>
      <c r="AC20" s="117">
        <v>42.9</v>
      </c>
      <c r="AD20" s="117">
        <v>45.5</v>
      </c>
      <c r="AE20" s="117">
        <v>46.7</v>
      </c>
      <c r="AF20" s="119">
        <v>28.417999999999999</v>
      </c>
      <c r="AG20" s="250">
        <v>51.789000000000001</v>
      </c>
    </row>
    <row r="21" spans="1:33" x14ac:dyDescent="0.2">
      <c r="A21" s="161" t="s">
        <v>519</v>
      </c>
      <c r="B21" s="236" t="s">
        <v>517</v>
      </c>
      <c r="C21" s="151" t="s">
        <v>512</v>
      </c>
      <c r="D21" s="146"/>
      <c r="E21" s="146"/>
      <c r="F21" s="146"/>
      <c r="G21" s="146"/>
      <c r="H21" s="146"/>
      <c r="I21" s="146"/>
      <c r="J21" s="146"/>
      <c r="K21" s="146"/>
      <c r="L21" s="147"/>
      <c r="M21" s="147"/>
      <c r="N21" s="144"/>
      <c r="O21" s="144"/>
      <c r="P21" s="144"/>
      <c r="Q21" s="147"/>
      <c r="R21" s="147"/>
      <c r="S21" s="147"/>
      <c r="T21" s="144"/>
      <c r="U21" s="144"/>
      <c r="V21" s="153" t="s">
        <v>46</v>
      </c>
      <c r="W21" s="153" t="s">
        <v>46</v>
      </c>
      <c r="X21" s="153" t="s">
        <v>46</v>
      </c>
      <c r="Y21" s="154" t="s">
        <v>46</v>
      </c>
      <c r="Z21" s="154" t="s">
        <v>46</v>
      </c>
      <c r="AA21" s="154" t="s">
        <v>46</v>
      </c>
      <c r="AB21" s="154" t="s">
        <v>46</v>
      </c>
      <c r="AC21" s="154" t="s">
        <v>46</v>
      </c>
      <c r="AD21" s="154" t="s">
        <v>46</v>
      </c>
      <c r="AE21" s="154" t="s">
        <v>46</v>
      </c>
      <c r="AF21" s="119">
        <v>1.514</v>
      </c>
      <c r="AG21" s="250">
        <v>2.0569999999999999</v>
      </c>
    </row>
    <row r="22" spans="1:33" x14ac:dyDescent="0.2">
      <c r="A22" s="161" t="s">
        <v>519</v>
      </c>
      <c r="B22" s="236" t="s">
        <v>701</v>
      </c>
      <c r="C22" s="151" t="s">
        <v>512</v>
      </c>
      <c r="D22" s="146" t="s">
        <v>46</v>
      </c>
      <c r="E22" s="146" t="s">
        <v>46</v>
      </c>
      <c r="F22" s="146" t="s">
        <v>46</v>
      </c>
      <c r="G22" s="146" t="s">
        <v>46</v>
      </c>
      <c r="H22" s="146" t="s">
        <v>46</v>
      </c>
      <c r="I22" s="146" t="s">
        <v>46</v>
      </c>
      <c r="J22" s="146" t="s">
        <v>46</v>
      </c>
      <c r="K22" s="146" t="s">
        <v>46</v>
      </c>
      <c r="L22" s="153">
        <v>3.7309999999999999</v>
      </c>
      <c r="M22" s="153">
        <v>3.7469999999999999</v>
      </c>
      <c r="N22" s="164">
        <v>4.9390000000000001</v>
      </c>
      <c r="O22" s="164">
        <v>3.4060000000000001</v>
      </c>
      <c r="P22" s="164">
        <v>2.6579999999999999</v>
      </c>
      <c r="Q22" s="144">
        <v>2.923</v>
      </c>
      <c r="R22" s="144">
        <v>3.0369999999999999</v>
      </c>
      <c r="S22" s="144">
        <v>2.383</v>
      </c>
      <c r="T22" s="144">
        <v>2.8180000000000001</v>
      </c>
      <c r="U22" s="144">
        <v>2.8069999999999999</v>
      </c>
      <c r="V22" s="144">
        <v>2.323</v>
      </c>
      <c r="W22" s="164">
        <v>3.177</v>
      </c>
      <c r="X22" s="147">
        <v>3.133</v>
      </c>
      <c r="Y22" s="118">
        <v>5.5129999999999999</v>
      </c>
      <c r="Z22" s="118">
        <v>6</v>
      </c>
      <c r="AA22" s="117">
        <v>6.6</v>
      </c>
      <c r="AB22" s="5">
        <v>7.7</v>
      </c>
      <c r="AC22" s="117">
        <v>7.3</v>
      </c>
      <c r="AD22" s="117">
        <v>6.8</v>
      </c>
      <c r="AE22" s="117">
        <v>7.1</v>
      </c>
      <c r="AF22" s="119">
        <v>1.6819999999999999</v>
      </c>
      <c r="AG22" s="250">
        <v>5.58</v>
      </c>
    </row>
    <row r="23" spans="1:33" x14ac:dyDescent="0.2">
      <c r="A23" s="161" t="s">
        <v>519</v>
      </c>
      <c r="B23" s="236" t="s">
        <v>702</v>
      </c>
      <c r="C23" s="151" t="s">
        <v>512</v>
      </c>
      <c r="D23" s="146">
        <v>32.799999999999997</v>
      </c>
      <c r="E23" s="146">
        <v>32.200000000000003</v>
      </c>
      <c r="F23" s="146">
        <v>34.1</v>
      </c>
      <c r="G23" s="146">
        <v>34.6</v>
      </c>
      <c r="H23" s="146">
        <v>35.700000000000003</v>
      </c>
      <c r="I23" s="146">
        <v>36.799999999999997</v>
      </c>
      <c r="J23" s="146">
        <v>38</v>
      </c>
      <c r="K23" s="146">
        <v>38.405000000000001</v>
      </c>
      <c r="L23" s="147">
        <v>39.716999999999999</v>
      </c>
      <c r="M23" s="147">
        <v>39.5</v>
      </c>
      <c r="N23" s="144">
        <v>41.6</v>
      </c>
      <c r="O23" s="144">
        <v>45.8</v>
      </c>
      <c r="P23" s="144">
        <v>47.438000000000002</v>
      </c>
      <c r="Q23" s="147">
        <v>48.918999999999997</v>
      </c>
      <c r="R23" s="147">
        <v>49.332000000000001</v>
      </c>
      <c r="S23" s="147">
        <v>51.3</v>
      </c>
      <c r="T23" s="144">
        <v>52.201000000000001</v>
      </c>
      <c r="U23" s="144">
        <v>56.316000000000003</v>
      </c>
      <c r="V23" s="144">
        <v>54.238999999999997</v>
      </c>
      <c r="W23" s="144">
        <v>56.042999999999999</v>
      </c>
      <c r="X23" s="147">
        <v>57.274000000000001</v>
      </c>
      <c r="Y23" s="118">
        <v>61.758000000000003</v>
      </c>
      <c r="Z23" s="117">
        <v>65.8</v>
      </c>
      <c r="AA23" s="117">
        <v>66.8</v>
      </c>
      <c r="AB23" s="5">
        <v>69.7</v>
      </c>
      <c r="AC23" s="117">
        <v>76.400000000000006</v>
      </c>
      <c r="AD23" s="117">
        <v>79.5</v>
      </c>
      <c r="AE23" s="117">
        <v>81.599999999999994</v>
      </c>
      <c r="AF23" s="119">
        <v>36.387999999999998</v>
      </c>
      <c r="AG23" s="250">
        <v>60.847999999999999</v>
      </c>
    </row>
    <row r="24" spans="1:33" x14ac:dyDescent="0.2">
      <c r="A24" s="161" t="s">
        <v>519</v>
      </c>
      <c r="B24" s="236" t="s">
        <v>717</v>
      </c>
      <c r="C24" s="151" t="s">
        <v>512</v>
      </c>
      <c r="D24" s="153" t="s">
        <v>46</v>
      </c>
      <c r="E24" s="153" t="s">
        <v>46</v>
      </c>
      <c r="F24" s="153" t="s">
        <v>46</v>
      </c>
      <c r="G24" s="153" t="s">
        <v>46</v>
      </c>
      <c r="H24" s="153" t="s">
        <v>46</v>
      </c>
      <c r="I24" s="153" t="s">
        <v>46</v>
      </c>
      <c r="J24" s="153" t="s">
        <v>46</v>
      </c>
      <c r="K24" s="153" t="s">
        <v>46</v>
      </c>
      <c r="L24" s="153" t="s">
        <v>46</v>
      </c>
      <c r="M24" s="153">
        <v>0.01</v>
      </c>
      <c r="N24" s="164">
        <v>5.0000000000000001E-3</v>
      </c>
      <c r="O24" s="164">
        <v>0</v>
      </c>
      <c r="P24" s="164">
        <v>0.33500000000000002</v>
      </c>
      <c r="Q24" s="144">
        <v>0.47499999999999998</v>
      </c>
      <c r="R24" s="144">
        <v>0.59</v>
      </c>
      <c r="S24" s="144">
        <v>0.86699999999999999</v>
      </c>
      <c r="T24" s="144">
        <v>0.92600000000000005</v>
      </c>
      <c r="U24" s="144">
        <v>0.83699999999999997</v>
      </c>
      <c r="V24" s="144">
        <v>0.96099999999999997</v>
      </c>
      <c r="W24" s="144">
        <v>0.82</v>
      </c>
      <c r="X24" s="147">
        <v>0.98799999999999999</v>
      </c>
      <c r="Y24" s="118">
        <v>0.92200000000000004</v>
      </c>
      <c r="Z24" s="117">
        <v>1.1000000000000001</v>
      </c>
      <c r="AA24" s="117">
        <v>1.1000000000000001</v>
      </c>
      <c r="AB24" s="5">
        <v>1.7</v>
      </c>
      <c r="AC24" s="117">
        <v>1.7</v>
      </c>
      <c r="AD24" s="117">
        <v>1.7</v>
      </c>
      <c r="AE24" s="117">
        <v>1.8</v>
      </c>
      <c r="AF24" s="119">
        <v>2.4790000000000001</v>
      </c>
      <c r="AG24" s="250">
        <v>3.22</v>
      </c>
    </row>
    <row r="25" spans="1:33" x14ac:dyDescent="0.2">
      <c r="A25" s="161" t="s">
        <v>519</v>
      </c>
      <c r="B25" s="236" t="s">
        <v>718</v>
      </c>
      <c r="C25" s="151" t="s">
        <v>512</v>
      </c>
      <c r="D25" s="146">
        <v>27.1</v>
      </c>
      <c r="E25" s="146">
        <v>28.9</v>
      </c>
      <c r="F25" s="146">
        <v>36.299999999999997</v>
      </c>
      <c r="G25" s="146">
        <v>43.9</v>
      </c>
      <c r="H25" s="146">
        <v>46.1</v>
      </c>
      <c r="I25" s="146">
        <v>43.1</v>
      </c>
      <c r="J25" s="146">
        <v>39</v>
      </c>
      <c r="K25" s="146">
        <v>36.881</v>
      </c>
      <c r="L25" s="147">
        <v>34.158999999999999</v>
      </c>
      <c r="M25" s="147">
        <v>34.5</v>
      </c>
      <c r="N25" s="144">
        <v>38.200000000000003</v>
      </c>
      <c r="O25" s="144">
        <v>40.4</v>
      </c>
      <c r="P25" s="144">
        <v>44.451999999999998</v>
      </c>
      <c r="Q25" s="147">
        <v>44.02</v>
      </c>
      <c r="R25" s="147">
        <v>44.228000000000002</v>
      </c>
      <c r="S25" s="147">
        <v>46.9</v>
      </c>
      <c r="T25" s="144">
        <v>46.597000000000001</v>
      </c>
      <c r="U25" s="144">
        <v>54.33</v>
      </c>
      <c r="V25" s="144">
        <v>51.853000000000002</v>
      </c>
      <c r="W25" s="144">
        <v>52.441000000000003</v>
      </c>
      <c r="X25" s="147">
        <v>50.323999999999998</v>
      </c>
      <c r="Y25" s="118">
        <v>52.36</v>
      </c>
      <c r="Z25" s="117">
        <v>53.1</v>
      </c>
      <c r="AA25" s="117">
        <v>54.9</v>
      </c>
      <c r="AB25" s="5">
        <v>61.8</v>
      </c>
      <c r="AC25" s="118">
        <v>70</v>
      </c>
      <c r="AD25" s="118">
        <v>67.8</v>
      </c>
      <c r="AE25" s="118">
        <v>75.8</v>
      </c>
      <c r="AF25" s="119">
        <v>19.777000000000001</v>
      </c>
      <c r="AG25" s="250">
        <v>42.305999999999997</v>
      </c>
    </row>
    <row r="26" spans="1:33" x14ac:dyDescent="0.2">
      <c r="A26" s="161" t="s">
        <v>519</v>
      </c>
      <c r="B26" s="236" t="s">
        <v>719</v>
      </c>
      <c r="C26" s="151" t="s">
        <v>512</v>
      </c>
      <c r="D26" s="146"/>
      <c r="E26" s="146"/>
      <c r="F26" s="146"/>
      <c r="G26" s="146"/>
      <c r="H26" s="146"/>
      <c r="I26" s="146"/>
      <c r="J26" s="146"/>
      <c r="K26" s="140"/>
      <c r="L26" s="147"/>
      <c r="M26" s="140"/>
      <c r="N26" s="126"/>
      <c r="O26" s="144"/>
      <c r="P26" s="144"/>
      <c r="Q26" s="147"/>
      <c r="R26" s="155">
        <v>0</v>
      </c>
      <c r="S26" s="155">
        <v>0</v>
      </c>
      <c r="T26" s="155">
        <v>0</v>
      </c>
      <c r="U26" s="155">
        <v>0</v>
      </c>
      <c r="V26" s="155">
        <v>0</v>
      </c>
      <c r="W26" s="155">
        <v>0</v>
      </c>
      <c r="X26" s="155">
        <v>0</v>
      </c>
      <c r="Y26" s="156">
        <v>0.1</v>
      </c>
      <c r="Z26" s="156">
        <v>0.4</v>
      </c>
      <c r="AA26" s="156">
        <v>0.4</v>
      </c>
      <c r="AB26" s="157">
        <v>8.2870000000000008</v>
      </c>
      <c r="AC26" s="117">
        <v>11</v>
      </c>
      <c r="AD26" s="117">
        <v>8.3000000000000007</v>
      </c>
      <c r="AE26" s="117">
        <v>11.5</v>
      </c>
      <c r="AF26" s="119">
        <v>4.1859999999999999</v>
      </c>
      <c r="AG26" s="250">
        <v>8.6</v>
      </c>
    </row>
    <row r="27" spans="1:33" x14ac:dyDescent="0.2">
      <c r="A27" s="161" t="s">
        <v>519</v>
      </c>
      <c r="B27" s="236" t="s">
        <v>697</v>
      </c>
      <c r="C27" s="151" t="s">
        <v>512</v>
      </c>
      <c r="D27" s="153" t="s">
        <v>46</v>
      </c>
      <c r="E27" s="153" t="s">
        <v>46</v>
      </c>
      <c r="F27" s="153" t="s">
        <v>46</v>
      </c>
      <c r="G27" s="153" t="s">
        <v>46</v>
      </c>
      <c r="H27" s="153" t="s">
        <v>46</v>
      </c>
      <c r="I27" s="153" t="s">
        <v>46</v>
      </c>
      <c r="J27" s="153" t="s">
        <v>46</v>
      </c>
      <c r="K27" s="153" t="s">
        <v>46</v>
      </c>
      <c r="L27" s="153" t="s">
        <v>46</v>
      </c>
      <c r="M27" s="153" t="s">
        <v>46</v>
      </c>
      <c r="N27" s="164">
        <v>0.50700000000000001</v>
      </c>
      <c r="O27" s="164">
        <v>1.506</v>
      </c>
      <c r="P27" s="164">
        <v>1.8640000000000001</v>
      </c>
      <c r="Q27" s="144">
        <v>1.901</v>
      </c>
      <c r="R27" s="144">
        <v>2.3090000000000002</v>
      </c>
      <c r="S27" s="144">
        <v>2.1890000000000001</v>
      </c>
      <c r="T27" s="144">
        <v>2.3199999999999998</v>
      </c>
      <c r="U27" s="144">
        <v>2.8180000000000001</v>
      </c>
      <c r="V27" s="144">
        <v>2.2879999999999998</v>
      </c>
      <c r="W27" s="144">
        <v>2.5459999999999998</v>
      </c>
      <c r="X27" s="147">
        <v>2.5680000000000001</v>
      </c>
      <c r="Y27" s="118">
        <v>2.577</v>
      </c>
      <c r="Z27" s="117">
        <v>2.6</v>
      </c>
      <c r="AA27" s="117">
        <v>2.5</v>
      </c>
      <c r="AB27" s="5">
        <v>1.8</v>
      </c>
      <c r="AC27" s="117">
        <v>1.9</v>
      </c>
      <c r="AD27" s="117">
        <v>1.6</v>
      </c>
      <c r="AE27" s="117">
        <v>1.8</v>
      </c>
      <c r="AF27" s="119">
        <v>0</v>
      </c>
      <c r="AG27" s="250">
        <v>1.91</v>
      </c>
    </row>
    <row r="28" spans="1:33" x14ac:dyDescent="0.2">
      <c r="A28" s="161" t="s">
        <v>519</v>
      </c>
      <c r="B28" s="236" t="s">
        <v>703</v>
      </c>
      <c r="C28" s="151" t="s">
        <v>512</v>
      </c>
      <c r="D28" s="146" t="s">
        <v>46</v>
      </c>
      <c r="E28" s="146" t="s">
        <v>46</v>
      </c>
      <c r="F28" s="146" t="s">
        <v>46</v>
      </c>
      <c r="G28" s="146" t="s">
        <v>46</v>
      </c>
      <c r="H28" s="146" t="s">
        <v>46</v>
      </c>
      <c r="I28" s="146" t="s">
        <v>46</v>
      </c>
      <c r="J28" s="146" t="s">
        <v>46</v>
      </c>
      <c r="K28" s="146" t="s">
        <v>46</v>
      </c>
      <c r="L28" s="153">
        <v>3.0590000000000002</v>
      </c>
      <c r="M28" s="153">
        <v>2.9590000000000001</v>
      </c>
      <c r="N28" s="164">
        <v>3.1360000000000001</v>
      </c>
      <c r="O28" s="164">
        <v>4.1980000000000004</v>
      </c>
      <c r="P28" s="164">
        <v>4.0759999999999996</v>
      </c>
      <c r="Q28" s="144">
        <v>4.2130000000000001</v>
      </c>
      <c r="R28" s="144">
        <v>4.4779999999999998</v>
      </c>
      <c r="S28" s="144">
        <v>4.7089999999999996</v>
      </c>
      <c r="T28" s="144">
        <v>4.4809999999999999</v>
      </c>
      <c r="U28" s="144">
        <v>4.4409999999999998</v>
      </c>
      <c r="V28" s="144">
        <v>4.6280000000000001</v>
      </c>
      <c r="W28" s="144">
        <v>4.28</v>
      </c>
      <c r="X28" s="147">
        <v>4.2850000000000001</v>
      </c>
      <c r="Y28" s="118">
        <v>4.819</v>
      </c>
      <c r="Z28" s="117">
        <v>4.4000000000000004</v>
      </c>
      <c r="AA28" s="117">
        <v>4.2</v>
      </c>
      <c r="AB28" s="5">
        <v>4.5</v>
      </c>
      <c r="AC28" s="117">
        <v>4.9000000000000004</v>
      </c>
      <c r="AD28" s="117">
        <v>5.0999999999999996</v>
      </c>
      <c r="AE28" s="117">
        <v>5</v>
      </c>
      <c r="AF28" s="119">
        <v>3.552</v>
      </c>
      <c r="AG28" s="250">
        <v>5.157</v>
      </c>
    </row>
    <row r="29" spans="1:33" x14ac:dyDescent="0.2">
      <c r="A29" s="161" t="s">
        <v>519</v>
      </c>
      <c r="B29" s="236" t="s">
        <v>720</v>
      </c>
      <c r="C29" s="151" t="s">
        <v>512</v>
      </c>
      <c r="D29" s="146" t="s">
        <v>46</v>
      </c>
      <c r="E29" s="146" t="s">
        <v>46</v>
      </c>
      <c r="F29" s="146" t="s">
        <v>46</v>
      </c>
      <c r="G29" s="146" t="s">
        <v>46</v>
      </c>
      <c r="H29" s="146" t="s">
        <v>46</v>
      </c>
      <c r="I29" s="146" t="s">
        <v>46</v>
      </c>
      <c r="J29" s="146" t="s">
        <v>46</v>
      </c>
      <c r="K29" s="146" t="s">
        <v>46</v>
      </c>
      <c r="L29" s="153">
        <v>1.2849999999999999</v>
      </c>
      <c r="M29" s="153">
        <v>1.514</v>
      </c>
      <c r="N29" s="164">
        <v>1.6879999999999999</v>
      </c>
      <c r="O29" s="164">
        <v>1.7509999999999999</v>
      </c>
      <c r="P29" s="164">
        <v>1.929</v>
      </c>
      <c r="Q29" s="144">
        <v>1.9470000000000001</v>
      </c>
      <c r="R29" s="144">
        <v>2.0179999999999998</v>
      </c>
      <c r="S29" s="144">
        <v>2.2639999999999998</v>
      </c>
      <c r="T29" s="144">
        <v>2.2450000000000001</v>
      </c>
      <c r="U29" s="144">
        <v>2.528</v>
      </c>
      <c r="V29" s="144">
        <v>2.7789999999999999</v>
      </c>
      <c r="W29" s="144">
        <v>2.742</v>
      </c>
      <c r="X29" s="147">
        <v>3.0539999999999998</v>
      </c>
      <c r="Y29" s="118">
        <v>3.1240000000000001</v>
      </c>
      <c r="Z29" s="117">
        <v>3.4</v>
      </c>
      <c r="AA29" s="117">
        <v>3.8</v>
      </c>
      <c r="AB29" s="5">
        <v>5.8</v>
      </c>
      <c r="AC29" s="117">
        <v>6.7</v>
      </c>
      <c r="AD29" s="117">
        <v>6.7</v>
      </c>
      <c r="AE29" s="117">
        <v>6.7</v>
      </c>
      <c r="AF29" s="119">
        <v>5.7220000000000004</v>
      </c>
      <c r="AG29" s="250">
        <v>7.9459999999999997</v>
      </c>
    </row>
    <row r="30" spans="1:33" x14ac:dyDescent="0.2">
      <c r="A30" s="161" t="s">
        <v>519</v>
      </c>
      <c r="B30" s="236" t="s">
        <v>698</v>
      </c>
      <c r="C30" s="151" t="s">
        <v>512</v>
      </c>
      <c r="D30" s="146">
        <v>11.1</v>
      </c>
      <c r="E30" s="146">
        <v>11</v>
      </c>
      <c r="F30" s="146">
        <v>10.199999999999999</v>
      </c>
      <c r="G30" s="146">
        <v>10.4</v>
      </c>
      <c r="H30" s="146">
        <v>11.1</v>
      </c>
      <c r="I30" s="146">
        <v>10.9</v>
      </c>
      <c r="J30" s="146">
        <v>11.3</v>
      </c>
      <c r="K30" s="146">
        <v>11.579000000000001</v>
      </c>
      <c r="L30" s="147">
        <v>11.891</v>
      </c>
      <c r="M30" s="147">
        <v>12.8</v>
      </c>
      <c r="N30" s="144">
        <v>13.2</v>
      </c>
      <c r="O30" s="144">
        <v>12.2</v>
      </c>
      <c r="P30" s="144">
        <v>13.099</v>
      </c>
      <c r="Q30" s="147">
        <v>12.606999999999999</v>
      </c>
      <c r="R30" s="147">
        <v>13.208</v>
      </c>
      <c r="S30" s="147">
        <v>13.7</v>
      </c>
      <c r="T30" s="144">
        <v>13.597</v>
      </c>
      <c r="U30" s="144">
        <v>18.335999999999999</v>
      </c>
      <c r="V30" s="144">
        <v>18.004999999999999</v>
      </c>
      <c r="W30" s="144">
        <v>19.274999999999999</v>
      </c>
      <c r="X30" s="147">
        <v>18.582999999999998</v>
      </c>
      <c r="Y30" s="118">
        <v>17.920000000000002</v>
      </c>
      <c r="Z30" s="117">
        <v>18.399999999999999</v>
      </c>
      <c r="AA30" s="118">
        <v>18</v>
      </c>
      <c r="AB30" s="5">
        <v>15.7</v>
      </c>
      <c r="AC30" s="117">
        <v>17.100000000000001</v>
      </c>
      <c r="AD30" s="117">
        <v>20</v>
      </c>
      <c r="AE30" s="117">
        <v>18.3</v>
      </c>
      <c r="AF30" s="119">
        <v>8.8179999999999996</v>
      </c>
      <c r="AG30" s="250">
        <v>16.995999999999999</v>
      </c>
    </row>
    <row r="31" spans="1:33" x14ac:dyDescent="0.2">
      <c r="A31" s="161" t="s">
        <v>519</v>
      </c>
      <c r="B31" s="236" t="s">
        <v>699</v>
      </c>
      <c r="C31" s="151" t="s">
        <v>512</v>
      </c>
      <c r="D31" s="146">
        <v>6.6</v>
      </c>
      <c r="E31" s="146">
        <v>6.7</v>
      </c>
      <c r="F31" s="146">
        <v>7.1</v>
      </c>
      <c r="G31" s="146">
        <v>7.3</v>
      </c>
      <c r="H31" s="146">
        <v>7.9</v>
      </c>
      <c r="I31" s="146">
        <v>8.4</v>
      </c>
      <c r="J31" s="146">
        <v>9</v>
      </c>
      <c r="K31" s="146">
        <v>8.9749999999999996</v>
      </c>
      <c r="L31" s="147">
        <v>9.52</v>
      </c>
      <c r="M31" s="147">
        <v>10</v>
      </c>
      <c r="N31" s="144">
        <v>11</v>
      </c>
      <c r="O31" s="144">
        <v>11.3</v>
      </c>
      <c r="P31" s="144">
        <v>12.379</v>
      </c>
      <c r="Q31" s="147">
        <v>12.744999999999999</v>
      </c>
      <c r="R31" s="147">
        <v>12.372999999999999</v>
      </c>
      <c r="S31" s="147">
        <v>13</v>
      </c>
      <c r="T31" s="144">
        <v>13.026</v>
      </c>
      <c r="U31" s="144">
        <v>15.818</v>
      </c>
      <c r="V31" s="144">
        <v>15.643000000000001</v>
      </c>
      <c r="W31" s="144">
        <v>15.186</v>
      </c>
      <c r="X31" s="147">
        <v>15.909000000000001</v>
      </c>
      <c r="Y31" s="118">
        <v>16.042000000000002</v>
      </c>
      <c r="Z31" s="117">
        <v>15.7</v>
      </c>
      <c r="AA31" s="117">
        <v>15.8</v>
      </c>
      <c r="AB31" s="5">
        <v>17.8</v>
      </c>
      <c r="AC31" s="117">
        <v>18.8</v>
      </c>
      <c r="AD31" s="117">
        <v>18</v>
      </c>
      <c r="AE31" s="117">
        <v>19.2</v>
      </c>
      <c r="AF31" s="119">
        <v>10.459</v>
      </c>
      <c r="AG31" s="250">
        <v>19.353000000000002</v>
      </c>
    </row>
    <row r="32" spans="1:33" x14ac:dyDescent="0.2">
      <c r="A32" s="161" t="s">
        <v>519</v>
      </c>
      <c r="B32" s="236" t="s">
        <v>721</v>
      </c>
      <c r="C32" s="151" t="s">
        <v>512</v>
      </c>
      <c r="D32" s="146">
        <v>86</v>
      </c>
      <c r="E32" s="146">
        <v>84.9</v>
      </c>
      <c r="F32" s="146">
        <v>87.8</v>
      </c>
      <c r="G32" s="146">
        <v>91.6</v>
      </c>
      <c r="H32" s="146">
        <v>95</v>
      </c>
      <c r="I32" s="146">
        <v>97.1</v>
      </c>
      <c r="J32" s="146">
        <v>92.4</v>
      </c>
      <c r="K32" s="146">
        <v>93.206999999999994</v>
      </c>
      <c r="L32" s="147">
        <v>91.376000000000005</v>
      </c>
      <c r="M32" s="147">
        <v>94.5</v>
      </c>
      <c r="N32" s="144">
        <v>100.2</v>
      </c>
      <c r="O32" s="144">
        <v>109</v>
      </c>
      <c r="P32" s="144">
        <v>115.916</v>
      </c>
      <c r="Q32" s="147">
        <v>117.831</v>
      </c>
      <c r="R32" s="147">
        <v>117.411</v>
      </c>
      <c r="S32" s="147">
        <v>114.7</v>
      </c>
      <c r="T32" s="144">
        <v>110.11</v>
      </c>
      <c r="U32" s="144">
        <v>114.26900000000001</v>
      </c>
      <c r="V32" s="144">
        <v>108.515</v>
      </c>
      <c r="W32" s="144">
        <v>108.925</v>
      </c>
      <c r="X32" s="147">
        <v>105.77800000000001</v>
      </c>
      <c r="Y32" s="118">
        <v>109.904</v>
      </c>
      <c r="Z32" s="117">
        <v>112.6</v>
      </c>
      <c r="AA32" s="117">
        <v>115.4</v>
      </c>
      <c r="AB32" s="5">
        <v>162.30000000000001</v>
      </c>
      <c r="AC32" s="117">
        <v>168.1</v>
      </c>
      <c r="AD32" s="117">
        <v>164</v>
      </c>
      <c r="AE32" s="117">
        <v>169.7</v>
      </c>
      <c r="AF32" s="119">
        <v>84.284999999999997</v>
      </c>
      <c r="AG32" s="250">
        <v>127.848</v>
      </c>
    </row>
    <row r="33" spans="1:36" x14ac:dyDescent="0.2">
      <c r="A33" s="161" t="s">
        <v>519</v>
      </c>
      <c r="B33" s="236" t="s">
        <v>673</v>
      </c>
      <c r="C33" s="151" t="s">
        <v>512</v>
      </c>
      <c r="D33" s="146">
        <v>9.4920000000000009</v>
      </c>
      <c r="E33" s="146">
        <v>9.4719999999999995</v>
      </c>
      <c r="F33" s="146">
        <v>8.6010000000000009</v>
      </c>
      <c r="G33" s="146">
        <v>9.6530000000000005</v>
      </c>
      <c r="H33" s="146">
        <v>10.146000000000001</v>
      </c>
      <c r="I33" s="146">
        <v>10.387</v>
      </c>
      <c r="J33" s="146">
        <v>9.9</v>
      </c>
      <c r="K33" s="146">
        <v>10.6</v>
      </c>
      <c r="L33" s="147">
        <v>12.618</v>
      </c>
      <c r="M33" s="147">
        <v>13.1</v>
      </c>
      <c r="N33" s="153" t="s">
        <v>46</v>
      </c>
      <c r="O33" s="153" t="s">
        <v>46</v>
      </c>
      <c r="P33" s="153" t="s">
        <v>46</v>
      </c>
      <c r="Q33" s="153" t="s">
        <v>46</v>
      </c>
      <c r="R33" s="153" t="s">
        <v>46</v>
      </c>
      <c r="S33" s="153" t="s">
        <v>46</v>
      </c>
      <c r="T33" s="153" t="s">
        <v>46</v>
      </c>
      <c r="U33" s="153" t="s">
        <v>46</v>
      </c>
      <c r="V33" s="153" t="s">
        <v>46</v>
      </c>
      <c r="W33" s="153" t="s">
        <v>46</v>
      </c>
      <c r="X33" s="153" t="s">
        <v>46</v>
      </c>
      <c r="Y33" s="158" t="s">
        <v>46</v>
      </c>
      <c r="Z33" s="158" t="s">
        <v>46</v>
      </c>
      <c r="AA33" s="158" t="s">
        <v>46</v>
      </c>
      <c r="AB33" s="158" t="s">
        <v>46</v>
      </c>
      <c r="AC33" s="158" t="s">
        <v>46</v>
      </c>
      <c r="AD33" s="158" t="s">
        <v>46</v>
      </c>
      <c r="AE33" s="158" t="s">
        <v>46</v>
      </c>
      <c r="AF33" s="158" t="s">
        <v>46</v>
      </c>
      <c r="AG33" s="166" t="s">
        <v>46</v>
      </c>
    </row>
    <row r="34" spans="1:36" x14ac:dyDescent="0.2">
      <c r="A34" s="161" t="s">
        <v>519</v>
      </c>
      <c r="B34" s="236" t="s">
        <v>722</v>
      </c>
      <c r="C34" s="151" t="s">
        <v>512</v>
      </c>
      <c r="D34" s="146">
        <v>7.0789999999999997</v>
      </c>
      <c r="E34" s="146">
        <v>7.2560000000000002</v>
      </c>
      <c r="F34" s="146">
        <v>6.6950000000000003</v>
      </c>
      <c r="G34" s="146">
        <v>8.6050000000000004</v>
      </c>
      <c r="H34" s="146">
        <v>7.7919999999999998</v>
      </c>
      <c r="I34" s="146">
        <v>8.51</v>
      </c>
      <c r="J34" s="146">
        <v>8.1999999999999993</v>
      </c>
      <c r="K34" s="146">
        <v>9.5169999999999995</v>
      </c>
      <c r="L34" s="147">
        <v>12.145</v>
      </c>
      <c r="M34" s="147">
        <v>12.9</v>
      </c>
      <c r="N34" s="144">
        <v>13.9</v>
      </c>
      <c r="O34" s="144">
        <v>14.7</v>
      </c>
      <c r="P34" s="144">
        <v>16.12</v>
      </c>
      <c r="Q34" s="147">
        <v>17.149999999999999</v>
      </c>
      <c r="R34" s="147">
        <v>16.692</v>
      </c>
      <c r="S34" s="147">
        <v>20.2</v>
      </c>
      <c r="T34" s="144">
        <v>22.858000000000001</v>
      </c>
      <c r="U34" s="144">
        <v>22.884</v>
      </c>
      <c r="V34" s="144">
        <v>21.189</v>
      </c>
      <c r="W34" s="144">
        <v>19.033999999999999</v>
      </c>
      <c r="X34" s="147">
        <v>19.841999999999999</v>
      </c>
      <c r="Y34" s="118">
        <v>20.065000000000001</v>
      </c>
      <c r="Z34" s="117">
        <v>19.2</v>
      </c>
      <c r="AA34" s="117">
        <v>20.3</v>
      </c>
      <c r="AB34" s="5">
        <v>25.2</v>
      </c>
      <c r="AC34" s="117">
        <v>29.2</v>
      </c>
      <c r="AD34" s="117">
        <v>29.9</v>
      </c>
      <c r="AE34" s="117">
        <v>31.3</v>
      </c>
      <c r="AF34" s="119">
        <v>17.670000000000002</v>
      </c>
      <c r="AG34" s="250">
        <v>28.478000000000002</v>
      </c>
    </row>
    <row r="35" spans="1:36" x14ac:dyDescent="0.2">
      <c r="A35" s="161" t="s">
        <v>519</v>
      </c>
      <c r="B35" s="236" t="s">
        <v>704</v>
      </c>
      <c r="C35" s="151" t="s">
        <v>512</v>
      </c>
      <c r="D35" s="146">
        <v>31.2</v>
      </c>
      <c r="E35" s="146">
        <v>31.1</v>
      </c>
      <c r="F35" s="146">
        <v>29.4</v>
      </c>
      <c r="G35" s="146">
        <v>29.6</v>
      </c>
      <c r="H35" s="146">
        <v>34.6</v>
      </c>
      <c r="I35" s="146">
        <v>35</v>
      </c>
      <c r="J35" s="146">
        <v>33.799999999999997</v>
      </c>
      <c r="K35" s="146">
        <v>34.015000000000001</v>
      </c>
      <c r="L35" s="147">
        <v>10.525</v>
      </c>
      <c r="M35" s="147">
        <v>11.2</v>
      </c>
      <c r="N35" s="144">
        <v>10.199999999999999</v>
      </c>
      <c r="O35" s="144">
        <v>11.2</v>
      </c>
      <c r="P35" s="144">
        <v>12.496</v>
      </c>
      <c r="Q35" s="147">
        <v>12.486000000000001</v>
      </c>
      <c r="R35" s="147">
        <v>13.246</v>
      </c>
      <c r="S35" s="147">
        <v>14.2</v>
      </c>
      <c r="T35" s="144">
        <v>13.723000000000001</v>
      </c>
      <c r="U35" s="144">
        <v>14.486000000000001</v>
      </c>
      <c r="V35" s="144">
        <v>14.183999999999999</v>
      </c>
      <c r="W35" s="144">
        <v>12.722</v>
      </c>
      <c r="X35" s="147">
        <v>12.715999999999999</v>
      </c>
      <c r="Y35" s="118">
        <v>14.279</v>
      </c>
      <c r="Z35" s="117">
        <v>15.8</v>
      </c>
      <c r="AA35" s="117">
        <v>15.7</v>
      </c>
      <c r="AB35" s="5">
        <v>17.5</v>
      </c>
      <c r="AC35" s="117">
        <v>19.5</v>
      </c>
      <c r="AD35" s="117">
        <v>20.7</v>
      </c>
      <c r="AE35" s="117">
        <v>22.9</v>
      </c>
      <c r="AF35" s="119">
        <v>15.03</v>
      </c>
      <c r="AG35" s="250">
        <v>23.152999999999999</v>
      </c>
    </row>
    <row r="36" spans="1:36" x14ac:dyDescent="0.2">
      <c r="A36" s="161" t="s">
        <v>519</v>
      </c>
      <c r="B36" s="236" t="s">
        <v>723</v>
      </c>
      <c r="C36" s="151" t="s">
        <v>512</v>
      </c>
      <c r="D36" s="146" t="s">
        <v>46</v>
      </c>
      <c r="E36" s="146" t="s">
        <v>46</v>
      </c>
      <c r="F36" s="146" t="s">
        <v>46</v>
      </c>
      <c r="G36" s="146" t="s">
        <v>46</v>
      </c>
      <c r="H36" s="146" t="s">
        <v>46</v>
      </c>
      <c r="I36" s="146" t="s">
        <v>46</v>
      </c>
      <c r="J36" s="146" t="s">
        <v>46</v>
      </c>
      <c r="K36" s="146" t="s">
        <v>46</v>
      </c>
      <c r="L36" s="165">
        <v>3.69</v>
      </c>
      <c r="M36" s="165">
        <v>4.0670000000000002</v>
      </c>
      <c r="N36" s="164">
        <v>4.3239999999999998</v>
      </c>
      <c r="O36" s="153">
        <v>5.6520000000000001</v>
      </c>
      <c r="P36" s="153">
        <v>5.968</v>
      </c>
      <c r="Q36" s="144">
        <v>5.7919999999999998</v>
      </c>
      <c r="R36" s="144">
        <v>6.2279999999999998</v>
      </c>
      <c r="S36" s="144">
        <v>5.8559999999999999</v>
      </c>
      <c r="T36" s="144">
        <v>5.4480000000000004</v>
      </c>
      <c r="U36" s="144">
        <v>6.0679999999999996</v>
      </c>
      <c r="V36" s="144">
        <v>5.5659999999999998</v>
      </c>
      <c r="W36" s="144">
        <v>5.2930000000000001</v>
      </c>
      <c r="X36" s="147">
        <v>5.2149999999999999</v>
      </c>
      <c r="Y36" s="118">
        <v>5.3319999999999999</v>
      </c>
      <c r="Z36" s="117">
        <v>5.5</v>
      </c>
      <c r="AA36" s="117">
        <v>6.1</v>
      </c>
      <c r="AB36" s="5">
        <v>10.6</v>
      </c>
      <c r="AC36" s="117">
        <v>11.7</v>
      </c>
      <c r="AD36" s="117">
        <v>11.6</v>
      </c>
      <c r="AE36" s="117">
        <v>14.4</v>
      </c>
      <c r="AF36" s="119">
        <v>4.766</v>
      </c>
      <c r="AG36" s="250">
        <v>10.326000000000001</v>
      </c>
    </row>
    <row r="37" spans="1:36" x14ac:dyDescent="0.2">
      <c r="A37" s="161" t="s">
        <v>519</v>
      </c>
      <c r="B37" s="236" t="s">
        <v>705</v>
      </c>
      <c r="C37" s="151" t="s">
        <v>512</v>
      </c>
      <c r="D37" s="146">
        <v>440.9</v>
      </c>
      <c r="E37" s="146">
        <v>443.2</v>
      </c>
      <c r="F37" s="146">
        <v>441</v>
      </c>
      <c r="G37" s="146">
        <v>419.7</v>
      </c>
      <c r="H37" s="152" t="s">
        <v>46</v>
      </c>
      <c r="I37" s="152" t="s">
        <v>46</v>
      </c>
      <c r="J37" s="152" t="s">
        <v>46</v>
      </c>
      <c r="K37" s="152" t="s">
        <v>46</v>
      </c>
      <c r="L37" s="147">
        <f>1.951+19.254+16.62+0.04</f>
        <v>37.865000000000002</v>
      </c>
      <c r="M37" s="147">
        <v>39.799999999999997</v>
      </c>
      <c r="N37" s="166">
        <v>44.682000000000002</v>
      </c>
      <c r="O37" s="158">
        <v>47.1</v>
      </c>
      <c r="P37" s="158">
        <v>49.512999999999998</v>
      </c>
      <c r="Q37" s="147">
        <v>53.009</v>
      </c>
      <c r="R37" s="147">
        <v>54.033999999999999</v>
      </c>
      <c r="S37" s="147">
        <v>55.3</v>
      </c>
      <c r="T37" s="144">
        <v>57.030999999999999</v>
      </c>
      <c r="U37" s="144">
        <v>69.825000000000003</v>
      </c>
      <c r="V37" s="144">
        <v>67.864999999999995</v>
      </c>
      <c r="W37" s="144">
        <v>67.64</v>
      </c>
      <c r="X37" s="147">
        <v>69.784999999999997</v>
      </c>
      <c r="Y37" s="118">
        <v>72.007000000000005</v>
      </c>
      <c r="Z37" s="117">
        <v>76.099999999999994</v>
      </c>
      <c r="AA37" s="117">
        <v>74.8</v>
      </c>
      <c r="AB37" s="5">
        <v>74.7</v>
      </c>
      <c r="AC37" s="117">
        <v>78.2</v>
      </c>
      <c r="AD37" s="117">
        <v>76.7</v>
      </c>
      <c r="AE37" s="117">
        <v>80.5</v>
      </c>
      <c r="AF37" s="119">
        <v>39.53</v>
      </c>
      <c r="AG37" s="250">
        <v>65.069000000000003</v>
      </c>
    </row>
    <row r="38" spans="1:36" x14ac:dyDescent="0.2">
      <c r="A38" s="161" t="s">
        <v>519</v>
      </c>
      <c r="B38" s="236" t="s">
        <v>700</v>
      </c>
      <c r="C38" s="151" t="s">
        <v>512</v>
      </c>
      <c r="D38" s="146">
        <v>39</v>
      </c>
      <c r="E38" s="146">
        <v>39.5</v>
      </c>
      <c r="F38" s="146">
        <v>40.1</v>
      </c>
      <c r="G38" s="146">
        <v>40</v>
      </c>
      <c r="H38" s="146">
        <v>40.1</v>
      </c>
      <c r="I38" s="146">
        <v>37.299999999999997</v>
      </c>
      <c r="J38" s="146">
        <v>37.4</v>
      </c>
      <c r="K38" s="146">
        <f>1.553+19.132+16.602+0.02</f>
        <v>37.307000000000009</v>
      </c>
      <c r="L38" s="147">
        <v>35.701000000000001</v>
      </c>
      <c r="M38" s="147">
        <v>39.200000000000003</v>
      </c>
      <c r="N38" s="144">
        <v>42.2</v>
      </c>
      <c r="O38" s="144">
        <v>44.3</v>
      </c>
      <c r="P38" s="144">
        <v>48.524000000000001</v>
      </c>
      <c r="Q38" s="147">
        <v>46.926000000000002</v>
      </c>
      <c r="R38" s="147">
        <v>46.899000000000001</v>
      </c>
      <c r="S38" s="147">
        <v>49</v>
      </c>
      <c r="T38" s="144">
        <v>48.83</v>
      </c>
      <c r="U38" s="144">
        <v>66.704999999999998</v>
      </c>
      <c r="V38" s="144">
        <v>67.582999999999998</v>
      </c>
      <c r="W38" s="144">
        <v>67.778000000000006</v>
      </c>
      <c r="X38" s="147">
        <v>67.203000000000003</v>
      </c>
      <c r="Y38" s="118">
        <v>68.593999999999994</v>
      </c>
      <c r="Z38" s="117">
        <v>70.3</v>
      </c>
      <c r="AA38" s="118">
        <v>72</v>
      </c>
      <c r="AB38" s="5">
        <v>86.2</v>
      </c>
      <c r="AC38" s="117">
        <v>92.1</v>
      </c>
      <c r="AD38" s="117">
        <v>94.7</v>
      </c>
      <c r="AE38" s="117">
        <v>100.9</v>
      </c>
      <c r="AF38" s="119">
        <v>55.747999999999998</v>
      </c>
      <c r="AG38" s="250">
        <v>87.370999999999995</v>
      </c>
    </row>
    <row r="39" spans="1:36" x14ac:dyDescent="0.2">
      <c r="A39" s="161" t="s">
        <v>519</v>
      </c>
      <c r="B39" s="151" t="s">
        <v>518</v>
      </c>
      <c r="C39" s="145" t="s">
        <v>524</v>
      </c>
      <c r="D39" s="130">
        <f t="shared" ref="D39:Q39" si="1">SUM(D17:D38)</f>
        <v>730.07099999999991</v>
      </c>
      <c r="E39" s="130">
        <f t="shared" si="1"/>
        <v>735.82799999999997</v>
      </c>
      <c r="F39" s="130">
        <f t="shared" si="1"/>
        <v>745.29599999999994</v>
      </c>
      <c r="G39" s="130">
        <f t="shared" si="1"/>
        <v>742.45799999999997</v>
      </c>
      <c r="H39" s="130">
        <f t="shared" si="1"/>
        <v>345.12800000000004</v>
      </c>
      <c r="I39" s="130">
        <f t="shared" si="1"/>
        <v>345.08600000000001</v>
      </c>
      <c r="J39" s="130">
        <f t="shared" si="1"/>
        <v>335.2</v>
      </c>
      <c r="K39" s="130">
        <f t="shared" si="1"/>
        <v>335.85199999999998</v>
      </c>
      <c r="L39" s="130">
        <f t="shared" si="1"/>
        <v>348.69799999999998</v>
      </c>
      <c r="M39" s="130">
        <f t="shared" si="1"/>
        <v>361.59699999999998</v>
      </c>
      <c r="N39" s="130">
        <f t="shared" si="1"/>
        <v>387.78099999999995</v>
      </c>
      <c r="O39" s="130">
        <f t="shared" si="1"/>
        <v>427.49800000000005</v>
      </c>
      <c r="P39" s="130">
        <f t="shared" si="1"/>
        <v>460.01699999999994</v>
      </c>
      <c r="Q39" s="130">
        <f t="shared" si="1"/>
        <v>467.065</v>
      </c>
      <c r="R39" s="130">
        <f>SUM(R17:R38)</f>
        <v>473.21999999999997</v>
      </c>
      <c r="S39" s="130">
        <f t="shared" ref="S39:AG39" si="2">SUM(S17:S38)</f>
        <v>485.08599999999996</v>
      </c>
      <c r="T39" s="130">
        <f t="shared" si="2"/>
        <v>481.68799999999999</v>
      </c>
      <c r="U39" s="130">
        <f t="shared" si="2"/>
        <v>546.70299999999997</v>
      </c>
      <c r="V39" s="130">
        <f t="shared" si="2"/>
        <v>527.73</v>
      </c>
      <c r="W39" s="130">
        <f t="shared" si="2"/>
        <v>530.04299999999989</v>
      </c>
      <c r="X39" s="130">
        <f t="shared" si="2"/>
        <v>524.846</v>
      </c>
      <c r="Y39" s="130">
        <f t="shared" si="2"/>
        <v>544.28199999999993</v>
      </c>
      <c r="Z39" s="130">
        <f t="shared" si="2"/>
        <v>562.6</v>
      </c>
      <c r="AA39" s="130">
        <f t="shared" si="2"/>
        <v>570</v>
      </c>
      <c r="AB39" s="130">
        <f t="shared" si="2"/>
        <v>672.48700000000008</v>
      </c>
      <c r="AC39" s="130">
        <f t="shared" si="2"/>
        <v>719.00000000000011</v>
      </c>
      <c r="AD39" s="130">
        <f t="shared" si="2"/>
        <v>722.00000000000023</v>
      </c>
      <c r="AE39" s="130">
        <f t="shared" si="2"/>
        <v>761.99999999999989</v>
      </c>
      <c r="AF39" s="130">
        <f t="shared" si="2"/>
        <v>374.262</v>
      </c>
      <c r="AG39" s="130">
        <f t="shared" si="2"/>
        <v>624.27300000000002</v>
      </c>
      <c r="AI39" s="272"/>
      <c r="AJ39" s="272"/>
    </row>
    <row r="40" spans="1:36" ht="45.75" customHeight="1" x14ac:dyDescent="0.2">
      <c r="A40" s="161" t="s">
        <v>522</v>
      </c>
      <c r="B40" s="162" t="s">
        <v>689</v>
      </c>
      <c r="C40" s="162" t="s">
        <v>520</v>
      </c>
      <c r="D40" s="164" t="s">
        <v>46</v>
      </c>
      <c r="E40" s="164" t="s">
        <v>46</v>
      </c>
      <c r="F40" s="164" t="s">
        <v>46</v>
      </c>
      <c r="G40" s="164" t="s">
        <v>46</v>
      </c>
      <c r="H40" s="164" t="s">
        <v>46</v>
      </c>
      <c r="I40" s="164" t="s">
        <v>46</v>
      </c>
      <c r="J40" s="164" t="s">
        <v>46</v>
      </c>
      <c r="K40" s="164" t="s">
        <v>46</v>
      </c>
      <c r="L40" s="164" t="s">
        <v>46</v>
      </c>
      <c r="M40" s="164" t="s">
        <v>46</v>
      </c>
      <c r="N40" s="164" t="s">
        <v>46</v>
      </c>
      <c r="O40" s="130">
        <v>3.944</v>
      </c>
      <c r="P40" s="130">
        <v>4.9370000000000003</v>
      </c>
      <c r="Q40" s="130">
        <v>5.4</v>
      </c>
      <c r="R40" s="126">
        <v>5.4</v>
      </c>
      <c r="S40" s="126">
        <v>5.4</v>
      </c>
      <c r="T40" s="126">
        <v>4.9000000000000004</v>
      </c>
      <c r="U40" s="126">
        <v>5.3</v>
      </c>
      <c r="V40" s="126">
        <v>4.9000000000000004</v>
      </c>
      <c r="W40" s="144">
        <v>5</v>
      </c>
      <c r="X40" s="140">
        <v>4.5999999999999996</v>
      </c>
      <c r="Y40" s="5">
        <v>4.8</v>
      </c>
      <c r="Z40" s="117">
        <v>4.2</v>
      </c>
      <c r="AA40" s="117">
        <v>4.5</v>
      </c>
      <c r="AB40" s="5">
        <v>4.5</v>
      </c>
      <c r="AC40" s="119">
        <v>4.6210000000000004</v>
      </c>
      <c r="AD40" s="119">
        <v>5.0599999999999996</v>
      </c>
      <c r="AE40" s="119">
        <v>5.5620000000000003</v>
      </c>
      <c r="AF40" s="119">
        <v>2.52</v>
      </c>
      <c r="AG40" s="250">
        <v>3.657</v>
      </c>
    </row>
    <row r="41" spans="1:36" x14ac:dyDescent="0.2">
      <c r="A41" s="161" t="s">
        <v>522</v>
      </c>
      <c r="B41" s="162" t="s">
        <v>686</v>
      </c>
      <c r="C41" s="162" t="s">
        <v>520</v>
      </c>
      <c r="D41" s="164" t="s">
        <v>46</v>
      </c>
      <c r="E41" s="164" t="s">
        <v>46</v>
      </c>
      <c r="F41" s="164" t="s">
        <v>46</v>
      </c>
      <c r="G41" s="164" t="s">
        <v>46</v>
      </c>
      <c r="H41" s="148">
        <v>12</v>
      </c>
      <c r="I41" s="148">
        <v>11.5</v>
      </c>
      <c r="J41" s="148">
        <v>11.3</v>
      </c>
      <c r="K41" s="140">
        <v>11.5</v>
      </c>
      <c r="L41" s="140">
        <v>11.7</v>
      </c>
      <c r="M41" s="140">
        <v>11.4</v>
      </c>
      <c r="N41" s="126">
        <v>12.6</v>
      </c>
      <c r="O41" s="130">
        <v>14.45</v>
      </c>
      <c r="P41" s="130">
        <v>16.405000000000001</v>
      </c>
      <c r="Q41" s="130">
        <v>17</v>
      </c>
      <c r="R41" s="126">
        <v>16.899999999999999</v>
      </c>
      <c r="S41" s="126">
        <v>15.7</v>
      </c>
      <c r="T41" s="126">
        <v>16.7</v>
      </c>
      <c r="U41" s="126">
        <v>16.7</v>
      </c>
      <c r="V41" s="126">
        <v>17.399999999999999</v>
      </c>
      <c r="W41" s="126">
        <v>17.2</v>
      </c>
      <c r="X41" s="140">
        <v>16.3</v>
      </c>
      <c r="Y41" s="5">
        <v>16.899999999999999</v>
      </c>
      <c r="Z41" s="117">
        <v>16.600000000000001</v>
      </c>
      <c r="AA41" s="117">
        <v>17.399999999999999</v>
      </c>
      <c r="AB41" s="5">
        <v>17.899999999999999</v>
      </c>
      <c r="AC41" s="119">
        <v>18.332999999999998</v>
      </c>
      <c r="AD41" s="119">
        <v>20.045000000000002</v>
      </c>
      <c r="AE41" s="119">
        <v>22.257000000000001</v>
      </c>
      <c r="AF41" s="119">
        <v>12.581</v>
      </c>
      <c r="AG41" s="250">
        <v>22.088999999999999</v>
      </c>
    </row>
    <row r="42" spans="1:36" x14ac:dyDescent="0.2">
      <c r="A42" s="161" t="s">
        <v>522</v>
      </c>
      <c r="B42" s="162" t="s">
        <v>685</v>
      </c>
      <c r="C42" s="162" t="s">
        <v>520</v>
      </c>
      <c r="D42" s="164" t="s">
        <v>46</v>
      </c>
      <c r="E42" s="164" t="s">
        <v>46</v>
      </c>
      <c r="F42" s="164" t="s">
        <v>46</v>
      </c>
      <c r="G42" s="164" t="s">
        <v>46</v>
      </c>
      <c r="H42" s="148">
        <v>3.4</v>
      </c>
      <c r="I42" s="148">
        <v>3.3</v>
      </c>
      <c r="J42" s="148">
        <v>3.2</v>
      </c>
      <c r="K42" s="140">
        <v>3.2</v>
      </c>
      <c r="L42" s="140">
        <v>3.1</v>
      </c>
      <c r="M42" s="140">
        <v>2.9</v>
      </c>
      <c r="N42" s="126">
        <v>3.6</v>
      </c>
      <c r="O42" s="164" t="s">
        <v>46</v>
      </c>
      <c r="P42" s="164" t="s">
        <v>46</v>
      </c>
      <c r="Q42" s="164" t="s">
        <v>46</v>
      </c>
      <c r="R42" s="164" t="s">
        <v>46</v>
      </c>
      <c r="S42" s="164" t="s">
        <v>46</v>
      </c>
      <c r="T42" s="164" t="s">
        <v>46</v>
      </c>
      <c r="U42" s="164" t="s">
        <v>46</v>
      </c>
      <c r="V42" s="164" t="s">
        <v>46</v>
      </c>
      <c r="W42" s="164" t="s">
        <v>46</v>
      </c>
      <c r="X42" s="164" t="s">
        <v>46</v>
      </c>
      <c r="Y42" s="164" t="s">
        <v>46</v>
      </c>
      <c r="Z42" s="164" t="s">
        <v>46</v>
      </c>
      <c r="AA42" s="164" t="s">
        <v>46</v>
      </c>
      <c r="AB42" s="140" t="s">
        <v>46</v>
      </c>
      <c r="AC42" s="147" t="s">
        <v>46</v>
      </c>
      <c r="AD42" s="147" t="s">
        <v>46</v>
      </c>
      <c r="AE42" s="147" t="s">
        <v>46</v>
      </c>
      <c r="AF42" s="147" t="s">
        <v>46</v>
      </c>
      <c r="AG42" s="147" t="s">
        <v>46</v>
      </c>
    </row>
    <row r="43" spans="1:36" x14ac:dyDescent="0.2">
      <c r="A43" s="161" t="s">
        <v>522</v>
      </c>
      <c r="B43" s="163" t="s">
        <v>688</v>
      </c>
      <c r="C43" s="162" t="s">
        <v>520</v>
      </c>
      <c r="D43" s="164" t="s">
        <v>46</v>
      </c>
      <c r="E43" s="164" t="s">
        <v>46</v>
      </c>
      <c r="F43" s="164" t="s">
        <v>46</v>
      </c>
      <c r="G43" s="164" t="s">
        <v>46</v>
      </c>
      <c r="H43" s="164" t="s">
        <v>46</v>
      </c>
      <c r="I43" s="164" t="s">
        <v>46</v>
      </c>
      <c r="J43" s="164" t="s">
        <v>46</v>
      </c>
      <c r="K43" s="164" t="s">
        <v>46</v>
      </c>
      <c r="L43" s="164" t="s">
        <v>46</v>
      </c>
      <c r="M43" s="164" t="s">
        <v>46</v>
      </c>
      <c r="N43" s="164" t="s">
        <v>46</v>
      </c>
      <c r="O43" s="129">
        <v>2.3679999999999999</v>
      </c>
      <c r="P43" s="129">
        <v>2.5920000000000001</v>
      </c>
      <c r="Q43" s="129">
        <v>2.7</v>
      </c>
      <c r="R43" s="142">
        <v>2.8</v>
      </c>
      <c r="S43" s="142">
        <v>2.4</v>
      </c>
      <c r="T43" s="142">
        <v>2.2999999999999998</v>
      </c>
      <c r="U43" s="142">
        <v>2.2999999999999998</v>
      </c>
      <c r="V43" s="142">
        <v>2.4</v>
      </c>
      <c r="W43" s="142">
        <v>2.4</v>
      </c>
      <c r="X43" s="3">
        <v>2.2999999999999998</v>
      </c>
      <c r="Y43" s="2">
        <v>2.2000000000000002</v>
      </c>
      <c r="Z43" s="85">
        <v>2.4</v>
      </c>
      <c r="AA43" s="164">
        <v>2.5</v>
      </c>
      <c r="AB43" s="2">
        <v>2.7</v>
      </c>
      <c r="AC43" s="121">
        <v>3.16</v>
      </c>
      <c r="AD43" s="121">
        <v>3.1360000000000001</v>
      </c>
      <c r="AE43" s="121">
        <v>3.3330000000000002</v>
      </c>
      <c r="AF43" s="121">
        <v>1.359</v>
      </c>
      <c r="AG43" s="250">
        <v>2.7160000000000002</v>
      </c>
    </row>
    <row r="44" spans="1:36" x14ac:dyDescent="0.2">
      <c r="A44" s="161" t="s">
        <v>522</v>
      </c>
      <c r="B44" s="151" t="s">
        <v>687</v>
      </c>
      <c r="C44" s="162" t="s">
        <v>520</v>
      </c>
      <c r="D44" s="164" t="s">
        <v>46</v>
      </c>
      <c r="E44" s="164" t="s">
        <v>46</v>
      </c>
      <c r="F44" s="164" t="s">
        <v>46</v>
      </c>
      <c r="G44" s="164" t="s">
        <v>46</v>
      </c>
      <c r="H44" s="146">
        <v>42.3</v>
      </c>
      <c r="I44" s="146">
        <v>44.8</v>
      </c>
      <c r="J44" s="146">
        <v>45.4</v>
      </c>
      <c r="K44" s="149">
        <v>47</v>
      </c>
      <c r="L44" s="3">
        <v>47.1</v>
      </c>
      <c r="M44" s="3">
        <v>37.5</v>
      </c>
      <c r="N44" s="142">
        <v>33.6</v>
      </c>
      <c r="O44" s="130">
        <v>38.145000000000003</v>
      </c>
      <c r="P44" s="130">
        <v>40.545000000000002</v>
      </c>
      <c r="Q44" s="130">
        <v>41.9</v>
      </c>
      <c r="R44" s="144">
        <v>44</v>
      </c>
      <c r="S44" s="144">
        <v>46.2</v>
      </c>
      <c r="T44" s="144">
        <v>43.9</v>
      </c>
      <c r="U44" s="144">
        <v>43.5</v>
      </c>
      <c r="V44" s="144">
        <v>39.4</v>
      </c>
      <c r="W44" s="144">
        <v>38</v>
      </c>
      <c r="X44" s="3">
        <v>38</v>
      </c>
      <c r="Y44" s="2">
        <v>31.7</v>
      </c>
      <c r="Z44" s="85">
        <v>32.1</v>
      </c>
      <c r="AA44" s="85">
        <v>34.1</v>
      </c>
      <c r="AB44" s="2">
        <v>37.700000000000003</v>
      </c>
      <c r="AC44" s="121">
        <v>40.884</v>
      </c>
      <c r="AD44" s="121">
        <v>43.222000000000001</v>
      </c>
      <c r="AE44" s="121">
        <v>45.402000000000001</v>
      </c>
      <c r="AF44" s="121">
        <v>18.181999999999999</v>
      </c>
      <c r="AG44" s="250">
        <v>34.555999999999997</v>
      </c>
    </row>
    <row r="45" spans="1:36" x14ac:dyDescent="0.2">
      <c r="A45" s="161" t="s">
        <v>522</v>
      </c>
      <c r="B45" s="151" t="s">
        <v>521</v>
      </c>
      <c r="C45" s="145" t="s">
        <v>524</v>
      </c>
      <c r="D45" s="146">
        <f>SUM(D40:D44)</f>
        <v>0</v>
      </c>
      <c r="E45" s="146">
        <f t="shared" ref="E45:AF45" si="3">SUM(E40:E44)</f>
        <v>0</v>
      </c>
      <c r="F45" s="146">
        <f t="shared" si="3"/>
        <v>0</v>
      </c>
      <c r="G45" s="146">
        <f t="shared" si="3"/>
        <v>0</v>
      </c>
      <c r="H45" s="146">
        <f t="shared" si="3"/>
        <v>57.699999999999996</v>
      </c>
      <c r="I45" s="146">
        <f t="shared" si="3"/>
        <v>59.599999999999994</v>
      </c>
      <c r="J45" s="146">
        <f t="shared" si="3"/>
        <v>59.9</v>
      </c>
      <c r="K45" s="146">
        <f t="shared" si="3"/>
        <v>61.7</v>
      </c>
      <c r="L45" s="146">
        <f t="shared" si="3"/>
        <v>61.9</v>
      </c>
      <c r="M45" s="146">
        <f t="shared" si="3"/>
        <v>51.8</v>
      </c>
      <c r="N45" s="146">
        <f t="shared" si="3"/>
        <v>49.8</v>
      </c>
      <c r="O45" s="146">
        <f t="shared" si="3"/>
        <v>58.906999999999996</v>
      </c>
      <c r="P45" s="146">
        <f t="shared" si="3"/>
        <v>64.478999999999999</v>
      </c>
      <c r="Q45" s="146">
        <f t="shared" si="3"/>
        <v>67</v>
      </c>
      <c r="R45" s="146">
        <f t="shared" si="3"/>
        <v>69.099999999999994</v>
      </c>
      <c r="S45" s="146">
        <f t="shared" si="3"/>
        <v>69.7</v>
      </c>
      <c r="T45" s="146">
        <f t="shared" si="3"/>
        <v>67.8</v>
      </c>
      <c r="U45" s="146">
        <f t="shared" si="3"/>
        <v>67.8</v>
      </c>
      <c r="V45" s="146">
        <f t="shared" si="3"/>
        <v>64.099999999999994</v>
      </c>
      <c r="W45" s="146">
        <f t="shared" si="3"/>
        <v>62.599999999999994</v>
      </c>
      <c r="X45" s="146">
        <f t="shared" si="3"/>
        <v>61.2</v>
      </c>
      <c r="Y45" s="146">
        <f t="shared" si="3"/>
        <v>55.599999999999994</v>
      </c>
      <c r="Z45" s="146">
        <f t="shared" si="3"/>
        <v>55.3</v>
      </c>
      <c r="AA45" s="146">
        <f t="shared" si="3"/>
        <v>58.5</v>
      </c>
      <c r="AB45" s="146">
        <f t="shared" si="3"/>
        <v>62.8</v>
      </c>
      <c r="AC45" s="146">
        <f t="shared" si="3"/>
        <v>66.998000000000005</v>
      </c>
      <c r="AD45" s="146">
        <f t="shared" si="3"/>
        <v>71.462999999999994</v>
      </c>
      <c r="AE45" s="146">
        <f t="shared" si="3"/>
        <v>76.554000000000002</v>
      </c>
      <c r="AF45" s="146">
        <f t="shared" si="3"/>
        <v>34.641999999999996</v>
      </c>
      <c r="AG45" s="146">
        <f t="shared" ref="AG45" si="4">SUM(AG40:AG44)</f>
        <v>63.018000000000001</v>
      </c>
    </row>
    <row r="46" spans="1:36" ht="30" customHeight="1" x14ac:dyDescent="0.2">
      <c r="A46" s="161" t="s">
        <v>523</v>
      </c>
      <c r="B46" s="86" t="s">
        <v>465</v>
      </c>
      <c r="C46" s="145" t="s">
        <v>524</v>
      </c>
      <c r="D46" s="273">
        <f t="shared" ref="D46:AF46" si="5">D16+D39+D45</f>
        <v>1273.971</v>
      </c>
      <c r="E46" s="273">
        <f t="shared" si="5"/>
        <v>1272.328</v>
      </c>
      <c r="F46" s="273">
        <f t="shared" si="5"/>
        <v>1279.596</v>
      </c>
      <c r="G46" s="273">
        <f t="shared" si="5"/>
        <v>1299.9579999999999</v>
      </c>
      <c r="H46" s="273">
        <f t="shared" si="5"/>
        <v>966.22800000000007</v>
      </c>
      <c r="I46" s="273">
        <f t="shared" si="5"/>
        <v>957.48599999999999</v>
      </c>
      <c r="J46" s="273">
        <f t="shared" si="5"/>
        <v>942.4</v>
      </c>
      <c r="K46" s="273">
        <f t="shared" si="5"/>
        <v>944.75900000000001</v>
      </c>
      <c r="L46" s="273">
        <f t="shared" si="5"/>
        <v>978.3839999999999</v>
      </c>
      <c r="M46" s="273">
        <f t="shared" si="5"/>
        <v>1016.486</v>
      </c>
      <c r="N46" s="273">
        <f t="shared" si="5"/>
        <v>1048.7809999999999</v>
      </c>
      <c r="O46" s="273">
        <f t="shared" si="5"/>
        <v>1089.2049999999999</v>
      </c>
      <c r="P46" s="273">
        <f t="shared" si="5"/>
        <v>1155.7769999999998</v>
      </c>
      <c r="Q46" s="273">
        <f t="shared" si="5"/>
        <v>1170.7819999999999</v>
      </c>
      <c r="R46" s="273">
        <f t="shared" si="5"/>
        <v>1178.3349999999998</v>
      </c>
      <c r="S46" s="273">
        <f t="shared" si="5"/>
        <v>1219.396</v>
      </c>
      <c r="T46" s="273">
        <f t="shared" si="5"/>
        <v>1181.1580000000001</v>
      </c>
      <c r="U46" s="273">
        <f t="shared" si="5"/>
        <v>1250.394</v>
      </c>
      <c r="V46" s="273">
        <f t="shared" si="5"/>
        <v>1204.23</v>
      </c>
      <c r="W46" s="273">
        <f t="shared" si="5"/>
        <v>1150.5249999999996</v>
      </c>
      <c r="X46" s="273">
        <f t="shared" si="5"/>
        <v>1106.74</v>
      </c>
      <c r="Y46" s="273">
        <f t="shared" si="5"/>
        <v>1119.8999999999999</v>
      </c>
      <c r="Z46" s="273">
        <f t="shared" si="5"/>
        <v>1150.2</v>
      </c>
      <c r="AA46" s="273">
        <f t="shared" si="5"/>
        <v>1226.4000000000001</v>
      </c>
      <c r="AB46" s="273">
        <f t="shared" si="5"/>
        <v>1419.3869999999999</v>
      </c>
      <c r="AC46" s="273">
        <f t="shared" si="5"/>
        <v>1494.998</v>
      </c>
      <c r="AD46" s="273">
        <f t="shared" si="5"/>
        <v>1501.4630000000002</v>
      </c>
      <c r="AE46" s="273">
        <f t="shared" si="5"/>
        <v>1570.4540000000002</v>
      </c>
      <c r="AF46" s="273">
        <f t="shared" si="5"/>
        <v>838.19599999999991</v>
      </c>
      <c r="AG46" s="273">
        <f t="shared" ref="AG46" si="6">AG16+AG39+AG45</f>
        <v>1322.489</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37"/>
  <sheetViews>
    <sheetView zoomScaleNormal="100" workbookViewId="0">
      <pane xSplit="2" ySplit="4" topLeftCell="V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31" style="6" customWidth="1"/>
    <col min="2" max="2" width="32.77734375" style="6" customWidth="1"/>
    <col min="3" max="31" width="7.77734375" style="6" customWidth="1"/>
    <col min="32" max="16384" width="8.88671875" style="6"/>
  </cols>
  <sheetData>
    <row r="1" spans="1:32" s="5" customFormat="1" ht="15.75" x14ac:dyDescent="0.25">
      <c r="A1" s="1" t="s">
        <v>833</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506</v>
      </c>
      <c r="K3" s="2"/>
      <c r="L3" s="3"/>
      <c r="M3" s="4"/>
      <c r="N3" s="4"/>
      <c r="O3" s="2"/>
    </row>
    <row r="4" spans="1:32" s="260" customFormat="1" ht="47.25" x14ac:dyDescent="0.25">
      <c r="A4" s="259" t="s">
        <v>453</v>
      </c>
      <c r="B4" s="259" t="s">
        <v>487</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484</v>
      </c>
      <c r="AF4" s="245" t="s">
        <v>854</v>
      </c>
    </row>
    <row r="5" spans="1:32" x14ac:dyDescent="0.2">
      <c r="A5" s="117" t="s">
        <v>730</v>
      </c>
      <c r="B5" s="262" t="s">
        <v>567</v>
      </c>
      <c r="C5" s="183">
        <v>598.29999999999995</v>
      </c>
      <c r="D5" s="183">
        <v>634.20000000000005</v>
      </c>
      <c r="E5" s="183">
        <v>703.8</v>
      </c>
      <c r="F5" s="183">
        <v>751.5</v>
      </c>
      <c r="G5" s="183">
        <v>762.5</v>
      </c>
      <c r="H5" s="183">
        <v>768.3</v>
      </c>
      <c r="I5" s="183">
        <v>786.4</v>
      </c>
      <c r="J5" s="183">
        <v>1062.5999999999999</v>
      </c>
      <c r="K5" s="183">
        <v>1076.5999999999999</v>
      </c>
      <c r="L5" s="183">
        <v>1129.3</v>
      </c>
      <c r="M5" s="184">
        <v>1163.7</v>
      </c>
      <c r="N5" s="185">
        <v>1259.597</v>
      </c>
      <c r="O5" s="185">
        <v>1254.7</v>
      </c>
      <c r="P5" s="185">
        <v>1280.3</v>
      </c>
      <c r="Q5" s="185">
        <v>1306.9000000000001</v>
      </c>
      <c r="R5" s="185">
        <v>1329.4</v>
      </c>
      <c r="S5" s="185">
        <v>1308.5</v>
      </c>
      <c r="T5" s="185">
        <v>1336.2</v>
      </c>
      <c r="U5" s="185">
        <v>1313.8</v>
      </c>
      <c r="V5" s="186">
        <v>1332.7</v>
      </c>
      <c r="W5" s="186">
        <v>1389.3</v>
      </c>
      <c r="X5" s="186">
        <v>1342.7</v>
      </c>
      <c r="Y5" s="184">
        <v>1347.2</v>
      </c>
      <c r="Z5" s="184">
        <v>1331.1</v>
      </c>
      <c r="AA5" s="183">
        <v>1341</v>
      </c>
      <c r="AB5" s="183">
        <v>1353.7</v>
      </c>
      <c r="AC5" s="183">
        <v>1372.7</v>
      </c>
      <c r="AD5" s="183">
        <v>1320.1</v>
      </c>
      <c r="AE5" s="187">
        <v>849.7</v>
      </c>
      <c r="AF5" s="250">
        <v>1063.3</v>
      </c>
    </row>
    <row r="6" spans="1:32" ht="33.75" customHeight="1" x14ac:dyDescent="0.2">
      <c r="A6" s="117" t="s">
        <v>458</v>
      </c>
      <c r="B6" s="263" t="s">
        <v>747</v>
      </c>
      <c r="C6" s="188">
        <v>0</v>
      </c>
      <c r="D6" s="188">
        <v>0</v>
      </c>
      <c r="E6" s="188">
        <v>0</v>
      </c>
      <c r="F6" s="188">
        <v>0</v>
      </c>
      <c r="G6" s="189">
        <v>22</v>
      </c>
      <c r="H6" s="189">
        <v>23.2</v>
      </c>
      <c r="I6" s="190">
        <v>21</v>
      </c>
      <c r="J6" s="183">
        <v>20.100000000000001</v>
      </c>
      <c r="K6" s="190">
        <v>142.09</v>
      </c>
      <c r="L6" s="190">
        <v>133.6</v>
      </c>
      <c r="M6" s="191">
        <v>132.6</v>
      </c>
      <c r="N6" s="191">
        <v>128.80000000000001</v>
      </c>
      <c r="O6" s="191">
        <v>129.1</v>
      </c>
      <c r="P6" s="191">
        <v>145.1</v>
      </c>
      <c r="Q6" s="191">
        <v>149.85</v>
      </c>
      <c r="R6" s="191">
        <v>149.5</v>
      </c>
      <c r="S6" s="191">
        <v>141.4</v>
      </c>
      <c r="T6" s="191">
        <v>147.80000000000001</v>
      </c>
      <c r="U6" s="192">
        <v>0</v>
      </c>
      <c r="V6" s="192">
        <v>0</v>
      </c>
      <c r="W6" s="192">
        <v>0</v>
      </c>
      <c r="X6" s="192">
        <v>0</v>
      </c>
      <c r="Y6" s="192">
        <v>0</v>
      </c>
      <c r="Z6" s="192">
        <v>0</v>
      </c>
      <c r="AA6" s="192">
        <v>0</v>
      </c>
      <c r="AB6" s="192">
        <v>0</v>
      </c>
      <c r="AC6" s="192">
        <v>0</v>
      </c>
      <c r="AD6" s="192">
        <v>0</v>
      </c>
      <c r="AE6" s="192">
        <v>0</v>
      </c>
      <c r="AF6" s="192">
        <v>0</v>
      </c>
    </row>
    <row r="7" spans="1:32" ht="18.75" customHeight="1" x14ac:dyDescent="0.2">
      <c r="A7" s="117" t="s">
        <v>458</v>
      </c>
      <c r="B7" s="263" t="s">
        <v>749</v>
      </c>
      <c r="C7" s="188">
        <v>0</v>
      </c>
      <c r="D7" s="188">
        <v>0</v>
      </c>
      <c r="E7" s="188">
        <v>0</v>
      </c>
      <c r="F7" s="188">
        <v>0</v>
      </c>
      <c r="G7" s="189">
        <v>0</v>
      </c>
      <c r="H7" s="189">
        <v>0</v>
      </c>
      <c r="I7" s="189">
        <v>0</v>
      </c>
      <c r="J7" s="189">
        <v>0</v>
      </c>
      <c r="K7" s="189">
        <v>0</v>
      </c>
      <c r="L7" s="190">
        <v>74.400000000000006</v>
      </c>
      <c r="M7" s="191">
        <v>72.5</v>
      </c>
      <c r="N7" s="191">
        <v>78.900000000000006</v>
      </c>
      <c r="O7" s="191">
        <v>69.5</v>
      </c>
      <c r="P7" s="191">
        <v>72.8</v>
      </c>
      <c r="Q7" s="191">
        <v>74.875</v>
      </c>
      <c r="R7" s="191">
        <v>71.28</v>
      </c>
      <c r="S7" s="191">
        <v>70</v>
      </c>
      <c r="T7" s="191">
        <v>71.599999999999994</v>
      </c>
      <c r="U7" s="191">
        <v>63.5</v>
      </c>
      <c r="V7" s="191">
        <v>57.7</v>
      </c>
      <c r="W7" s="187">
        <v>52.6</v>
      </c>
      <c r="X7" s="190">
        <v>57</v>
      </c>
      <c r="Y7" s="193">
        <v>54.4</v>
      </c>
      <c r="Z7" s="193">
        <v>53.6</v>
      </c>
      <c r="AA7" s="187">
        <v>55.5</v>
      </c>
      <c r="AB7" s="193">
        <v>41.2</v>
      </c>
      <c r="AC7" s="187">
        <v>42.9</v>
      </c>
      <c r="AD7" s="190">
        <v>41.024000000000001</v>
      </c>
      <c r="AE7" s="194">
        <v>1.3009999999999999</v>
      </c>
      <c r="AF7" s="192">
        <v>0</v>
      </c>
    </row>
    <row r="8" spans="1:32" x14ac:dyDescent="0.2">
      <c r="A8" s="117" t="s">
        <v>458</v>
      </c>
      <c r="B8" s="262" t="s">
        <v>465</v>
      </c>
      <c r="C8" s="183">
        <f>SUM(C6:C7)</f>
        <v>0</v>
      </c>
      <c r="D8" s="183">
        <f>SUM(D6:D7)</f>
        <v>0</v>
      </c>
      <c r="E8" s="183">
        <f>SUM(E6:E7)</f>
        <v>0</v>
      </c>
      <c r="F8" s="183">
        <f>SUM(F6:F7)</f>
        <v>0</v>
      </c>
      <c r="G8" s="183">
        <f>SUM(G6:G7)</f>
        <v>22</v>
      </c>
      <c r="H8" s="183">
        <f t="shared" ref="H8:AE8" si="0">SUM(H6:H7)</f>
        <v>23.2</v>
      </c>
      <c r="I8" s="183">
        <f t="shared" si="0"/>
        <v>21</v>
      </c>
      <c r="J8" s="183">
        <f t="shared" si="0"/>
        <v>20.100000000000001</v>
      </c>
      <c r="K8" s="183">
        <f t="shared" si="0"/>
        <v>142.09</v>
      </c>
      <c r="L8" s="183">
        <f t="shared" si="0"/>
        <v>208</v>
      </c>
      <c r="M8" s="183">
        <f t="shared" si="0"/>
        <v>205.1</v>
      </c>
      <c r="N8" s="183">
        <f t="shared" si="0"/>
        <v>207.70000000000002</v>
      </c>
      <c r="O8" s="183">
        <f t="shared" si="0"/>
        <v>198.6</v>
      </c>
      <c r="P8" s="183">
        <f t="shared" si="0"/>
        <v>217.89999999999998</v>
      </c>
      <c r="Q8" s="183">
        <f t="shared" si="0"/>
        <v>224.72499999999999</v>
      </c>
      <c r="R8" s="183">
        <f t="shared" si="0"/>
        <v>220.78</v>
      </c>
      <c r="S8" s="183">
        <f t="shared" si="0"/>
        <v>211.4</v>
      </c>
      <c r="T8" s="183">
        <f t="shared" si="0"/>
        <v>219.4</v>
      </c>
      <c r="U8" s="183">
        <f>SUM(U6:U7)</f>
        <v>63.5</v>
      </c>
      <c r="V8" s="183">
        <f t="shared" si="0"/>
        <v>57.7</v>
      </c>
      <c r="W8" s="183">
        <f t="shared" si="0"/>
        <v>52.6</v>
      </c>
      <c r="X8" s="183">
        <f t="shared" si="0"/>
        <v>57</v>
      </c>
      <c r="Y8" s="183">
        <f t="shared" si="0"/>
        <v>54.4</v>
      </c>
      <c r="Z8" s="183">
        <f t="shared" si="0"/>
        <v>53.6</v>
      </c>
      <c r="AA8" s="183">
        <f t="shared" si="0"/>
        <v>55.5</v>
      </c>
      <c r="AB8" s="183">
        <f t="shared" si="0"/>
        <v>41.2</v>
      </c>
      <c r="AC8" s="183">
        <f t="shared" si="0"/>
        <v>42.9</v>
      </c>
      <c r="AD8" s="183">
        <f t="shared" si="0"/>
        <v>41.024000000000001</v>
      </c>
      <c r="AE8" s="183">
        <f t="shared" si="0"/>
        <v>1.3009999999999999</v>
      </c>
      <c r="AF8" s="192">
        <v>0</v>
      </c>
    </row>
    <row r="9" spans="1:32" ht="35.25" customHeight="1" x14ac:dyDescent="0.2">
      <c r="A9" s="2" t="s">
        <v>457</v>
      </c>
      <c r="B9" s="262" t="s">
        <v>751</v>
      </c>
      <c r="C9" s="188">
        <v>0</v>
      </c>
      <c r="D9" s="188">
        <v>0</v>
      </c>
      <c r="E9" s="188">
        <v>0</v>
      </c>
      <c r="F9" s="188">
        <v>0</v>
      </c>
      <c r="G9" s="189">
        <v>0</v>
      </c>
      <c r="H9" s="189">
        <v>28.5</v>
      </c>
      <c r="I9" s="189">
        <v>26.2</v>
      </c>
      <c r="J9" s="187">
        <v>28.1</v>
      </c>
      <c r="K9" s="190">
        <v>26.2</v>
      </c>
      <c r="L9" s="190">
        <v>27.527000000000001</v>
      </c>
      <c r="M9" s="191">
        <v>32.5</v>
      </c>
      <c r="N9" s="191">
        <v>43.48</v>
      </c>
      <c r="O9" s="191">
        <v>56.06</v>
      </c>
      <c r="P9" s="191">
        <v>35.700000000000003</v>
      </c>
      <c r="Q9" s="191">
        <v>29.5</v>
      </c>
      <c r="R9" s="191">
        <v>39.1</v>
      </c>
      <c r="S9" s="191">
        <v>40.200000000000003</v>
      </c>
      <c r="T9" s="191">
        <v>39</v>
      </c>
      <c r="U9" s="191">
        <v>38.200000000000003</v>
      </c>
      <c r="V9" s="191">
        <v>33.4</v>
      </c>
      <c r="W9" s="187">
        <v>37.299999999999997</v>
      </c>
      <c r="X9" s="187">
        <v>44.4</v>
      </c>
      <c r="Y9" s="193">
        <v>40.200000000000003</v>
      </c>
      <c r="Z9" s="193">
        <v>39.1</v>
      </c>
      <c r="AA9" s="187">
        <v>45.7</v>
      </c>
      <c r="AB9" s="191">
        <v>44</v>
      </c>
      <c r="AC9" s="187">
        <v>41.4</v>
      </c>
      <c r="AD9" s="187">
        <v>40.6</v>
      </c>
      <c r="AE9" s="187">
        <v>22.7</v>
      </c>
      <c r="AF9" s="250">
        <v>38.4</v>
      </c>
    </row>
    <row r="10" spans="1:32" x14ac:dyDescent="0.2">
      <c r="A10" s="2" t="s">
        <v>457</v>
      </c>
      <c r="B10" s="262" t="s">
        <v>568</v>
      </c>
      <c r="C10" s="188">
        <v>0</v>
      </c>
      <c r="D10" s="188">
        <v>0</v>
      </c>
      <c r="E10" s="188">
        <v>0</v>
      </c>
      <c r="F10" s="188">
        <v>0</v>
      </c>
      <c r="G10" s="189">
        <v>55.9</v>
      </c>
      <c r="H10" s="189">
        <v>50</v>
      </c>
      <c r="I10" s="187">
        <v>54.5</v>
      </c>
      <c r="J10" s="189">
        <v>57.1</v>
      </c>
      <c r="K10" s="189">
        <v>58.613999999999997</v>
      </c>
      <c r="L10" s="189">
        <v>63.566000000000003</v>
      </c>
      <c r="M10" s="195">
        <v>62.9</v>
      </c>
      <c r="N10" s="195">
        <v>62.737000000000002</v>
      </c>
      <c r="O10" s="195">
        <v>66.239999999999995</v>
      </c>
      <c r="P10" s="195">
        <v>67.7</v>
      </c>
      <c r="Q10" s="191">
        <v>73.3</v>
      </c>
      <c r="R10" s="191">
        <v>71.599999999999994</v>
      </c>
      <c r="S10" s="191">
        <v>72.400000000000006</v>
      </c>
      <c r="T10" s="191">
        <v>69.099999999999994</v>
      </c>
      <c r="U10" s="191">
        <v>65.8</v>
      </c>
      <c r="V10" s="191">
        <v>71.3</v>
      </c>
      <c r="W10" s="187">
        <v>70.2</v>
      </c>
      <c r="X10" s="187">
        <v>62.8</v>
      </c>
      <c r="Y10" s="193">
        <v>67.7</v>
      </c>
      <c r="Z10" s="193">
        <v>68.099999999999994</v>
      </c>
      <c r="AA10" s="190">
        <v>68</v>
      </c>
      <c r="AB10" s="193">
        <v>72.3</v>
      </c>
      <c r="AC10" s="187">
        <v>69.599999999999994</v>
      </c>
      <c r="AD10" s="187">
        <v>70.7</v>
      </c>
      <c r="AE10" s="187">
        <v>37.5</v>
      </c>
      <c r="AF10" s="250">
        <v>61.5</v>
      </c>
    </row>
    <row r="11" spans="1:32" x14ac:dyDescent="0.2">
      <c r="A11" s="2" t="s">
        <v>457</v>
      </c>
      <c r="B11" s="262" t="s">
        <v>752</v>
      </c>
      <c r="C11" s="188">
        <v>0</v>
      </c>
      <c r="D11" s="188">
        <v>0</v>
      </c>
      <c r="E11" s="188">
        <v>0</v>
      </c>
      <c r="F11" s="188">
        <v>0</v>
      </c>
      <c r="G11" s="189">
        <v>0</v>
      </c>
      <c r="H11" s="189">
        <v>0</v>
      </c>
      <c r="I11" s="189">
        <v>0</v>
      </c>
      <c r="J11" s="189">
        <v>0</v>
      </c>
      <c r="K11" s="189">
        <v>13</v>
      </c>
      <c r="L11" s="189">
        <v>12.685</v>
      </c>
      <c r="M11" s="195">
        <v>9.1999999999999993</v>
      </c>
      <c r="N11" s="195">
        <v>20.170000000000002</v>
      </c>
      <c r="O11" s="195">
        <v>17.741</v>
      </c>
      <c r="P11" s="195">
        <v>23.4</v>
      </c>
      <c r="Q11" s="191">
        <v>21.3</v>
      </c>
      <c r="R11" s="191">
        <v>15.2</v>
      </c>
      <c r="S11" s="191">
        <v>14.6</v>
      </c>
      <c r="T11" s="191">
        <v>13.9</v>
      </c>
      <c r="U11" s="191">
        <v>16.3</v>
      </c>
      <c r="V11" s="191">
        <v>16</v>
      </c>
      <c r="W11" s="187">
        <v>17.7</v>
      </c>
      <c r="X11" s="187">
        <v>16.100000000000001</v>
      </c>
      <c r="Y11" s="193">
        <v>14.4</v>
      </c>
      <c r="Z11" s="193">
        <v>17.100000000000001</v>
      </c>
      <c r="AA11" s="187">
        <v>21.3</v>
      </c>
      <c r="AB11" s="193">
        <v>15.3</v>
      </c>
      <c r="AC11" s="187">
        <v>16.100000000000001</v>
      </c>
      <c r="AD11" s="187">
        <v>17.600000000000001</v>
      </c>
      <c r="AE11" s="187">
        <v>21.1</v>
      </c>
      <c r="AF11" s="250">
        <v>29.3</v>
      </c>
    </row>
    <row r="12" spans="1:32" x14ac:dyDescent="0.2">
      <c r="A12" s="2" t="s">
        <v>457</v>
      </c>
      <c r="B12" s="262" t="s">
        <v>753</v>
      </c>
      <c r="C12" s="188">
        <v>0</v>
      </c>
      <c r="D12" s="188">
        <v>0</v>
      </c>
      <c r="E12" s="188">
        <v>0</v>
      </c>
      <c r="F12" s="188">
        <v>0</v>
      </c>
      <c r="G12" s="189">
        <v>0</v>
      </c>
      <c r="H12" s="189">
        <v>0</v>
      </c>
      <c r="I12" s="189">
        <v>0</v>
      </c>
      <c r="J12" s="189">
        <v>0</v>
      </c>
      <c r="K12" s="189">
        <v>19.053000000000001</v>
      </c>
      <c r="L12" s="189">
        <v>22.247</v>
      </c>
      <c r="M12" s="195">
        <v>17.3</v>
      </c>
      <c r="N12" s="195">
        <v>18.172000000000001</v>
      </c>
      <c r="O12" s="195">
        <v>12.175000000000001</v>
      </c>
      <c r="P12" s="195">
        <v>13.4</v>
      </c>
      <c r="Q12" s="191">
        <v>14.3</v>
      </c>
      <c r="R12" s="191">
        <v>12.7</v>
      </c>
      <c r="S12" s="191">
        <v>14.4</v>
      </c>
      <c r="T12" s="191">
        <v>16</v>
      </c>
      <c r="U12" s="191">
        <v>15</v>
      </c>
      <c r="V12" s="191">
        <v>13.1</v>
      </c>
      <c r="W12" s="187">
        <v>14.4</v>
      </c>
      <c r="X12" s="187">
        <v>15.1</v>
      </c>
      <c r="Y12" s="193">
        <v>15.9</v>
      </c>
      <c r="Z12" s="193">
        <v>16.899999999999999</v>
      </c>
      <c r="AA12" s="187">
        <v>14.5</v>
      </c>
      <c r="AB12" s="193">
        <v>12.6</v>
      </c>
      <c r="AC12" s="187">
        <v>11.8</v>
      </c>
      <c r="AD12" s="187">
        <v>12.2</v>
      </c>
      <c r="AE12" s="190">
        <v>9</v>
      </c>
      <c r="AF12" s="250">
        <v>22.7</v>
      </c>
    </row>
    <row r="13" spans="1:32" x14ac:dyDescent="0.2">
      <c r="A13" s="2" t="s">
        <v>457</v>
      </c>
      <c r="B13" s="262" t="s">
        <v>465</v>
      </c>
      <c r="C13" s="189">
        <f>SUM(C9:C12)</f>
        <v>0</v>
      </c>
      <c r="D13" s="189">
        <f t="shared" ref="D13:AF13" si="1">SUM(D9:D12)</f>
        <v>0</v>
      </c>
      <c r="E13" s="189">
        <f t="shared" si="1"/>
        <v>0</v>
      </c>
      <c r="F13" s="189">
        <f t="shared" si="1"/>
        <v>0</v>
      </c>
      <c r="G13" s="189">
        <f t="shared" si="1"/>
        <v>55.9</v>
      </c>
      <c r="H13" s="189">
        <f t="shared" si="1"/>
        <v>78.5</v>
      </c>
      <c r="I13" s="189">
        <f t="shared" si="1"/>
        <v>80.7</v>
      </c>
      <c r="J13" s="189">
        <f t="shared" si="1"/>
        <v>85.2</v>
      </c>
      <c r="K13" s="189">
        <f t="shared" si="1"/>
        <v>116.86699999999999</v>
      </c>
      <c r="L13" s="189">
        <f t="shared" si="1"/>
        <v>126.02500000000001</v>
      </c>
      <c r="M13" s="189">
        <f t="shared" si="1"/>
        <v>121.9</v>
      </c>
      <c r="N13" s="189">
        <f t="shared" si="1"/>
        <v>144.559</v>
      </c>
      <c r="O13" s="189">
        <f t="shared" si="1"/>
        <v>152.21600000000001</v>
      </c>
      <c r="P13" s="189">
        <f t="shared" si="1"/>
        <v>140.20000000000002</v>
      </c>
      <c r="Q13" s="189">
        <f t="shared" si="1"/>
        <v>138.4</v>
      </c>
      <c r="R13" s="189">
        <f t="shared" si="1"/>
        <v>138.6</v>
      </c>
      <c r="S13" s="189">
        <f t="shared" si="1"/>
        <v>141.6</v>
      </c>
      <c r="T13" s="189">
        <f t="shared" si="1"/>
        <v>138</v>
      </c>
      <c r="U13" s="189">
        <f t="shared" si="1"/>
        <v>135.30000000000001</v>
      </c>
      <c r="V13" s="189">
        <f t="shared" si="1"/>
        <v>133.79999999999998</v>
      </c>
      <c r="W13" s="189">
        <f t="shared" si="1"/>
        <v>139.6</v>
      </c>
      <c r="X13" s="189">
        <f t="shared" si="1"/>
        <v>138.39999999999998</v>
      </c>
      <c r="Y13" s="189">
        <f t="shared" si="1"/>
        <v>138.20000000000002</v>
      </c>
      <c r="Z13" s="189">
        <f t="shared" si="1"/>
        <v>141.19999999999999</v>
      </c>
      <c r="AA13" s="189">
        <f t="shared" si="1"/>
        <v>149.5</v>
      </c>
      <c r="AB13" s="189">
        <f t="shared" si="1"/>
        <v>144.19999999999999</v>
      </c>
      <c r="AC13" s="189">
        <f t="shared" si="1"/>
        <v>138.9</v>
      </c>
      <c r="AD13" s="189">
        <f t="shared" si="1"/>
        <v>141.1</v>
      </c>
      <c r="AE13" s="189">
        <f t="shared" si="1"/>
        <v>90.300000000000011</v>
      </c>
      <c r="AF13" s="189">
        <f t="shared" si="1"/>
        <v>151.9</v>
      </c>
    </row>
    <row r="14" spans="1:32" ht="33" customHeight="1" x14ac:dyDescent="0.2">
      <c r="A14" s="2" t="s">
        <v>507</v>
      </c>
      <c r="B14" s="262" t="s">
        <v>569</v>
      </c>
      <c r="C14" s="196"/>
      <c r="D14" s="196"/>
      <c r="E14" s="196"/>
      <c r="F14" s="196"/>
      <c r="G14" s="196"/>
      <c r="H14" s="196"/>
      <c r="I14" s="196"/>
      <c r="J14" s="196"/>
      <c r="K14" s="187"/>
      <c r="L14" s="187"/>
      <c r="M14" s="187"/>
      <c r="N14" s="187"/>
      <c r="O14" s="187"/>
      <c r="P14" s="187"/>
      <c r="Q14" s="187"/>
      <c r="R14" s="187"/>
      <c r="S14" s="187"/>
      <c r="T14" s="187"/>
      <c r="U14" s="187"/>
      <c r="V14" s="187"/>
      <c r="W14" s="187"/>
      <c r="X14" s="187"/>
      <c r="Y14" s="187"/>
      <c r="Z14" s="187"/>
      <c r="AA14" s="187"/>
      <c r="AB14" s="187"/>
      <c r="AC14" s="187"/>
      <c r="AD14" s="187"/>
      <c r="AE14" s="187"/>
      <c r="AF14" s="244"/>
    </row>
    <row r="15" spans="1:32" x14ac:dyDescent="0.2">
      <c r="A15" s="2" t="s">
        <v>507</v>
      </c>
      <c r="B15" s="262" t="s">
        <v>741</v>
      </c>
      <c r="C15" s="188">
        <v>0</v>
      </c>
      <c r="D15" s="188">
        <v>0</v>
      </c>
      <c r="E15" s="188">
        <v>0</v>
      </c>
      <c r="F15" s="188">
        <v>0</v>
      </c>
      <c r="G15" s="188">
        <v>0</v>
      </c>
      <c r="H15" s="188">
        <v>0</v>
      </c>
      <c r="I15" s="188">
        <v>0</v>
      </c>
      <c r="J15" s="188">
        <v>0</v>
      </c>
      <c r="K15" s="188">
        <v>0</v>
      </c>
      <c r="L15" s="188">
        <v>0</v>
      </c>
      <c r="M15" s="188">
        <v>0</v>
      </c>
      <c r="N15" s="188">
        <v>0</v>
      </c>
      <c r="O15" s="188">
        <v>0</v>
      </c>
      <c r="P15" s="188">
        <v>0</v>
      </c>
      <c r="Q15" s="188">
        <v>0</v>
      </c>
      <c r="R15" s="188">
        <v>0</v>
      </c>
      <c r="S15" s="188">
        <v>0</v>
      </c>
      <c r="T15" s="188">
        <v>0</v>
      </c>
      <c r="U15" s="188">
        <v>0</v>
      </c>
      <c r="V15" s="188">
        <v>0</v>
      </c>
      <c r="W15" s="188">
        <v>0</v>
      </c>
      <c r="X15" s="187">
        <v>560</v>
      </c>
      <c r="Y15" s="193">
        <v>566</v>
      </c>
      <c r="Z15" s="193">
        <v>557</v>
      </c>
      <c r="AA15" s="187">
        <v>572</v>
      </c>
      <c r="AB15" s="193">
        <v>580</v>
      </c>
      <c r="AC15" s="187">
        <v>590</v>
      </c>
      <c r="AD15" s="187">
        <v>598</v>
      </c>
      <c r="AE15" s="192">
        <v>320</v>
      </c>
      <c r="AF15" s="244">
        <v>450</v>
      </c>
    </row>
    <row r="16" spans="1:32" x14ac:dyDescent="0.2">
      <c r="A16" s="2" t="s">
        <v>507</v>
      </c>
      <c r="B16" s="263" t="s">
        <v>743</v>
      </c>
      <c r="C16" s="188">
        <v>0</v>
      </c>
      <c r="D16" s="188">
        <v>0</v>
      </c>
      <c r="E16" s="195">
        <v>13.246</v>
      </c>
      <c r="F16" s="195">
        <v>13.923</v>
      </c>
      <c r="G16" s="195">
        <v>14.500999999999999</v>
      </c>
      <c r="H16" s="195">
        <v>13.337</v>
      </c>
      <c r="I16" s="195">
        <v>11.06</v>
      </c>
      <c r="J16" s="190">
        <v>13.882999999999999</v>
      </c>
      <c r="K16" s="190">
        <v>8.9030000000000005</v>
      </c>
      <c r="L16" s="190">
        <v>8.1180000000000003</v>
      </c>
      <c r="M16" s="191">
        <v>7.5309999999999997</v>
      </c>
      <c r="N16" s="191">
        <v>5.8</v>
      </c>
      <c r="O16" s="191">
        <v>5.95</v>
      </c>
      <c r="P16" s="191">
        <v>5.6</v>
      </c>
      <c r="Q16" s="191">
        <v>7</v>
      </c>
      <c r="R16" s="191">
        <v>16.7</v>
      </c>
      <c r="S16" s="195">
        <v>1.03</v>
      </c>
      <c r="T16" s="195">
        <v>3.9</v>
      </c>
      <c r="U16" s="195">
        <v>4.4000000000000004</v>
      </c>
      <c r="V16" s="195">
        <v>3</v>
      </c>
      <c r="W16" s="187">
        <v>5.0999999999999996</v>
      </c>
      <c r="X16" s="187">
        <v>10.3</v>
      </c>
      <c r="Y16" s="191">
        <v>10</v>
      </c>
      <c r="Z16" s="193">
        <v>11.2</v>
      </c>
      <c r="AA16" s="187">
        <v>8.9</v>
      </c>
      <c r="AB16" s="193">
        <v>8.4</v>
      </c>
      <c r="AC16" s="187">
        <v>8.3000000000000007</v>
      </c>
      <c r="AD16" s="187">
        <v>8.1</v>
      </c>
      <c r="AE16" s="190">
        <v>4.9950000000000001</v>
      </c>
      <c r="AF16" s="250">
        <v>9</v>
      </c>
    </row>
    <row r="17" spans="1:32" x14ac:dyDescent="0.2">
      <c r="A17" s="2" t="s">
        <v>507</v>
      </c>
      <c r="B17" s="263" t="s">
        <v>771</v>
      </c>
      <c r="C17" s="188">
        <f>C16</f>
        <v>0</v>
      </c>
      <c r="D17" s="188">
        <f>D16</f>
        <v>0</v>
      </c>
      <c r="E17" s="188">
        <f>SUM(E14:E16)</f>
        <v>13.246</v>
      </c>
      <c r="F17" s="188">
        <f t="shared" ref="F17:AF17" si="2">F16</f>
        <v>13.923</v>
      </c>
      <c r="G17" s="188">
        <f t="shared" si="2"/>
        <v>14.500999999999999</v>
      </c>
      <c r="H17" s="188">
        <f t="shared" si="2"/>
        <v>13.337</v>
      </c>
      <c r="I17" s="188">
        <f t="shared" si="2"/>
        <v>11.06</v>
      </c>
      <c r="J17" s="188">
        <f t="shared" si="2"/>
        <v>13.882999999999999</v>
      </c>
      <c r="K17" s="188">
        <f t="shared" si="2"/>
        <v>8.9030000000000005</v>
      </c>
      <c r="L17" s="188">
        <f t="shared" si="2"/>
        <v>8.1180000000000003</v>
      </c>
      <c r="M17" s="188">
        <f t="shared" si="2"/>
        <v>7.5309999999999997</v>
      </c>
      <c r="N17" s="189">
        <f t="shared" si="2"/>
        <v>5.8</v>
      </c>
      <c r="O17" s="189">
        <f t="shared" si="2"/>
        <v>5.95</v>
      </c>
      <c r="P17" s="189">
        <f t="shared" si="2"/>
        <v>5.6</v>
      </c>
      <c r="Q17" s="189">
        <f t="shared" si="2"/>
        <v>7</v>
      </c>
      <c r="R17" s="189">
        <f t="shared" si="2"/>
        <v>16.7</v>
      </c>
      <c r="S17" s="189">
        <f t="shared" si="2"/>
        <v>1.03</v>
      </c>
      <c r="T17" s="189">
        <f t="shared" si="2"/>
        <v>3.9</v>
      </c>
      <c r="U17" s="189">
        <f t="shared" si="2"/>
        <v>4.4000000000000004</v>
      </c>
      <c r="V17" s="189">
        <f t="shared" si="2"/>
        <v>3</v>
      </c>
      <c r="W17" s="189">
        <f t="shared" si="2"/>
        <v>5.0999999999999996</v>
      </c>
      <c r="X17" s="189">
        <f t="shared" si="2"/>
        <v>10.3</v>
      </c>
      <c r="Y17" s="189">
        <f t="shared" si="2"/>
        <v>10</v>
      </c>
      <c r="Z17" s="189">
        <f t="shared" si="2"/>
        <v>11.2</v>
      </c>
      <c r="AA17" s="189">
        <f t="shared" si="2"/>
        <v>8.9</v>
      </c>
      <c r="AB17" s="189">
        <f t="shared" si="2"/>
        <v>8.4</v>
      </c>
      <c r="AC17" s="189">
        <f t="shared" si="2"/>
        <v>8.3000000000000007</v>
      </c>
      <c r="AD17" s="189">
        <f>AD16</f>
        <v>8.1</v>
      </c>
      <c r="AE17" s="189">
        <f t="shared" si="2"/>
        <v>4.9950000000000001</v>
      </c>
      <c r="AF17" s="189">
        <f t="shared" si="2"/>
        <v>9</v>
      </c>
    </row>
    <row r="18" spans="1:32" ht="42.75" customHeight="1" x14ac:dyDescent="0.2">
      <c r="A18" s="5" t="s">
        <v>761</v>
      </c>
      <c r="B18" s="262" t="s">
        <v>570</v>
      </c>
      <c r="C18" s="188">
        <v>0</v>
      </c>
      <c r="D18" s="188">
        <v>0</v>
      </c>
      <c r="E18" s="188">
        <v>0</v>
      </c>
      <c r="F18" s="183">
        <v>96.3035</v>
      </c>
      <c r="G18" s="183">
        <v>137.94300000000001</v>
      </c>
      <c r="H18" s="183">
        <v>145.672</v>
      </c>
      <c r="I18" s="183">
        <v>125.68600000000001</v>
      </c>
      <c r="J18" s="187">
        <v>120.4</v>
      </c>
      <c r="K18" s="188">
        <v>0</v>
      </c>
      <c r="L18" s="188">
        <v>0</v>
      </c>
      <c r="M18" s="188">
        <v>0</v>
      </c>
      <c r="N18" s="188">
        <v>0</v>
      </c>
      <c r="O18" s="191">
        <v>2.6539999999999999</v>
      </c>
      <c r="P18" s="188">
        <v>0</v>
      </c>
      <c r="Q18" s="188">
        <v>0</v>
      </c>
      <c r="R18" s="188">
        <v>0</v>
      </c>
      <c r="S18" s="188">
        <v>0</v>
      </c>
      <c r="T18" s="188">
        <v>0</v>
      </c>
      <c r="U18" s="188">
        <v>0</v>
      </c>
      <c r="V18" s="188">
        <v>0</v>
      </c>
      <c r="W18" s="188">
        <v>0</v>
      </c>
      <c r="X18" s="188">
        <v>0</v>
      </c>
      <c r="Y18" s="188">
        <v>0</v>
      </c>
      <c r="Z18" s="188">
        <v>0</v>
      </c>
      <c r="AA18" s="188">
        <v>0</v>
      </c>
      <c r="AB18" s="188">
        <v>0</v>
      </c>
      <c r="AC18" s="188">
        <v>0</v>
      </c>
      <c r="AD18" s="188">
        <v>0</v>
      </c>
      <c r="AE18" s="188">
        <v>0</v>
      </c>
      <c r="AF18" s="188">
        <v>0</v>
      </c>
    </row>
    <row r="19" spans="1:32" ht="36.75" customHeight="1" x14ac:dyDescent="0.2">
      <c r="A19" s="5" t="s">
        <v>725</v>
      </c>
      <c r="B19" s="263" t="s">
        <v>571</v>
      </c>
      <c r="C19" s="188">
        <v>0</v>
      </c>
      <c r="D19" s="188">
        <v>0</v>
      </c>
      <c r="E19" s="188">
        <v>0</v>
      </c>
      <c r="F19" s="188">
        <v>0</v>
      </c>
      <c r="G19" s="188">
        <v>0</v>
      </c>
      <c r="H19" s="188">
        <v>0</v>
      </c>
      <c r="I19" s="188">
        <v>0</v>
      </c>
      <c r="J19" s="188">
        <v>0</v>
      </c>
      <c r="K19" s="188">
        <v>0</v>
      </c>
      <c r="L19" s="190">
        <v>2.2570000000000001</v>
      </c>
      <c r="M19" s="191">
        <v>2.1</v>
      </c>
      <c r="N19" s="191">
        <v>2.4</v>
      </c>
      <c r="O19" s="191">
        <v>2.536</v>
      </c>
      <c r="P19" s="191">
        <v>2.96</v>
      </c>
      <c r="Q19" s="191">
        <v>3.3519999999999999</v>
      </c>
      <c r="R19" s="191">
        <v>2.62</v>
      </c>
      <c r="S19" s="191">
        <v>4.9000000000000004</v>
      </c>
      <c r="T19" s="191">
        <v>3.3</v>
      </c>
      <c r="U19" s="191">
        <v>2.996</v>
      </c>
      <c r="V19" s="191">
        <v>4.9000000000000004</v>
      </c>
      <c r="W19" s="191">
        <v>4.6399999999999997</v>
      </c>
      <c r="X19" s="197">
        <v>0</v>
      </c>
      <c r="Y19" s="197">
        <v>0</v>
      </c>
      <c r="Z19" s="197">
        <v>0</v>
      </c>
      <c r="AA19" s="197">
        <v>0</v>
      </c>
      <c r="AB19" s="197">
        <v>0</v>
      </c>
      <c r="AC19" s="197">
        <v>0</v>
      </c>
      <c r="AD19" s="197">
        <v>0</v>
      </c>
      <c r="AE19" s="197">
        <v>0</v>
      </c>
      <c r="AF19" s="197">
        <v>0</v>
      </c>
    </row>
    <row r="20" spans="1:32" ht="54" customHeight="1" x14ac:dyDescent="0.2">
      <c r="A20" s="2" t="s">
        <v>770</v>
      </c>
      <c r="B20" s="262" t="s">
        <v>572</v>
      </c>
      <c r="C20" s="183">
        <v>58.338000000000001</v>
      </c>
      <c r="D20" s="183">
        <v>53.841999999999999</v>
      </c>
      <c r="E20" s="183">
        <v>59.889000000000003</v>
      </c>
      <c r="F20" s="183">
        <v>63.843000000000004</v>
      </c>
      <c r="G20" s="183">
        <v>67.341999999999999</v>
      </c>
      <c r="H20" s="183">
        <v>68.417000000000002</v>
      </c>
      <c r="I20" s="183">
        <v>66.5</v>
      </c>
      <c r="J20" s="198">
        <v>65.599999999999994</v>
      </c>
      <c r="K20" s="183">
        <v>63.2</v>
      </c>
      <c r="L20" s="183">
        <v>64.7</v>
      </c>
      <c r="M20" s="184">
        <v>63.6</v>
      </c>
      <c r="N20" s="184">
        <v>71.135999999999996</v>
      </c>
      <c r="O20" s="184">
        <v>77.7</v>
      </c>
      <c r="P20" s="184">
        <v>75.363</v>
      </c>
      <c r="Q20" s="184">
        <v>74.8</v>
      </c>
      <c r="R20" s="184">
        <v>74.2</v>
      </c>
      <c r="S20" s="184">
        <v>76.2</v>
      </c>
      <c r="T20" s="184">
        <v>75.98</v>
      </c>
      <c r="U20" s="184">
        <v>78.75</v>
      </c>
      <c r="V20" s="184">
        <v>81.650000000000006</v>
      </c>
      <c r="W20" s="187">
        <v>77.099999999999994</v>
      </c>
      <c r="X20" s="187">
        <v>79.3</v>
      </c>
      <c r="Y20" s="193">
        <v>77.5</v>
      </c>
      <c r="Z20" s="193">
        <v>77.7</v>
      </c>
      <c r="AA20" s="187">
        <v>81.599999999999994</v>
      </c>
      <c r="AB20" s="187">
        <v>84.1</v>
      </c>
      <c r="AC20" s="187">
        <v>79.099999999999994</v>
      </c>
      <c r="AD20" s="187">
        <v>81.599999999999994</v>
      </c>
      <c r="AE20" s="190">
        <v>48.198</v>
      </c>
      <c r="AF20" s="250">
        <v>64.5</v>
      </c>
    </row>
    <row r="21" spans="1:32" x14ac:dyDescent="0.2">
      <c r="A21" s="2" t="s">
        <v>770</v>
      </c>
      <c r="B21" s="262" t="s">
        <v>573</v>
      </c>
      <c r="C21" s="183">
        <v>47.302999999999997</v>
      </c>
      <c r="D21" s="183">
        <v>50.76</v>
      </c>
      <c r="E21" s="183">
        <v>53.953000000000003</v>
      </c>
      <c r="F21" s="183">
        <v>58.219000000000001</v>
      </c>
      <c r="G21" s="183">
        <v>59.165999999999997</v>
      </c>
      <c r="H21" s="183">
        <v>56.554000000000002</v>
      </c>
      <c r="I21" s="183">
        <v>56.1</v>
      </c>
      <c r="J21" s="198">
        <v>56.4</v>
      </c>
      <c r="K21" s="183">
        <v>55.1</v>
      </c>
      <c r="L21" s="183">
        <v>54</v>
      </c>
      <c r="M21" s="184">
        <v>54.2</v>
      </c>
      <c r="N21" s="184">
        <v>60.287999999999997</v>
      </c>
      <c r="O21" s="184">
        <v>61.7</v>
      </c>
      <c r="P21" s="184">
        <v>58.7</v>
      </c>
      <c r="Q21" s="184">
        <v>58.6</v>
      </c>
      <c r="R21" s="184">
        <v>60.5</v>
      </c>
      <c r="S21" s="184">
        <v>55</v>
      </c>
      <c r="T21" s="184">
        <v>60.552</v>
      </c>
      <c r="U21" s="184">
        <v>58.8</v>
      </c>
      <c r="V21" s="184">
        <v>58.39</v>
      </c>
      <c r="W21" s="187">
        <v>56.3</v>
      </c>
      <c r="X21" s="187">
        <v>58.8</v>
      </c>
      <c r="Y21" s="193">
        <v>54.8</v>
      </c>
      <c r="Z21" s="191">
        <v>55</v>
      </c>
      <c r="AA21" s="187">
        <v>53.6</v>
      </c>
      <c r="AB21" s="187">
        <v>57.5</v>
      </c>
      <c r="AC21" s="187">
        <v>60.3</v>
      </c>
      <c r="AD21" s="187">
        <v>58.1</v>
      </c>
      <c r="AE21" s="190">
        <v>30.777999999999999</v>
      </c>
      <c r="AF21" s="250">
        <v>40.200000000000003</v>
      </c>
    </row>
    <row r="22" spans="1:32" x14ac:dyDescent="0.2">
      <c r="A22" s="2" t="s">
        <v>770</v>
      </c>
      <c r="B22" s="262" t="s">
        <v>574</v>
      </c>
      <c r="C22" s="183">
        <v>44.351999999999997</v>
      </c>
      <c r="D22" s="183">
        <v>46.249000000000002</v>
      </c>
      <c r="E22" s="183">
        <v>50.465000000000003</v>
      </c>
      <c r="F22" s="183">
        <v>57.368000000000002</v>
      </c>
      <c r="G22" s="183">
        <v>58.142000000000003</v>
      </c>
      <c r="H22" s="183">
        <v>55.975000000000001</v>
      </c>
      <c r="I22" s="183">
        <v>56</v>
      </c>
      <c r="J22" s="198">
        <v>57.8</v>
      </c>
      <c r="K22" s="183">
        <v>57</v>
      </c>
      <c r="L22" s="183">
        <v>61.7</v>
      </c>
      <c r="M22" s="184">
        <v>60.9</v>
      </c>
      <c r="N22" s="184">
        <v>64.313999999999993</v>
      </c>
      <c r="O22" s="184">
        <v>64.3</v>
      </c>
      <c r="P22" s="184">
        <v>63.761000000000003</v>
      </c>
      <c r="Q22" s="184">
        <v>64</v>
      </c>
      <c r="R22" s="184">
        <v>65</v>
      </c>
      <c r="S22" s="184">
        <v>65.2</v>
      </c>
      <c r="T22" s="184">
        <v>69.903999999999996</v>
      </c>
      <c r="U22" s="184">
        <v>64.2</v>
      </c>
      <c r="V22" s="184">
        <v>66.97</v>
      </c>
      <c r="W22" s="187">
        <v>68.7</v>
      </c>
      <c r="X22" s="187">
        <v>65</v>
      </c>
      <c r="Y22" s="193">
        <v>64.900000000000006</v>
      </c>
      <c r="Z22" s="193">
        <v>58.7</v>
      </c>
      <c r="AA22" s="187">
        <v>62.7</v>
      </c>
      <c r="AB22" s="187">
        <v>61.2</v>
      </c>
      <c r="AC22" s="187">
        <v>65.7</v>
      </c>
      <c r="AD22" s="187">
        <v>62.8</v>
      </c>
      <c r="AE22" s="190">
        <v>34.529000000000003</v>
      </c>
      <c r="AF22" s="250">
        <v>40.6</v>
      </c>
    </row>
    <row r="23" spans="1:32" x14ac:dyDescent="0.2">
      <c r="A23" s="2" t="s">
        <v>770</v>
      </c>
      <c r="B23" s="262" t="s">
        <v>575</v>
      </c>
      <c r="C23" s="183">
        <v>34.381</v>
      </c>
      <c r="D23" s="183">
        <v>67.171000000000006</v>
      </c>
      <c r="E23" s="183">
        <v>75.832999999999998</v>
      </c>
      <c r="F23" s="183">
        <v>78.536000000000001</v>
      </c>
      <c r="G23" s="183">
        <v>78.709999999999994</v>
      </c>
      <c r="H23" s="183">
        <v>82.355999999999995</v>
      </c>
      <c r="I23" s="183">
        <v>80.2</v>
      </c>
      <c r="J23" s="198">
        <v>84.9</v>
      </c>
      <c r="K23" s="183">
        <v>86</v>
      </c>
      <c r="L23" s="183">
        <v>87.5</v>
      </c>
      <c r="M23" s="184">
        <v>94.4</v>
      </c>
      <c r="N23" s="184">
        <v>96.236999999999995</v>
      </c>
      <c r="O23" s="184">
        <v>97.6</v>
      </c>
      <c r="P23" s="184">
        <v>96.653000000000006</v>
      </c>
      <c r="Q23" s="184">
        <v>101.6</v>
      </c>
      <c r="R23" s="184">
        <v>98.3</v>
      </c>
      <c r="S23" s="184">
        <v>102.1</v>
      </c>
      <c r="T23" s="184">
        <v>102.035</v>
      </c>
      <c r="U23" s="184">
        <v>105.8</v>
      </c>
      <c r="V23" s="184">
        <v>104.6</v>
      </c>
      <c r="W23" s="187">
        <v>108.6</v>
      </c>
      <c r="X23" s="187">
        <v>99.3</v>
      </c>
      <c r="Y23" s="193">
        <v>96.6</v>
      </c>
      <c r="Z23" s="193">
        <v>97.4</v>
      </c>
      <c r="AA23" s="187">
        <v>103.5</v>
      </c>
      <c r="AB23" s="187">
        <v>101.7</v>
      </c>
      <c r="AC23" s="187">
        <v>104.7</v>
      </c>
      <c r="AD23" s="187">
        <v>103.6</v>
      </c>
      <c r="AE23" s="190">
        <v>44.634999999999998</v>
      </c>
      <c r="AF23" s="250">
        <v>71.099999999999994</v>
      </c>
    </row>
    <row r="24" spans="1:32" x14ac:dyDescent="0.2">
      <c r="A24" s="2" t="s">
        <v>770</v>
      </c>
      <c r="B24" s="262" t="s">
        <v>576</v>
      </c>
      <c r="C24" s="188">
        <v>0</v>
      </c>
      <c r="D24" s="188">
        <v>0</v>
      </c>
      <c r="E24" s="188">
        <v>0</v>
      </c>
      <c r="F24" s="188">
        <v>0</v>
      </c>
      <c r="G24" s="188">
        <v>0</v>
      </c>
      <c r="H24" s="188">
        <v>0</v>
      </c>
      <c r="I24" s="188">
        <v>0</v>
      </c>
      <c r="J24" s="198">
        <v>16.8</v>
      </c>
      <c r="K24" s="183">
        <v>16.5</v>
      </c>
      <c r="L24" s="183">
        <v>16.8</v>
      </c>
      <c r="M24" s="184">
        <v>17.5</v>
      </c>
      <c r="N24" s="184">
        <v>18.276</v>
      </c>
      <c r="O24" s="184">
        <v>20.399999999999999</v>
      </c>
      <c r="P24" s="184">
        <v>18.152000000000001</v>
      </c>
      <c r="Q24" s="184">
        <v>18.899999999999999</v>
      </c>
      <c r="R24" s="184">
        <v>18.399999999999999</v>
      </c>
      <c r="S24" s="184">
        <v>20.5</v>
      </c>
      <c r="T24" s="184">
        <v>21.062999999999999</v>
      </c>
      <c r="U24" s="184">
        <v>23.1</v>
      </c>
      <c r="V24" s="184">
        <v>26.15</v>
      </c>
      <c r="W24" s="187">
        <v>24.9</v>
      </c>
      <c r="X24" s="187">
        <v>26</v>
      </c>
      <c r="Y24" s="193">
        <v>26.5</v>
      </c>
      <c r="Z24" s="193">
        <v>26.4</v>
      </c>
      <c r="AA24" s="187">
        <v>27.8</v>
      </c>
      <c r="AB24" s="187">
        <v>26.9</v>
      </c>
      <c r="AC24" s="187">
        <v>29.1</v>
      </c>
      <c r="AD24" s="187">
        <v>29.5</v>
      </c>
      <c r="AE24" s="190">
        <v>12.025</v>
      </c>
      <c r="AF24" s="250">
        <v>18.899999999999999</v>
      </c>
    </row>
    <row r="25" spans="1:32" x14ac:dyDescent="0.2">
      <c r="A25" s="2" t="s">
        <v>770</v>
      </c>
      <c r="B25" s="262" t="s">
        <v>465</v>
      </c>
      <c r="C25" s="189">
        <f t="shared" ref="C25:AF25" si="3">SUM(C20:C24)</f>
        <v>184.374</v>
      </c>
      <c r="D25" s="189">
        <f t="shared" si="3"/>
        <v>218.02199999999999</v>
      </c>
      <c r="E25" s="189">
        <f t="shared" si="3"/>
        <v>240.14000000000001</v>
      </c>
      <c r="F25" s="189">
        <f t="shared" si="3"/>
        <v>257.96600000000001</v>
      </c>
      <c r="G25" s="189">
        <f t="shared" si="3"/>
        <v>263.36</v>
      </c>
      <c r="H25" s="189">
        <f t="shared" si="3"/>
        <v>263.30200000000002</v>
      </c>
      <c r="I25" s="189">
        <f t="shared" si="3"/>
        <v>258.8</v>
      </c>
      <c r="J25" s="189">
        <f t="shared" si="3"/>
        <v>281.50000000000006</v>
      </c>
      <c r="K25" s="189">
        <f t="shared" si="3"/>
        <v>277.8</v>
      </c>
      <c r="L25" s="189">
        <f t="shared" si="3"/>
        <v>284.7</v>
      </c>
      <c r="M25" s="189">
        <f t="shared" si="3"/>
        <v>290.60000000000002</v>
      </c>
      <c r="N25" s="189">
        <f t="shared" si="3"/>
        <v>310.25099999999998</v>
      </c>
      <c r="O25" s="189">
        <f t="shared" si="3"/>
        <v>321.69999999999993</v>
      </c>
      <c r="P25" s="189">
        <f t="shared" si="3"/>
        <v>312.62899999999996</v>
      </c>
      <c r="Q25" s="189">
        <f t="shared" si="3"/>
        <v>317.89999999999998</v>
      </c>
      <c r="R25" s="189">
        <f t="shared" si="3"/>
        <v>316.39999999999998</v>
      </c>
      <c r="S25" s="189">
        <f t="shared" si="3"/>
        <v>319</v>
      </c>
      <c r="T25" s="189">
        <f t="shared" si="3"/>
        <v>329.53399999999999</v>
      </c>
      <c r="U25" s="189">
        <f t="shared" si="3"/>
        <v>330.65000000000003</v>
      </c>
      <c r="V25" s="189">
        <f t="shared" si="3"/>
        <v>337.76</v>
      </c>
      <c r="W25" s="189">
        <f t="shared" si="3"/>
        <v>335.59999999999991</v>
      </c>
      <c r="X25" s="189">
        <f t="shared" si="3"/>
        <v>328.4</v>
      </c>
      <c r="Y25" s="189">
        <f t="shared" si="3"/>
        <v>320.3</v>
      </c>
      <c r="Z25" s="189">
        <f t="shared" si="3"/>
        <v>315.19999999999993</v>
      </c>
      <c r="AA25" s="189">
        <f t="shared" si="3"/>
        <v>329.2</v>
      </c>
      <c r="AB25" s="189">
        <f t="shared" si="3"/>
        <v>331.4</v>
      </c>
      <c r="AC25" s="189">
        <f t="shared" si="3"/>
        <v>338.9</v>
      </c>
      <c r="AD25" s="189">
        <f t="shared" si="3"/>
        <v>335.6</v>
      </c>
      <c r="AE25" s="189">
        <f t="shared" si="3"/>
        <v>170.16499999999999</v>
      </c>
      <c r="AF25" s="189">
        <f t="shared" si="3"/>
        <v>235.3</v>
      </c>
    </row>
    <row r="26" spans="1:32" ht="39.75" customHeight="1" x14ac:dyDescent="0.2">
      <c r="A26" s="161" t="s">
        <v>585</v>
      </c>
      <c r="B26" s="264" t="s">
        <v>724</v>
      </c>
      <c r="C26" s="128">
        <v>1.8</v>
      </c>
      <c r="D26" s="128">
        <v>2.2999999999999998</v>
      </c>
      <c r="E26" s="128">
        <v>2.7</v>
      </c>
      <c r="F26" s="128">
        <v>2.1</v>
      </c>
      <c r="G26" s="128">
        <v>1.6</v>
      </c>
      <c r="H26" s="128">
        <v>1.6</v>
      </c>
      <c r="I26" s="128">
        <v>1.9</v>
      </c>
      <c r="J26" s="128">
        <v>1.6</v>
      </c>
      <c r="K26" s="117">
        <v>1.3</v>
      </c>
      <c r="L26" s="118">
        <v>0.25</v>
      </c>
      <c r="M26" s="164" t="s">
        <v>46</v>
      </c>
      <c r="N26" s="164" t="s">
        <v>46</v>
      </c>
      <c r="O26" s="164" t="s">
        <v>46</v>
      </c>
      <c r="P26" s="164" t="s">
        <v>46</v>
      </c>
      <c r="Q26" s="164" t="s">
        <v>46</v>
      </c>
      <c r="R26" s="164" t="s">
        <v>46</v>
      </c>
      <c r="S26" s="164" t="s">
        <v>46</v>
      </c>
      <c r="T26" s="164" t="s">
        <v>46</v>
      </c>
      <c r="U26" s="164" t="s">
        <v>46</v>
      </c>
      <c r="V26" s="164" t="s">
        <v>46</v>
      </c>
      <c r="W26" s="164" t="s">
        <v>46</v>
      </c>
      <c r="X26" s="164" t="s">
        <v>46</v>
      </c>
      <c r="Y26" s="117"/>
      <c r="Z26" s="117"/>
      <c r="AA26" s="117"/>
      <c r="AB26" s="117"/>
      <c r="AC26" s="117"/>
      <c r="AD26" s="117"/>
      <c r="AE26" s="117"/>
      <c r="AF26" s="244"/>
    </row>
    <row r="27" spans="1:32" ht="33" customHeight="1" x14ac:dyDescent="0.2">
      <c r="A27" s="2" t="s">
        <v>727</v>
      </c>
      <c r="B27" s="263" t="s">
        <v>577</v>
      </c>
      <c r="C27" s="188">
        <v>0</v>
      </c>
      <c r="D27" s="188">
        <v>0</v>
      </c>
      <c r="E27" s="188">
        <v>0</v>
      </c>
      <c r="F27" s="183">
        <v>183.66900000000001</v>
      </c>
      <c r="G27" s="183">
        <v>211.65199999999999</v>
      </c>
      <c r="H27" s="183">
        <v>227.71299999999999</v>
      </c>
      <c r="I27" s="183">
        <v>206.316</v>
      </c>
      <c r="J27" s="187">
        <v>204.6</v>
      </c>
      <c r="K27" s="269">
        <v>136.845</v>
      </c>
      <c r="L27" s="269">
        <v>138.1</v>
      </c>
      <c r="M27" s="270">
        <v>146.19999999999999</v>
      </c>
      <c r="N27" s="270">
        <v>141.19999999999999</v>
      </c>
      <c r="O27" s="270">
        <v>154.1</v>
      </c>
      <c r="P27" s="270">
        <v>146.30000000000001</v>
      </c>
      <c r="Q27" s="270">
        <v>169.238</v>
      </c>
      <c r="R27" s="270">
        <v>177.495</v>
      </c>
      <c r="S27" s="270">
        <v>170.94399999999999</v>
      </c>
      <c r="T27" s="187">
        <v>166.2</v>
      </c>
      <c r="U27" s="187">
        <v>164</v>
      </c>
      <c r="V27" s="187">
        <v>169</v>
      </c>
      <c r="W27" s="187">
        <v>173.1</v>
      </c>
      <c r="X27" s="190">
        <v>166.054</v>
      </c>
      <c r="Y27" s="193">
        <v>165.8</v>
      </c>
      <c r="Z27" s="191">
        <v>163.44499999999999</v>
      </c>
      <c r="AA27" s="187">
        <v>169.8</v>
      </c>
      <c r="AB27" s="193">
        <v>162.6</v>
      </c>
      <c r="AC27" s="191">
        <v>160.98699999999999</v>
      </c>
      <c r="AD27" s="191">
        <v>164.464</v>
      </c>
      <c r="AE27" s="187">
        <v>98.1</v>
      </c>
      <c r="AF27" s="244">
        <v>121.2</v>
      </c>
    </row>
    <row r="28" spans="1:32" x14ac:dyDescent="0.2">
      <c r="A28" s="2" t="s">
        <v>727</v>
      </c>
      <c r="B28" s="263" t="s">
        <v>578</v>
      </c>
      <c r="C28" s="188">
        <v>0</v>
      </c>
      <c r="D28" s="188">
        <v>0</v>
      </c>
      <c r="E28" s="188">
        <v>0</v>
      </c>
      <c r="F28" s="183">
        <v>79.013999999999996</v>
      </c>
      <c r="G28" s="183">
        <v>109.524</v>
      </c>
      <c r="H28" s="183">
        <v>126.054</v>
      </c>
      <c r="I28" s="183">
        <v>113.54600000000001</v>
      </c>
      <c r="J28" s="187">
        <v>109.3</v>
      </c>
      <c r="K28" s="269">
        <v>211.011</v>
      </c>
      <c r="L28" s="269">
        <v>216.1</v>
      </c>
      <c r="M28" s="270">
        <v>229.7</v>
      </c>
      <c r="N28" s="270">
        <v>221.9</v>
      </c>
      <c r="O28" s="270">
        <v>232.1</v>
      </c>
      <c r="P28" s="270">
        <v>238.8</v>
      </c>
      <c r="Q28" s="270">
        <v>244.97499999999999</v>
      </c>
      <c r="R28" s="270">
        <v>256</v>
      </c>
      <c r="S28" s="270">
        <v>248.756</v>
      </c>
      <c r="T28" s="270">
        <v>264.39999999999998</v>
      </c>
      <c r="U28" s="270">
        <v>272</v>
      </c>
      <c r="V28" s="270">
        <v>254</v>
      </c>
      <c r="W28" s="187">
        <v>269.3</v>
      </c>
      <c r="X28" s="190">
        <v>280.86599999999999</v>
      </c>
      <c r="Y28" s="191">
        <v>270</v>
      </c>
      <c r="Z28" s="191">
        <v>261.07</v>
      </c>
      <c r="AA28" s="187">
        <v>273.2</v>
      </c>
      <c r="AB28" s="193">
        <v>273.10000000000002</v>
      </c>
      <c r="AC28" s="191">
        <v>265.43299999999999</v>
      </c>
      <c r="AD28" s="191">
        <v>268.67200000000003</v>
      </c>
      <c r="AE28" s="187">
        <v>162.4</v>
      </c>
      <c r="AF28" s="244">
        <v>216.4</v>
      </c>
    </row>
    <row r="29" spans="1:32" x14ac:dyDescent="0.2">
      <c r="A29" s="2" t="s">
        <v>727</v>
      </c>
      <c r="B29" s="263" t="s">
        <v>758</v>
      </c>
      <c r="C29" s="188">
        <v>0</v>
      </c>
      <c r="D29" s="188">
        <v>0</v>
      </c>
      <c r="E29" s="188">
        <v>0</v>
      </c>
      <c r="F29" s="183">
        <v>155.11099999999999</v>
      </c>
      <c r="G29" s="183">
        <v>211.30449999999999</v>
      </c>
      <c r="H29" s="183">
        <v>213.53649999999999</v>
      </c>
      <c r="I29" s="183">
        <v>189.178</v>
      </c>
      <c r="J29" s="187">
        <v>205.3</v>
      </c>
      <c r="K29" s="269">
        <v>112.946</v>
      </c>
      <c r="L29" s="269">
        <v>113.5</v>
      </c>
      <c r="M29" s="270">
        <v>126.3</v>
      </c>
      <c r="N29" s="270">
        <v>110.2</v>
      </c>
      <c r="O29" s="270">
        <v>122.7</v>
      </c>
      <c r="P29" s="270">
        <v>108.4</v>
      </c>
      <c r="Q29" s="270">
        <v>117.913</v>
      </c>
      <c r="R29" s="270">
        <v>131.77600000000001</v>
      </c>
      <c r="S29" s="199">
        <v>0</v>
      </c>
      <c r="T29" s="211">
        <v>0</v>
      </c>
      <c r="U29" s="211">
        <v>0</v>
      </c>
      <c r="V29" s="211">
        <v>0</v>
      </c>
      <c r="W29" s="187">
        <v>172.1</v>
      </c>
      <c r="X29" s="190">
        <v>159.303</v>
      </c>
      <c r="Y29" s="193">
        <v>152.69999999999999</v>
      </c>
      <c r="Z29" s="191">
        <v>137.83600000000001</v>
      </c>
      <c r="AA29" s="187">
        <v>146.94</v>
      </c>
      <c r="AB29" s="193">
        <v>151.69999999999999</v>
      </c>
      <c r="AC29" s="191">
        <v>147.74199999999999</v>
      </c>
      <c r="AD29" s="191">
        <v>145.07599999999999</v>
      </c>
      <c r="AE29" s="187">
        <v>79.2</v>
      </c>
      <c r="AF29" s="244">
        <v>115.6</v>
      </c>
    </row>
    <row r="30" spans="1:32" x14ac:dyDescent="0.2">
      <c r="A30" s="2" t="s">
        <v>727</v>
      </c>
      <c r="B30" s="263" t="s">
        <v>745</v>
      </c>
      <c r="C30" s="188">
        <v>0</v>
      </c>
      <c r="D30" s="188">
        <v>0</v>
      </c>
      <c r="E30" s="188">
        <v>0</v>
      </c>
      <c r="F30" s="189">
        <v>14.3</v>
      </c>
      <c r="G30" s="189">
        <v>18.600000000000001</v>
      </c>
      <c r="H30" s="189">
        <v>21.5</v>
      </c>
      <c r="I30" s="189">
        <v>19.100000000000001</v>
      </c>
      <c r="J30" s="183">
        <v>20.6</v>
      </c>
      <c r="K30" s="269">
        <v>185.816</v>
      </c>
      <c r="L30" s="269">
        <v>180.7</v>
      </c>
      <c r="M30" s="270">
        <v>206.3</v>
      </c>
      <c r="N30" s="270">
        <v>194.5</v>
      </c>
      <c r="O30" s="270">
        <v>213</v>
      </c>
      <c r="P30" s="270">
        <v>196.8</v>
      </c>
      <c r="Q30" s="270">
        <v>207.874</v>
      </c>
      <c r="R30" s="270">
        <v>206.84</v>
      </c>
      <c r="S30" s="270">
        <v>214.43199999999999</v>
      </c>
      <c r="T30" s="270">
        <v>205.9</v>
      </c>
      <c r="U30" s="270">
        <v>189</v>
      </c>
      <c r="V30" s="270">
        <v>192</v>
      </c>
      <c r="W30" s="187">
        <v>196.8</v>
      </c>
      <c r="X30" s="190">
        <v>170.89599999999999</v>
      </c>
      <c r="Y30" s="191">
        <v>173</v>
      </c>
      <c r="Z30" s="191">
        <v>170.666</v>
      </c>
      <c r="AA30" s="187">
        <v>176.3</v>
      </c>
      <c r="AB30" s="193">
        <v>181</v>
      </c>
      <c r="AC30" s="191">
        <v>181.37299999999999</v>
      </c>
      <c r="AD30" s="191">
        <v>190.83</v>
      </c>
      <c r="AE30" s="187">
        <v>123.2</v>
      </c>
      <c r="AF30" s="244">
        <v>162.30000000000001</v>
      </c>
    </row>
    <row r="31" spans="1:32" x14ac:dyDescent="0.2">
      <c r="A31" s="2" t="s">
        <v>727</v>
      </c>
      <c r="B31" s="263" t="s">
        <v>755</v>
      </c>
      <c r="C31" s="188">
        <v>0</v>
      </c>
      <c r="D31" s="188">
        <v>0</v>
      </c>
      <c r="E31" s="188">
        <v>0</v>
      </c>
      <c r="F31" s="189">
        <v>0</v>
      </c>
      <c r="G31" s="189">
        <v>0</v>
      </c>
      <c r="H31" s="189">
        <v>0</v>
      </c>
      <c r="I31" s="183">
        <v>148.4</v>
      </c>
      <c r="J31" s="183">
        <v>147.9</v>
      </c>
      <c r="K31" s="269">
        <v>20.390999999999998</v>
      </c>
      <c r="L31" s="269">
        <v>20.2</v>
      </c>
      <c r="M31" s="270">
        <v>23.5</v>
      </c>
      <c r="N31" s="270">
        <v>19.3</v>
      </c>
      <c r="O31" s="270">
        <v>23.4</v>
      </c>
      <c r="P31" s="270">
        <v>18.399999999999999</v>
      </c>
      <c r="Q31" s="270">
        <v>20.539000000000001</v>
      </c>
      <c r="R31" s="270">
        <v>23.475000000000001</v>
      </c>
      <c r="S31" s="199">
        <v>0</v>
      </c>
      <c r="T31" s="211">
        <v>0</v>
      </c>
      <c r="U31" s="211">
        <v>0</v>
      </c>
      <c r="V31" s="211">
        <v>0</v>
      </c>
      <c r="W31" s="211">
        <v>0</v>
      </c>
      <c r="X31" s="211">
        <v>0</v>
      </c>
      <c r="Y31" s="211">
        <v>0</v>
      </c>
      <c r="Z31" s="211">
        <v>0</v>
      </c>
      <c r="AA31" s="211">
        <v>0</v>
      </c>
      <c r="AB31" s="211">
        <v>0</v>
      </c>
      <c r="AC31" s="211">
        <v>0</v>
      </c>
      <c r="AD31" s="211">
        <v>0</v>
      </c>
      <c r="AE31" s="211">
        <v>0</v>
      </c>
      <c r="AF31" s="211">
        <v>0</v>
      </c>
    </row>
    <row r="32" spans="1:32" x14ac:dyDescent="0.2">
      <c r="A32" s="2" t="s">
        <v>727</v>
      </c>
      <c r="B32" s="263" t="s">
        <v>579</v>
      </c>
      <c r="C32" s="188"/>
      <c r="D32" s="188"/>
      <c r="E32" s="188"/>
      <c r="F32" s="189"/>
      <c r="G32" s="189"/>
      <c r="H32" s="189"/>
      <c r="I32" s="183"/>
      <c r="J32" s="183"/>
      <c r="K32" s="269"/>
      <c r="L32" s="269"/>
      <c r="M32" s="270"/>
      <c r="N32" s="270"/>
      <c r="O32" s="270"/>
      <c r="P32" s="270">
        <v>0</v>
      </c>
      <c r="Q32" s="270">
        <v>0</v>
      </c>
      <c r="R32" s="270">
        <v>0</v>
      </c>
      <c r="S32" s="199">
        <v>0</v>
      </c>
      <c r="T32" s="211">
        <v>0</v>
      </c>
      <c r="U32" s="211">
        <v>0</v>
      </c>
      <c r="V32" s="211">
        <v>0</v>
      </c>
      <c r="W32" s="211">
        <v>0</v>
      </c>
      <c r="X32" s="211">
        <v>0</v>
      </c>
      <c r="Y32" s="211">
        <v>0</v>
      </c>
      <c r="Z32" s="200">
        <v>5.5019999999999998</v>
      </c>
      <c r="AA32" s="187">
        <v>5.15</v>
      </c>
      <c r="AB32" s="193">
        <v>4.5</v>
      </c>
      <c r="AC32" s="191">
        <v>4.3899999999999997</v>
      </c>
      <c r="AD32" s="191">
        <v>4.2350000000000003</v>
      </c>
      <c r="AE32" s="187">
        <v>2.5</v>
      </c>
      <c r="AF32" s="244">
        <v>4</v>
      </c>
    </row>
    <row r="33" spans="1:32" x14ac:dyDescent="0.2">
      <c r="A33" s="2" t="s">
        <v>727</v>
      </c>
      <c r="B33" s="263" t="s">
        <v>580</v>
      </c>
      <c r="C33" s="188"/>
      <c r="D33" s="188"/>
      <c r="E33" s="188"/>
      <c r="F33" s="189"/>
      <c r="G33" s="189"/>
      <c r="H33" s="189"/>
      <c r="I33" s="183"/>
      <c r="J33" s="183"/>
      <c r="K33" s="269"/>
      <c r="L33" s="269"/>
      <c r="M33" s="270"/>
      <c r="N33" s="270"/>
      <c r="O33" s="270"/>
      <c r="P33" s="270">
        <v>0</v>
      </c>
      <c r="Q33" s="270">
        <v>0</v>
      </c>
      <c r="R33" s="270">
        <v>0</v>
      </c>
      <c r="S33" s="199">
        <v>0</v>
      </c>
      <c r="T33" s="211">
        <v>0</v>
      </c>
      <c r="U33" s="211">
        <v>0</v>
      </c>
      <c r="V33" s="211">
        <v>0</v>
      </c>
      <c r="W33" s="211">
        <v>0</v>
      </c>
      <c r="X33" s="211">
        <v>0</v>
      </c>
      <c r="Y33" s="211">
        <v>0</v>
      </c>
      <c r="Z33" s="200">
        <v>2.9550000000000001</v>
      </c>
      <c r="AA33" s="187">
        <v>2.81</v>
      </c>
      <c r="AB33" s="193">
        <v>2.6</v>
      </c>
      <c r="AC33" s="191">
        <v>2.6549999999999998</v>
      </c>
      <c r="AD33" s="191">
        <v>3.0009999999999999</v>
      </c>
      <c r="AE33" s="187">
        <v>2</v>
      </c>
      <c r="AF33" s="244">
        <v>3.2</v>
      </c>
    </row>
    <row r="34" spans="1:32" x14ac:dyDescent="0.2">
      <c r="A34" s="2" t="s">
        <v>727</v>
      </c>
      <c r="B34" s="263" t="s">
        <v>581</v>
      </c>
      <c r="C34" s="188"/>
      <c r="D34" s="188"/>
      <c r="E34" s="188"/>
      <c r="F34" s="189"/>
      <c r="G34" s="189"/>
      <c r="H34" s="189"/>
      <c r="I34" s="183"/>
      <c r="J34" s="183"/>
      <c r="K34" s="269"/>
      <c r="L34" s="269"/>
      <c r="M34" s="270"/>
      <c r="N34" s="270"/>
      <c r="O34" s="270"/>
      <c r="P34" s="270">
        <v>0</v>
      </c>
      <c r="Q34" s="270">
        <v>0</v>
      </c>
      <c r="R34" s="270">
        <v>0</v>
      </c>
      <c r="S34" s="199">
        <v>0</v>
      </c>
      <c r="T34" s="211">
        <v>0</v>
      </c>
      <c r="U34" s="211">
        <v>0</v>
      </c>
      <c r="V34" s="211">
        <v>0</v>
      </c>
      <c r="W34" s="211">
        <v>0</v>
      </c>
      <c r="X34" s="211">
        <v>0</v>
      </c>
      <c r="Y34" s="211">
        <v>0</v>
      </c>
      <c r="Z34" s="200">
        <v>0.52</v>
      </c>
      <c r="AA34" s="187">
        <v>0.71</v>
      </c>
      <c r="AB34" s="193">
        <v>0.64</v>
      </c>
      <c r="AC34" s="191">
        <v>1.359</v>
      </c>
      <c r="AD34" s="191">
        <v>0.47399999999999998</v>
      </c>
      <c r="AE34" s="211">
        <v>0</v>
      </c>
      <c r="AF34" s="211">
        <v>0</v>
      </c>
    </row>
    <row r="35" spans="1:32" x14ac:dyDescent="0.2">
      <c r="A35" s="2" t="s">
        <v>727</v>
      </c>
      <c r="B35" s="262" t="s">
        <v>465</v>
      </c>
      <c r="C35" s="189">
        <f t="shared" ref="C35:Y35" si="4">SUM(C27:C31)</f>
        <v>0</v>
      </c>
      <c r="D35" s="189">
        <f t="shared" si="4"/>
        <v>0</v>
      </c>
      <c r="E35" s="189">
        <f t="shared" si="4"/>
        <v>0</v>
      </c>
      <c r="F35" s="189">
        <f>SUM(F27:F31)</f>
        <v>432.09399999999999</v>
      </c>
      <c r="G35" s="189">
        <f t="shared" si="4"/>
        <v>551.08050000000003</v>
      </c>
      <c r="H35" s="189">
        <f t="shared" si="4"/>
        <v>588.80349999999999</v>
      </c>
      <c r="I35" s="189">
        <f t="shared" si="4"/>
        <v>676.54</v>
      </c>
      <c r="J35" s="189">
        <f t="shared" si="4"/>
        <v>687.7</v>
      </c>
      <c r="K35" s="189">
        <f t="shared" si="4"/>
        <v>667.00900000000001</v>
      </c>
      <c r="L35" s="189">
        <f t="shared" si="4"/>
        <v>668.6</v>
      </c>
      <c r="M35" s="189">
        <f t="shared" si="4"/>
        <v>732</v>
      </c>
      <c r="N35" s="189">
        <f t="shared" si="4"/>
        <v>687.09999999999991</v>
      </c>
      <c r="O35" s="189">
        <f t="shared" si="4"/>
        <v>745.3</v>
      </c>
      <c r="P35" s="189">
        <f t="shared" si="4"/>
        <v>708.69999999999993</v>
      </c>
      <c r="Q35" s="189">
        <f t="shared" si="4"/>
        <v>760.53899999999999</v>
      </c>
      <c r="R35" s="189">
        <f t="shared" si="4"/>
        <v>795.58600000000001</v>
      </c>
      <c r="S35" s="189">
        <f t="shared" si="4"/>
        <v>634.13199999999995</v>
      </c>
      <c r="T35" s="189">
        <f t="shared" si="4"/>
        <v>636.5</v>
      </c>
      <c r="U35" s="189">
        <f t="shared" si="4"/>
        <v>625</v>
      </c>
      <c r="V35" s="189">
        <f t="shared" si="4"/>
        <v>615</v>
      </c>
      <c r="W35" s="189">
        <f t="shared" si="4"/>
        <v>811.3</v>
      </c>
      <c r="X35" s="189">
        <f t="shared" si="4"/>
        <v>777.11899999999991</v>
      </c>
      <c r="Y35" s="189">
        <f t="shared" si="4"/>
        <v>761.5</v>
      </c>
      <c r="Z35" s="189">
        <f t="shared" ref="Z35:AF35" si="5">SUM(Z27:Z34)</f>
        <v>741.99400000000003</v>
      </c>
      <c r="AA35" s="189">
        <f t="shared" si="5"/>
        <v>774.91</v>
      </c>
      <c r="AB35" s="189">
        <f t="shared" si="5"/>
        <v>776.1400000000001</v>
      </c>
      <c r="AC35" s="189">
        <f t="shared" si="5"/>
        <v>763.93899999999985</v>
      </c>
      <c r="AD35" s="189">
        <f t="shared" si="5"/>
        <v>776.75200000000007</v>
      </c>
      <c r="AE35" s="189">
        <f t="shared" si="5"/>
        <v>467.4</v>
      </c>
      <c r="AF35" s="189">
        <f t="shared" si="5"/>
        <v>622.70000000000005</v>
      </c>
    </row>
    <row r="36" spans="1:32" ht="35.25" customHeight="1" x14ac:dyDescent="0.2">
      <c r="A36" s="5" t="s">
        <v>460</v>
      </c>
      <c r="B36" s="263" t="s">
        <v>582</v>
      </c>
      <c r="C36" s="188">
        <v>0</v>
      </c>
      <c r="D36" s="188">
        <v>0</v>
      </c>
      <c r="E36" s="188">
        <v>0</v>
      </c>
      <c r="F36" s="188">
        <v>0</v>
      </c>
      <c r="G36" s="188">
        <v>0</v>
      </c>
      <c r="H36" s="188">
        <v>0</v>
      </c>
      <c r="I36" s="195">
        <v>22.119</v>
      </c>
      <c r="J36" s="195">
        <v>24.178999999999998</v>
      </c>
      <c r="K36" s="190">
        <v>12.616</v>
      </c>
      <c r="L36" s="190">
        <v>10.3</v>
      </c>
      <c r="M36" s="200">
        <v>13.4</v>
      </c>
      <c r="N36" s="200">
        <v>12.8</v>
      </c>
      <c r="O36" s="200">
        <v>9.6289999999999996</v>
      </c>
      <c r="P36" s="188">
        <v>0</v>
      </c>
      <c r="Q36" s="188">
        <v>0</v>
      </c>
      <c r="R36" s="188">
        <v>0</v>
      </c>
      <c r="S36" s="188">
        <v>0</v>
      </c>
      <c r="T36" s="188">
        <v>0</v>
      </c>
      <c r="U36" s="188">
        <v>0</v>
      </c>
      <c r="V36" s="188">
        <v>0</v>
      </c>
      <c r="W36" s="188">
        <v>0</v>
      </c>
      <c r="X36" s="188">
        <v>0</v>
      </c>
      <c r="Y36" s="188">
        <v>0</v>
      </c>
      <c r="Z36" s="188">
        <v>0</v>
      </c>
      <c r="AA36" s="188">
        <v>0</v>
      </c>
      <c r="AB36" s="188">
        <v>0</v>
      </c>
      <c r="AC36" s="188">
        <v>0</v>
      </c>
      <c r="AD36" s="188">
        <v>0</v>
      </c>
      <c r="AE36" s="188">
        <v>0</v>
      </c>
      <c r="AF36" s="188">
        <v>0</v>
      </c>
    </row>
    <row r="37" spans="1:32" ht="39" customHeight="1" x14ac:dyDescent="0.2">
      <c r="A37" s="161" t="s">
        <v>584</v>
      </c>
      <c r="B37" s="268" t="s">
        <v>583</v>
      </c>
      <c r="C37" s="186">
        <f>SUM(C5,C8,C13,C17,C18,C19,C25,C35)</f>
        <v>782.67399999999998</v>
      </c>
      <c r="D37" s="186">
        <f t="shared" ref="D37:AF37" si="6">SUM(D5,D8,D13,D17,D18,D19,D25,D35)</f>
        <v>852.22199999999998</v>
      </c>
      <c r="E37" s="186">
        <f t="shared" si="6"/>
        <v>957.18599999999992</v>
      </c>
      <c r="F37" s="186">
        <f t="shared" si="6"/>
        <v>1551.7865000000002</v>
      </c>
      <c r="G37" s="186">
        <f t="shared" si="6"/>
        <v>1807.2845</v>
      </c>
      <c r="H37" s="186">
        <f t="shared" si="6"/>
        <v>1881.1145000000001</v>
      </c>
      <c r="I37" s="186">
        <f t="shared" si="6"/>
        <v>1960.1859999999999</v>
      </c>
      <c r="J37" s="186">
        <f t="shared" si="6"/>
        <v>2271.3829999999998</v>
      </c>
      <c r="K37" s="186">
        <f t="shared" si="6"/>
        <v>2289.2689999999998</v>
      </c>
      <c r="L37" s="186">
        <f t="shared" si="6"/>
        <v>2427</v>
      </c>
      <c r="M37" s="186">
        <f t="shared" si="6"/>
        <v>2522.931</v>
      </c>
      <c r="N37" s="186">
        <f t="shared" si="6"/>
        <v>2617.4070000000002</v>
      </c>
      <c r="O37" s="186">
        <f t="shared" si="6"/>
        <v>2683.6559999999999</v>
      </c>
      <c r="P37" s="186">
        <f t="shared" si="6"/>
        <v>2668.2889999999998</v>
      </c>
      <c r="Q37" s="186">
        <f t="shared" si="6"/>
        <v>2758.8159999999998</v>
      </c>
      <c r="R37" s="186">
        <f t="shared" si="6"/>
        <v>2820.0860000000002</v>
      </c>
      <c r="S37" s="186">
        <f t="shared" si="6"/>
        <v>2620.5619999999999</v>
      </c>
      <c r="T37" s="186">
        <f t="shared" si="6"/>
        <v>2666.8340000000003</v>
      </c>
      <c r="U37" s="186">
        <f t="shared" si="6"/>
        <v>2475.6460000000002</v>
      </c>
      <c r="V37" s="186">
        <f t="shared" si="6"/>
        <v>2484.86</v>
      </c>
      <c r="W37" s="186">
        <f t="shared" si="6"/>
        <v>2738.1399999999994</v>
      </c>
      <c r="X37" s="186">
        <f t="shared" si="6"/>
        <v>2653.9189999999999</v>
      </c>
      <c r="Y37" s="186">
        <f t="shared" si="6"/>
        <v>2631.6000000000004</v>
      </c>
      <c r="Z37" s="186">
        <f t="shared" si="6"/>
        <v>2594.2939999999999</v>
      </c>
      <c r="AA37" s="186">
        <f t="shared" si="6"/>
        <v>2659.01</v>
      </c>
      <c r="AB37" s="186">
        <f t="shared" si="6"/>
        <v>2655.04</v>
      </c>
      <c r="AC37" s="186">
        <f t="shared" si="6"/>
        <v>2665.6390000000001</v>
      </c>
      <c r="AD37" s="186">
        <f t="shared" si="6"/>
        <v>2622.6759999999995</v>
      </c>
      <c r="AE37" s="186">
        <f t="shared" si="6"/>
        <v>1583.8610000000003</v>
      </c>
      <c r="AF37" s="186">
        <f t="shared" si="6"/>
        <v>2082.1999999999998</v>
      </c>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28"/>
  <sheetViews>
    <sheetView zoomScaleNormal="100" workbookViewId="0">
      <pane xSplit="2" ySplit="4" topLeftCell="V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28.21875" style="6" customWidth="1"/>
    <col min="2" max="2" width="25.6640625" style="6" customWidth="1"/>
    <col min="3" max="31" width="8" style="6" customWidth="1"/>
    <col min="32" max="16384" width="8.88671875" style="6"/>
  </cols>
  <sheetData>
    <row r="1" spans="1:32" s="5" customFormat="1" ht="15.75" x14ac:dyDescent="0.25">
      <c r="A1" s="1" t="s">
        <v>831</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506</v>
      </c>
      <c r="K3" s="2"/>
      <c r="L3" s="3"/>
      <c r="M3" s="4"/>
      <c r="N3" s="4"/>
      <c r="O3" s="2"/>
    </row>
    <row r="4" spans="1:32" s="260" customFormat="1" ht="31.5" x14ac:dyDescent="0.25">
      <c r="A4" s="259" t="s">
        <v>453</v>
      </c>
      <c r="B4" s="259" t="s">
        <v>487</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484</v>
      </c>
      <c r="AF4" s="245" t="s">
        <v>854</v>
      </c>
    </row>
    <row r="5" spans="1:32" x14ac:dyDescent="0.2">
      <c r="A5" s="117" t="s">
        <v>730</v>
      </c>
      <c r="B5" s="262" t="s">
        <v>567</v>
      </c>
      <c r="C5" s="189">
        <v>346.6</v>
      </c>
      <c r="D5" s="189">
        <v>358.1</v>
      </c>
      <c r="E5" s="189">
        <v>387.5</v>
      </c>
      <c r="F5" s="189">
        <v>415</v>
      </c>
      <c r="G5" s="189">
        <v>422.2</v>
      </c>
      <c r="H5" s="189">
        <v>408.8</v>
      </c>
      <c r="I5" s="189">
        <v>419.5</v>
      </c>
      <c r="J5" s="202">
        <v>438.1</v>
      </c>
      <c r="K5" s="202">
        <v>451.1</v>
      </c>
      <c r="L5" s="202">
        <v>482.1</v>
      </c>
      <c r="M5" s="201">
        <v>504.1</v>
      </c>
      <c r="N5" s="203">
        <v>549.16399999999999</v>
      </c>
      <c r="O5" s="203">
        <v>553.4</v>
      </c>
      <c r="P5" s="203">
        <v>571.5</v>
      </c>
      <c r="Q5" s="203">
        <v>577.79999999999995</v>
      </c>
      <c r="R5" s="203">
        <v>602</v>
      </c>
      <c r="S5" s="203">
        <v>588</v>
      </c>
      <c r="T5" s="203">
        <v>584</v>
      </c>
      <c r="U5" s="203">
        <v>564.20000000000005</v>
      </c>
      <c r="V5" s="202">
        <v>577.9</v>
      </c>
      <c r="W5" s="202">
        <v>605.5</v>
      </c>
      <c r="X5" s="202">
        <v>578.5</v>
      </c>
      <c r="Y5" s="203">
        <v>590</v>
      </c>
      <c r="Z5" s="203">
        <v>599.6</v>
      </c>
      <c r="AA5" s="204">
        <v>608</v>
      </c>
      <c r="AB5" s="204">
        <v>621.79999999999995</v>
      </c>
      <c r="AC5" s="202">
        <v>634.29999999999995</v>
      </c>
      <c r="AD5" s="202">
        <v>632.70000000000005</v>
      </c>
      <c r="AE5" s="202">
        <v>438.5</v>
      </c>
      <c r="AF5" s="251">
        <v>539.5</v>
      </c>
    </row>
    <row r="6" spans="1:32" ht="37.5" customHeight="1" x14ac:dyDescent="0.2">
      <c r="A6" s="187" t="s">
        <v>457</v>
      </c>
      <c r="B6" s="262" t="s">
        <v>568</v>
      </c>
      <c r="C6" s="205">
        <v>0</v>
      </c>
      <c r="D6" s="205">
        <v>0</v>
      </c>
      <c r="E6" s="205">
        <v>0</v>
      </c>
      <c r="F6" s="205">
        <v>0</v>
      </c>
      <c r="G6" s="189">
        <v>18.600000000000001</v>
      </c>
      <c r="H6" s="189">
        <v>17.600000000000001</v>
      </c>
      <c r="I6" s="189">
        <v>20.100000000000001</v>
      </c>
      <c r="J6" s="189">
        <v>19.3</v>
      </c>
      <c r="K6" s="189">
        <v>19.7</v>
      </c>
      <c r="L6" s="189">
        <v>20.893999999999998</v>
      </c>
      <c r="M6" s="195">
        <v>21.2</v>
      </c>
      <c r="N6" s="195">
        <v>21.032</v>
      </c>
      <c r="O6" s="195">
        <v>21.937999999999999</v>
      </c>
      <c r="P6" s="195">
        <v>23.8</v>
      </c>
      <c r="Q6" s="195">
        <v>23.9</v>
      </c>
      <c r="R6" s="195">
        <v>24</v>
      </c>
      <c r="S6" s="195">
        <v>23.9</v>
      </c>
      <c r="T6" s="195">
        <v>26.5</v>
      </c>
      <c r="U6" s="195">
        <v>23.9</v>
      </c>
      <c r="V6" s="195">
        <v>22.8</v>
      </c>
      <c r="W6" s="202">
        <v>22.5</v>
      </c>
      <c r="X6" s="202">
        <v>22.2</v>
      </c>
      <c r="Y6" s="201">
        <v>23.7</v>
      </c>
      <c r="Z6" s="201">
        <v>23.5</v>
      </c>
      <c r="AA6" s="202">
        <v>25.9</v>
      </c>
      <c r="AB6" s="201">
        <v>27.3</v>
      </c>
      <c r="AC6" s="202">
        <v>26.7</v>
      </c>
      <c r="AD6" s="202">
        <v>27.3</v>
      </c>
      <c r="AE6" s="202">
        <v>17.7</v>
      </c>
      <c r="AF6" s="251">
        <v>27</v>
      </c>
    </row>
    <row r="7" spans="1:32" x14ac:dyDescent="0.2">
      <c r="A7" s="187" t="s">
        <v>457</v>
      </c>
      <c r="B7" s="262" t="s">
        <v>752</v>
      </c>
      <c r="C7" s="205">
        <v>0</v>
      </c>
      <c r="D7" s="205">
        <v>0</v>
      </c>
      <c r="E7" s="205">
        <v>0</v>
      </c>
      <c r="F7" s="205">
        <v>0</v>
      </c>
      <c r="G7" s="205">
        <v>0</v>
      </c>
      <c r="H7" s="205">
        <v>0</v>
      </c>
      <c r="I7" s="205">
        <v>0</v>
      </c>
      <c r="J7" s="205">
        <v>0</v>
      </c>
      <c r="K7" s="189">
        <v>25</v>
      </c>
      <c r="L7" s="189">
        <v>21</v>
      </c>
      <c r="M7" s="195">
        <v>9.1999999999999993</v>
      </c>
      <c r="N7" s="195">
        <v>14.337</v>
      </c>
      <c r="O7" s="195">
        <v>8.7810000000000006</v>
      </c>
      <c r="P7" s="195">
        <v>16.3</v>
      </c>
      <c r="Q7" s="195">
        <v>10.9</v>
      </c>
      <c r="R7" s="195">
        <v>7.6</v>
      </c>
      <c r="S7" s="195">
        <v>7.7</v>
      </c>
      <c r="T7" s="195">
        <v>7.2</v>
      </c>
      <c r="U7" s="195">
        <v>7</v>
      </c>
      <c r="V7" s="195">
        <v>7.1</v>
      </c>
      <c r="W7" s="202">
        <v>7.2</v>
      </c>
      <c r="X7" s="202">
        <v>5.8</v>
      </c>
      <c r="Y7" s="201">
        <v>5.6</v>
      </c>
      <c r="Z7" s="201">
        <v>7.4</v>
      </c>
      <c r="AA7" s="202">
        <v>11.3</v>
      </c>
      <c r="AB7" s="201">
        <v>8.3000000000000007</v>
      </c>
      <c r="AC7" s="202">
        <v>8.6</v>
      </c>
      <c r="AD7" s="202">
        <v>9.4</v>
      </c>
      <c r="AE7" s="202">
        <v>10.3</v>
      </c>
      <c r="AF7" s="251">
        <v>17</v>
      </c>
    </row>
    <row r="8" spans="1:32" x14ac:dyDescent="0.2">
      <c r="A8" s="187" t="s">
        <v>457</v>
      </c>
      <c r="B8" s="262" t="s">
        <v>465</v>
      </c>
      <c r="C8" s="189">
        <f t="shared" ref="C8:AF8" si="0">SUM(C6:C7)</f>
        <v>0</v>
      </c>
      <c r="D8" s="189">
        <f t="shared" si="0"/>
        <v>0</v>
      </c>
      <c r="E8" s="189">
        <f t="shared" si="0"/>
        <v>0</v>
      </c>
      <c r="F8" s="189">
        <f t="shared" si="0"/>
        <v>0</v>
      </c>
      <c r="G8" s="189">
        <f t="shared" si="0"/>
        <v>18.600000000000001</v>
      </c>
      <c r="H8" s="189">
        <f t="shared" si="0"/>
        <v>17.600000000000001</v>
      </c>
      <c r="I8" s="189">
        <f t="shared" si="0"/>
        <v>20.100000000000001</v>
      </c>
      <c r="J8" s="189">
        <f t="shared" si="0"/>
        <v>19.3</v>
      </c>
      <c r="K8" s="189">
        <f t="shared" si="0"/>
        <v>44.7</v>
      </c>
      <c r="L8" s="189">
        <f t="shared" si="0"/>
        <v>41.893999999999998</v>
      </c>
      <c r="M8" s="189">
        <f t="shared" si="0"/>
        <v>30.4</v>
      </c>
      <c r="N8" s="189">
        <f t="shared" si="0"/>
        <v>35.369</v>
      </c>
      <c r="O8" s="189">
        <f t="shared" si="0"/>
        <v>30.719000000000001</v>
      </c>
      <c r="P8" s="189">
        <f t="shared" si="0"/>
        <v>40.1</v>
      </c>
      <c r="Q8" s="189">
        <f t="shared" si="0"/>
        <v>34.799999999999997</v>
      </c>
      <c r="R8" s="189">
        <f t="shared" si="0"/>
        <v>31.6</v>
      </c>
      <c r="S8" s="189">
        <f t="shared" si="0"/>
        <v>31.599999999999998</v>
      </c>
      <c r="T8" s="189">
        <f t="shared" si="0"/>
        <v>33.700000000000003</v>
      </c>
      <c r="U8" s="189">
        <f t="shared" si="0"/>
        <v>30.9</v>
      </c>
      <c r="V8" s="189">
        <f t="shared" si="0"/>
        <v>29.9</v>
      </c>
      <c r="W8" s="189">
        <f t="shared" si="0"/>
        <v>29.7</v>
      </c>
      <c r="X8" s="189">
        <f t="shared" si="0"/>
        <v>28</v>
      </c>
      <c r="Y8" s="189">
        <f t="shared" si="0"/>
        <v>29.299999999999997</v>
      </c>
      <c r="Z8" s="189">
        <f t="shared" si="0"/>
        <v>30.9</v>
      </c>
      <c r="AA8" s="189">
        <f t="shared" si="0"/>
        <v>37.200000000000003</v>
      </c>
      <c r="AB8" s="189">
        <f t="shared" si="0"/>
        <v>35.6</v>
      </c>
      <c r="AC8" s="189">
        <f t="shared" si="0"/>
        <v>35.299999999999997</v>
      </c>
      <c r="AD8" s="189">
        <f t="shared" si="0"/>
        <v>36.700000000000003</v>
      </c>
      <c r="AE8" s="189">
        <f t="shared" si="0"/>
        <v>28</v>
      </c>
      <c r="AF8" s="189">
        <f t="shared" si="0"/>
        <v>44</v>
      </c>
    </row>
    <row r="9" spans="1:32" ht="33" customHeight="1" x14ac:dyDescent="0.2">
      <c r="A9" s="187" t="s">
        <v>507</v>
      </c>
      <c r="B9" s="262" t="s">
        <v>569</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row>
    <row r="10" spans="1:32" x14ac:dyDescent="0.2">
      <c r="A10" s="187" t="s">
        <v>507</v>
      </c>
      <c r="B10" s="262" t="s">
        <v>861</v>
      </c>
      <c r="C10" s="189">
        <v>179</v>
      </c>
      <c r="D10" s="189">
        <v>198.8</v>
      </c>
      <c r="E10" s="189">
        <v>199.2</v>
      </c>
      <c r="F10" s="189">
        <v>211.9</v>
      </c>
      <c r="G10" s="189">
        <v>223.1</v>
      </c>
      <c r="H10" s="189">
        <v>222.6</v>
      </c>
      <c r="I10" s="189">
        <v>219.5</v>
      </c>
      <c r="J10" s="202">
        <v>215.5</v>
      </c>
      <c r="K10" s="202">
        <v>211.2</v>
      </c>
      <c r="L10" s="202">
        <v>212.8</v>
      </c>
      <c r="M10" s="203">
        <v>235.404</v>
      </c>
      <c r="N10" s="203">
        <v>247.5</v>
      </c>
      <c r="O10" s="206">
        <v>254.93199999999999</v>
      </c>
      <c r="P10" s="206">
        <v>247.6</v>
      </c>
      <c r="Q10" s="206">
        <v>234.2</v>
      </c>
      <c r="R10" s="206">
        <v>252.4</v>
      </c>
      <c r="S10" s="195">
        <v>245</v>
      </c>
      <c r="T10" s="195">
        <v>249.4</v>
      </c>
      <c r="U10" s="195">
        <v>221.4</v>
      </c>
      <c r="V10" s="195">
        <v>241.95</v>
      </c>
      <c r="W10" s="202">
        <v>238.5</v>
      </c>
      <c r="X10" s="202">
        <v>234.7</v>
      </c>
      <c r="Y10" s="201">
        <v>247.4</v>
      </c>
      <c r="Z10" s="201">
        <v>247.2</v>
      </c>
      <c r="AA10" s="204">
        <v>251</v>
      </c>
      <c r="AB10" s="201">
        <v>257.5</v>
      </c>
      <c r="AC10" s="202">
        <v>261.10000000000002</v>
      </c>
      <c r="AD10" s="204">
        <v>265.84899999999999</v>
      </c>
      <c r="AE10" s="207">
        <v>120</v>
      </c>
      <c r="AF10" s="246">
        <v>190</v>
      </c>
    </row>
    <row r="11" spans="1:32" x14ac:dyDescent="0.2">
      <c r="A11" s="187" t="s">
        <v>507</v>
      </c>
      <c r="B11" s="263" t="s">
        <v>465</v>
      </c>
      <c r="C11" s="188">
        <f>SUM(C9:C10)</f>
        <v>179</v>
      </c>
      <c r="D11" s="188">
        <f t="shared" ref="D11:AF11" si="1">SUM(D9:D10)</f>
        <v>198.8</v>
      </c>
      <c r="E11" s="188">
        <f t="shared" si="1"/>
        <v>199.2</v>
      </c>
      <c r="F11" s="188">
        <f t="shared" si="1"/>
        <v>211.9</v>
      </c>
      <c r="G11" s="188">
        <f t="shared" si="1"/>
        <v>223.1</v>
      </c>
      <c r="H11" s="188">
        <f t="shared" si="1"/>
        <v>222.6</v>
      </c>
      <c r="I11" s="188">
        <f t="shared" si="1"/>
        <v>219.5</v>
      </c>
      <c r="J11" s="188">
        <f t="shared" si="1"/>
        <v>215.5</v>
      </c>
      <c r="K11" s="188">
        <f t="shared" si="1"/>
        <v>211.2</v>
      </c>
      <c r="L11" s="188">
        <f t="shared" si="1"/>
        <v>212.8</v>
      </c>
      <c r="M11" s="188">
        <f t="shared" si="1"/>
        <v>235.404</v>
      </c>
      <c r="N11" s="188">
        <f t="shared" si="1"/>
        <v>247.5</v>
      </c>
      <c r="O11" s="188">
        <f t="shared" si="1"/>
        <v>254.93199999999999</v>
      </c>
      <c r="P11" s="188">
        <f t="shared" si="1"/>
        <v>247.6</v>
      </c>
      <c r="Q11" s="188">
        <f t="shared" si="1"/>
        <v>234.2</v>
      </c>
      <c r="R11" s="188">
        <f t="shared" si="1"/>
        <v>252.4</v>
      </c>
      <c r="S11" s="188">
        <f t="shared" si="1"/>
        <v>245</v>
      </c>
      <c r="T11" s="188">
        <f t="shared" si="1"/>
        <v>249.4</v>
      </c>
      <c r="U11" s="188">
        <f t="shared" si="1"/>
        <v>221.4</v>
      </c>
      <c r="V11" s="188">
        <f t="shared" si="1"/>
        <v>241.95</v>
      </c>
      <c r="W11" s="188">
        <f t="shared" si="1"/>
        <v>238.5</v>
      </c>
      <c r="X11" s="188">
        <f t="shared" si="1"/>
        <v>234.7</v>
      </c>
      <c r="Y11" s="188">
        <f t="shared" si="1"/>
        <v>247.4</v>
      </c>
      <c r="Z11" s="188">
        <f t="shared" si="1"/>
        <v>247.2</v>
      </c>
      <c r="AA11" s="188">
        <f t="shared" si="1"/>
        <v>251</v>
      </c>
      <c r="AB11" s="188">
        <f t="shared" si="1"/>
        <v>257.5</v>
      </c>
      <c r="AC11" s="188">
        <f t="shared" si="1"/>
        <v>261.10000000000002</v>
      </c>
      <c r="AD11" s="188">
        <f t="shared" si="1"/>
        <v>265.84899999999999</v>
      </c>
      <c r="AE11" s="188">
        <f t="shared" si="1"/>
        <v>120</v>
      </c>
      <c r="AF11" s="188">
        <f t="shared" si="1"/>
        <v>190</v>
      </c>
    </row>
    <row r="12" spans="1:32" ht="54" customHeight="1" x14ac:dyDescent="0.2">
      <c r="A12" s="2" t="s">
        <v>728</v>
      </c>
      <c r="B12" s="262" t="s">
        <v>572</v>
      </c>
      <c r="C12" s="189">
        <v>10.6</v>
      </c>
      <c r="D12" s="189">
        <v>10.8</v>
      </c>
      <c r="E12" s="189">
        <v>13.6</v>
      </c>
      <c r="F12" s="189">
        <v>16</v>
      </c>
      <c r="G12" s="189">
        <v>15.7</v>
      </c>
      <c r="H12" s="189">
        <v>17.3</v>
      </c>
      <c r="I12" s="189">
        <v>18.3</v>
      </c>
      <c r="J12" s="202">
        <v>18.399999999999999</v>
      </c>
      <c r="K12" s="208">
        <v>18.2</v>
      </c>
      <c r="L12" s="208">
        <v>18.8</v>
      </c>
      <c r="M12" s="209">
        <v>19</v>
      </c>
      <c r="N12" s="209">
        <v>21</v>
      </c>
      <c r="O12" s="209">
        <v>21.4</v>
      </c>
      <c r="P12" s="209">
        <v>20.704000000000001</v>
      </c>
      <c r="Q12" s="209">
        <v>21</v>
      </c>
      <c r="R12" s="209">
        <v>20.6</v>
      </c>
      <c r="S12" s="209">
        <v>18.2</v>
      </c>
      <c r="T12" s="209">
        <v>19.321999999999999</v>
      </c>
      <c r="U12" s="209">
        <v>19</v>
      </c>
      <c r="V12" s="209">
        <v>17.82</v>
      </c>
      <c r="W12" s="202">
        <v>15.9</v>
      </c>
      <c r="X12" s="202">
        <v>15.6</v>
      </c>
      <c r="Y12" s="201">
        <v>14.8</v>
      </c>
      <c r="Z12" s="201">
        <v>15.4</v>
      </c>
      <c r="AA12" s="202">
        <v>16.2</v>
      </c>
      <c r="AB12" s="201">
        <v>17.600000000000001</v>
      </c>
      <c r="AC12" s="202">
        <v>17.399999999999999</v>
      </c>
      <c r="AD12" s="202">
        <v>20.3</v>
      </c>
      <c r="AE12" s="204">
        <v>11.605</v>
      </c>
      <c r="AF12" s="251">
        <v>17.7</v>
      </c>
    </row>
    <row r="13" spans="1:32" x14ac:dyDescent="0.2">
      <c r="A13" s="2" t="s">
        <v>728</v>
      </c>
      <c r="B13" s="262" t="s">
        <v>573</v>
      </c>
      <c r="C13" s="210">
        <v>7.4</v>
      </c>
      <c r="D13" s="210">
        <v>8.5</v>
      </c>
      <c r="E13" s="210">
        <v>9.1</v>
      </c>
      <c r="F13" s="210">
        <v>10.199999999999999</v>
      </c>
      <c r="G13" s="210">
        <v>10.6</v>
      </c>
      <c r="H13" s="210">
        <v>9.6999999999999993</v>
      </c>
      <c r="I13" s="210">
        <v>9.1</v>
      </c>
      <c r="J13" s="202">
        <v>10.9</v>
      </c>
      <c r="K13" s="208">
        <v>9.5</v>
      </c>
      <c r="L13" s="208">
        <v>10.7</v>
      </c>
      <c r="M13" s="209">
        <v>9.9</v>
      </c>
      <c r="N13" s="209">
        <v>10.1</v>
      </c>
      <c r="O13" s="209">
        <v>10.199999999999999</v>
      </c>
      <c r="P13" s="209">
        <v>10.406000000000001</v>
      </c>
      <c r="Q13" s="209">
        <v>10</v>
      </c>
      <c r="R13" s="209">
        <v>9.6999999999999993</v>
      </c>
      <c r="S13" s="209">
        <v>9.1999999999999993</v>
      </c>
      <c r="T13" s="209">
        <v>9.8439999999999994</v>
      </c>
      <c r="U13" s="209">
        <v>10.199999999999999</v>
      </c>
      <c r="V13" s="209">
        <v>9.09</v>
      </c>
      <c r="W13" s="202">
        <v>10.4</v>
      </c>
      <c r="X13" s="202">
        <v>9.4</v>
      </c>
      <c r="Y13" s="201">
        <v>10.7</v>
      </c>
      <c r="Z13" s="201">
        <v>10.199999999999999</v>
      </c>
      <c r="AA13" s="202">
        <v>8.8000000000000007</v>
      </c>
      <c r="AB13" s="201">
        <v>9.43</v>
      </c>
      <c r="AC13" s="202">
        <v>10.6</v>
      </c>
      <c r="AD13" s="202">
        <v>10.5</v>
      </c>
      <c r="AE13" s="204">
        <v>6.516</v>
      </c>
      <c r="AF13" s="251">
        <v>9.4</v>
      </c>
    </row>
    <row r="14" spans="1:32" x14ac:dyDescent="0.2">
      <c r="A14" s="2" t="s">
        <v>728</v>
      </c>
      <c r="B14" s="262" t="s">
        <v>574</v>
      </c>
      <c r="C14" s="189">
        <v>3.1</v>
      </c>
      <c r="D14" s="189">
        <v>4</v>
      </c>
      <c r="E14" s="189">
        <v>4.8</v>
      </c>
      <c r="F14" s="189">
        <v>5</v>
      </c>
      <c r="G14" s="189">
        <v>5</v>
      </c>
      <c r="H14" s="189">
        <v>5.3</v>
      </c>
      <c r="I14" s="189">
        <v>6.2</v>
      </c>
      <c r="J14" s="202">
        <v>7.6</v>
      </c>
      <c r="K14" s="208">
        <v>7.4</v>
      </c>
      <c r="L14" s="208">
        <v>7.5</v>
      </c>
      <c r="M14" s="209">
        <v>7.7</v>
      </c>
      <c r="N14" s="209">
        <v>7.4</v>
      </c>
      <c r="O14" s="209">
        <v>7.5</v>
      </c>
      <c r="P14" s="209">
        <v>7.4349999999999996</v>
      </c>
      <c r="Q14" s="209">
        <v>7.9</v>
      </c>
      <c r="R14" s="209">
        <v>8</v>
      </c>
      <c r="S14" s="209">
        <v>8</v>
      </c>
      <c r="T14" s="209">
        <v>7.7709999999999999</v>
      </c>
      <c r="U14" s="209">
        <v>7.5</v>
      </c>
      <c r="V14" s="209">
        <v>7.24</v>
      </c>
      <c r="W14" s="202">
        <v>8</v>
      </c>
      <c r="X14" s="202">
        <v>7.8</v>
      </c>
      <c r="Y14" s="201">
        <v>8.1</v>
      </c>
      <c r="Z14" s="203">
        <v>8</v>
      </c>
      <c r="AA14" s="202">
        <v>7.9</v>
      </c>
      <c r="AB14" s="201">
        <v>8.1999999999999993</v>
      </c>
      <c r="AC14" s="202">
        <v>8.5</v>
      </c>
      <c r="AD14" s="202">
        <v>8.8000000000000007</v>
      </c>
      <c r="AE14" s="204">
        <v>5.726</v>
      </c>
      <c r="AF14" s="251">
        <v>7.4</v>
      </c>
    </row>
    <row r="15" spans="1:32" x14ac:dyDescent="0.2">
      <c r="A15" s="2" t="s">
        <v>728</v>
      </c>
      <c r="B15" s="262" t="s">
        <v>575</v>
      </c>
      <c r="C15" s="205">
        <v>0</v>
      </c>
      <c r="D15" s="189">
        <v>9.4</v>
      </c>
      <c r="E15" s="189">
        <v>12.6</v>
      </c>
      <c r="F15" s="189">
        <v>13.2</v>
      </c>
      <c r="G15" s="189">
        <v>14.2</v>
      </c>
      <c r="H15" s="189">
        <v>15.4</v>
      </c>
      <c r="I15" s="189">
        <v>16.100000000000001</v>
      </c>
      <c r="J15" s="202">
        <v>16.399999999999999</v>
      </c>
      <c r="K15" s="208">
        <v>16.3</v>
      </c>
      <c r="L15" s="208">
        <v>17.399999999999999</v>
      </c>
      <c r="M15" s="209">
        <v>19.7</v>
      </c>
      <c r="N15" s="209">
        <v>21.1</v>
      </c>
      <c r="O15" s="209">
        <v>21.2</v>
      </c>
      <c r="P15" s="209">
        <v>21.100999999999999</v>
      </c>
      <c r="Q15" s="209">
        <v>21</v>
      </c>
      <c r="R15" s="209">
        <v>20.100000000000001</v>
      </c>
      <c r="S15" s="209">
        <v>20.9</v>
      </c>
      <c r="T15" s="209">
        <v>21.084</v>
      </c>
      <c r="U15" s="209">
        <v>21.4</v>
      </c>
      <c r="V15" s="209">
        <v>21.33</v>
      </c>
      <c r="W15" s="202">
        <v>20.8</v>
      </c>
      <c r="X15" s="202">
        <v>19.5</v>
      </c>
      <c r="Y15" s="201">
        <v>20.399999999999999</v>
      </c>
      <c r="Z15" s="201">
        <v>21.1</v>
      </c>
      <c r="AA15" s="202">
        <v>22.7</v>
      </c>
      <c r="AB15" s="201">
        <v>22.5</v>
      </c>
      <c r="AC15" s="202">
        <v>22.9</v>
      </c>
      <c r="AD15" s="202">
        <v>23.4</v>
      </c>
      <c r="AE15" s="204">
        <v>12.071999999999999</v>
      </c>
      <c r="AF15" s="251">
        <v>16.5</v>
      </c>
    </row>
    <row r="16" spans="1:32" x14ac:dyDescent="0.2">
      <c r="A16" s="2" t="s">
        <v>728</v>
      </c>
      <c r="B16" s="262" t="s">
        <v>465</v>
      </c>
      <c r="C16" s="189">
        <f t="shared" ref="C16:AF16" si="2">SUM(C12:C15)</f>
        <v>21.1</v>
      </c>
      <c r="D16" s="189">
        <f t="shared" si="2"/>
        <v>32.700000000000003</v>
      </c>
      <c r="E16" s="189">
        <f t="shared" si="2"/>
        <v>40.1</v>
      </c>
      <c r="F16" s="189">
        <f t="shared" si="2"/>
        <v>44.4</v>
      </c>
      <c r="G16" s="189">
        <f t="shared" si="2"/>
        <v>45.5</v>
      </c>
      <c r="H16" s="189">
        <f t="shared" si="2"/>
        <v>47.699999999999996</v>
      </c>
      <c r="I16" s="189">
        <f t="shared" si="2"/>
        <v>49.7</v>
      </c>
      <c r="J16" s="189">
        <f t="shared" si="2"/>
        <v>53.3</v>
      </c>
      <c r="K16" s="189">
        <f t="shared" si="2"/>
        <v>51.400000000000006</v>
      </c>
      <c r="L16" s="189">
        <f t="shared" si="2"/>
        <v>54.4</v>
      </c>
      <c r="M16" s="189">
        <f t="shared" si="2"/>
        <v>56.3</v>
      </c>
      <c r="N16" s="189">
        <f t="shared" si="2"/>
        <v>59.6</v>
      </c>
      <c r="O16" s="189">
        <f t="shared" si="2"/>
        <v>60.3</v>
      </c>
      <c r="P16" s="189">
        <f t="shared" si="2"/>
        <v>59.646000000000001</v>
      </c>
      <c r="Q16" s="189">
        <f t="shared" si="2"/>
        <v>59.9</v>
      </c>
      <c r="R16" s="189">
        <f t="shared" si="2"/>
        <v>58.4</v>
      </c>
      <c r="S16" s="189">
        <f t="shared" si="2"/>
        <v>56.3</v>
      </c>
      <c r="T16" s="189">
        <f t="shared" si="2"/>
        <v>58.021000000000001</v>
      </c>
      <c r="U16" s="189">
        <f t="shared" si="2"/>
        <v>58.1</v>
      </c>
      <c r="V16" s="189">
        <f t="shared" si="2"/>
        <v>55.48</v>
      </c>
      <c r="W16" s="189">
        <f t="shared" si="2"/>
        <v>55.099999999999994</v>
      </c>
      <c r="X16" s="189">
        <f t="shared" si="2"/>
        <v>52.3</v>
      </c>
      <c r="Y16" s="189">
        <f t="shared" si="2"/>
        <v>54</v>
      </c>
      <c r="Z16" s="189">
        <f t="shared" si="2"/>
        <v>54.7</v>
      </c>
      <c r="AA16" s="189">
        <f t="shared" si="2"/>
        <v>55.599999999999994</v>
      </c>
      <c r="AB16" s="189">
        <f t="shared" si="2"/>
        <v>57.730000000000004</v>
      </c>
      <c r="AC16" s="189">
        <f t="shared" si="2"/>
        <v>59.4</v>
      </c>
      <c r="AD16" s="189">
        <f t="shared" si="2"/>
        <v>63</v>
      </c>
      <c r="AE16" s="189">
        <f t="shared" si="2"/>
        <v>35.918999999999997</v>
      </c>
      <c r="AF16" s="189">
        <f t="shared" si="2"/>
        <v>51</v>
      </c>
    </row>
    <row r="17" spans="1:32" ht="39.75" customHeight="1" x14ac:dyDescent="0.2">
      <c r="A17" s="161" t="s">
        <v>585</v>
      </c>
      <c r="B17" s="264" t="s">
        <v>586</v>
      </c>
      <c r="C17" s="129">
        <v>1</v>
      </c>
      <c r="D17" s="129">
        <v>1.5</v>
      </c>
      <c r="E17" s="129">
        <v>1.5</v>
      </c>
      <c r="F17" s="129">
        <v>1.3</v>
      </c>
      <c r="G17" s="129">
        <v>1.1000000000000001</v>
      </c>
      <c r="H17" s="129">
        <v>1.1000000000000001</v>
      </c>
      <c r="I17" s="129">
        <v>1.2</v>
      </c>
      <c r="J17" s="129">
        <v>1.1000000000000001</v>
      </c>
      <c r="K17" s="117">
        <v>0.9</v>
      </c>
      <c r="L17" s="117">
        <v>0.2</v>
      </c>
      <c r="M17" s="164" t="s">
        <v>46</v>
      </c>
      <c r="N17" s="164" t="s">
        <v>46</v>
      </c>
      <c r="O17" s="164" t="s">
        <v>46</v>
      </c>
      <c r="P17" s="164" t="s">
        <v>46</v>
      </c>
      <c r="Q17" s="164" t="s">
        <v>46</v>
      </c>
      <c r="R17" s="164" t="s">
        <v>46</v>
      </c>
      <c r="S17" s="164" t="s">
        <v>46</v>
      </c>
      <c r="T17" s="164" t="s">
        <v>46</v>
      </c>
      <c r="U17" s="164" t="s">
        <v>46</v>
      </c>
      <c r="V17" s="164" t="s">
        <v>46</v>
      </c>
      <c r="W17" s="164" t="s">
        <v>46</v>
      </c>
      <c r="X17" s="117"/>
      <c r="Y17" s="117"/>
      <c r="Z17" s="117"/>
      <c r="AA17" s="117"/>
      <c r="AB17" s="117"/>
      <c r="AC17" s="117"/>
      <c r="AD17" s="117"/>
      <c r="AE17" s="117"/>
      <c r="AF17" s="246"/>
    </row>
    <row r="18" spans="1:32" ht="33" customHeight="1" x14ac:dyDescent="0.2">
      <c r="A18" s="2" t="s">
        <v>727</v>
      </c>
      <c r="B18" s="263" t="s">
        <v>577</v>
      </c>
      <c r="C18" s="205">
        <v>0</v>
      </c>
      <c r="D18" s="205">
        <v>0</v>
      </c>
      <c r="E18" s="205">
        <v>0</v>
      </c>
      <c r="F18" s="208">
        <v>36.756999999999998</v>
      </c>
      <c r="G18" s="208">
        <v>56.357999999999997</v>
      </c>
      <c r="H18" s="208">
        <v>57.512999999999998</v>
      </c>
      <c r="I18" s="208">
        <v>52.331000000000003</v>
      </c>
      <c r="J18" s="202">
        <v>49.1</v>
      </c>
      <c r="K18" s="208">
        <v>55.93</v>
      </c>
      <c r="L18" s="208">
        <v>58.5</v>
      </c>
      <c r="M18" s="209">
        <v>61.9</v>
      </c>
      <c r="N18" s="209">
        <v>62.6</v>
      </c>
      <c r="O18" s="209">
        <v>68.400000000000006</v>
      </c>
      <c r="P18" s="209">
        <v>63.2</v>
      </c>
      <c r="Q18" s="209">
        <v>73.207999999999998</v>
      </c>
      <c r="R18" s="209">
        <v>76.363</v>
      </c>
      <c r="S18" s="209">
        <v>73.334999999999994</v>
      </c>
      <c r="T18" s="209">
        <v>74.3</v>
      </c>
      <c r="U18" s="209">
        <v>72.2</v>
      </c>
      <c r="V18" s="209">
        <v>78</v>
      </c>
      <c r="W18" s="202">
        <v>77.900000000000006</v>
      </c>
      <c r="X18" s="204">
        <v>77.8</v>
      </c>
      <c r="Y18" s="201">
        <v>75.599999999999994</v>
      </c>
      <c r="Z18" s="201">
        <v>78.7</v>
      </c>
      <c r="AA18" s="204">
        <v>81.88</v>
      </c>
      <c r="AB18" s="203">
        <v>81.900000000000006</v>
      </c>
      <c r="AC18" s="204">
        <v>76.046999999999997</v>
      </c>
      <c r="AD18" s="204">
        <v>79.331999999999994</v>
      </c>
      <c r="AE18" s="202">
        <v>57.4</v>
      </c>
      <c r="AF18" s="251">
        <v>69.3</v>
      </c>
    </row>
    <row r="19" spans="1:32" x14ac:dyDescent="0.2">
      <c r="A19" s="2" t="s">
        <v>727</v>
      </c>
      <c r="B19" s="263" t="s">
        <v>578</v>
      </c>
      <c r="C19" s="205">
        <v>0</v>
      </c>
      <c r="D19" s="205">
        <v>0</v>
      </c>
      <c r="E19" s="205">
        <v>0</v>
      </c>
      <c r="F19" s="208">
        <v>80.710999999999999</v>
      </c>
      <c r="G19" s="208">
        <v>94.73</v>
      </c>
      <c r="H19" s="208">
        <v>101.901</v>
      </c>
      <c r="I19" s="208">
        <v>90.471999999999994</v>
      </c>
      <c r="J19" s="202">
        <v>88.4</v>
      </c>
      <c r="K19" s="208">
        <v>94.287999999999997</v>
      </c>
      <c r="L19" s="208">
        <v>99.4</v>
      </c>
      <c r="M19" s="209">
        <v>106.5</v>
      </c>
      <c r="N19" s="209">
        <v>104.1</v>
      </c>
      <c r="O19" s="209">
        <v>107.7</v>
      </c>
      <c r="P19" s="209">
        <v>112.9</v>
      </c>
      <c r="Q19" s="209">
        <v>115.386</v>
      </c>
      <c r="R19" s="209">
        <v>119.643</v>
      </c>
      <c r="S19" s="209">
        <v>116.706</v>
      </c>
      <c r="T19" s="209">
        <v>123.8</v>
      </c>
      <c r="U19" s="209">
        <v>129.19999999999999</v>
      </c>
      <c r="V19" s="209">
        <v>134</v>
      </c>
      <c r="W19" s="202">
        <v>130.6</v>
      </c>
      <c r="X19" s="204">
        <v>138.05099999999999</v>
      </c>
      <c r="Y19" s="201">
        <v>126.9</v>
      </c>
      <c r="Z19" s="203">
        <v>139.565</v>
      </c>
      <c r="AA19" s="204">
        <v>147.28</v>
      </c>
      <c r="AB19" s="203">
        <v>150.56</v>
      </c>
      <c r="AC19" s="204">
        <v>136.36699999999999</v>
      </c>
      <c r="AD19" s="204">
        <v>139.358</v>
      </c>
      <c r="AE19" s="202">
        <v>91.6</v>
      </c>
      <c r="AF19" s="251">
        <v>118.5</v>
      </c>
    </row>
    <row r="20" spans="1:32" x14ac:dyDescent="0.2">
      <c r="A20" s="2" t="s">
        <v>727</v>
      </c>
      <c r="B20" s="263" t="s">
        <v>758</v>
      </c>
      <c r="C20" s="205">
        <v>0</v>
      </c>
      <c r="D20" s="205">
        <v>0</v>
      </c>
      <c r="E20" s="205">
        <v>0</v>
      </c>
      <c r="F20" s="208">
        <v>31.332000000000001</v>
      </c>
      <c r="G20" s="208">
        <v>45.402999999999999</v>
      </c>
      <c r="H20" s="208">
        <v>53.216000000000001</v>
      </c>
      <c r="I20" s="208">
        <v>46.811999999999998</v>
      </c>
      <c r="J20" s="202">
        <v>45.4</v>
      </c>
      <c r="K20" s="208">
        <v>48.573</v>
      </c>
      <c r="L20" s="208">
        <v>52.3</v>
      </c>
      <c r="M20" s="209">
        <v>58.3</v>
      </c>
      <c r="N20" s="209">
        <v>53</v>
      </c>
      <c r="O20" s="209">
        <v>59.4</v>
      </c>
      <c r="P20" s="209">
        <v>50.7</v>
      </c>
      <c r="Q20" s="209">
        <v>56.353000000000002</v>
      </c>
      <c r="R20" s="209">
        <v>65.837000000000003</v>
      </c>
      <c r="S20" s="205">
        <v>0</v>
      </c>
      <c r="T20" s="205">
        <v>0</v>
      </c>
      <c r="U20" s="205">
        <v>0</v>
      </c>
      <c r="V20" s="205">
        <v>0</v>
      </c>
      <c r="W20" s="202">
        <v>88.8</v>
      </c>
      <c r="X20" s="204">
        <v>78.33</v>
      </c>
      <c r="Y20" s="201">
        <v>73.900000000000006</v>
      </c>
      <c r="Z20" s="203">
        <v>78.185000000000002</v>
      </c>
      <c r="AA20" s="204">
        <v>84.47</v>
      </c>
      <c r="AB20" s="203">
        <v>85.26</v>
      </c>
      <c r="AC20" s="204">
        <v>77.837000000000003</v>
      </c>
      <c r="AD20" s="204">
        <v>75.096000000000004</v>
      </c>
      <c r="AE20" s="202">
        <v>46.4</v>
      </c>
      <c r="AF20" s="251">
        <v>64.5</v>
      </c>
    </row>
    <row r="21" spans="1:32" x14ac:dyDescent="0.2">
      <c r="A21" s="2" t="s">
        <v>727</v>
      </c>
      <c r="B21" s="263" t="s">
        <v>773</v>
      </c>
      <c r="C21" s="205">
        <v>0</v>
      </c>
      <c r="D21" s="205">
        <v>0</v>
      </c>
      <c r="E21" s="205">
        <v>0</v>
      </c>
      <c r="F21" s="208">
        <v>43.634999999999998</v>
      </c>
      <c r="G21" s="208">
        <v>59.750999999999998</v>
      </c>
      <c r="H21" s="208">
        <v>60.524000000000001</v>
      </c>
      <c r="I21" s="208">
        <v>53.286000000000001</v>
      </c>
      <c r="J21" s="202">
        <v>58.6</v>
      </c>
      <c r="K21" s="208">
        <v>55.064999999999998</v>
      </c>
      <c r="L21" s="208">
        <v>54.3</v>
      </c>
      <c r="M21" s="209">
        <v>65</v>
      </c>
      <c r="N21" s="209">
        <v>64.900000000000006</v>
      </c>
      <c r="O21" s="209">
        <v>65.8</v>
      </c>
      <c r="P21" s="209">
        <v>62.5</v>
      </c>
      <c r="Q21" s="209">
        <v>65.516000000000005</v>
      </c>
      <c r="R21" s="209">
        <v>69.623000000000005</v>
      </c>
      <c r="S21" s="209">
        <v>67.861000000000004</v>
      </c>
      <c r="T21" s="209">
        <v>67.5</v>
      </c>
      <c r="U21" s="209">
        <v>66.400000000000006</v>
      </c>
      <c r="V21" s="209">
        <v>70</v>
      </c>
      <c r="W21" s="202">
        <v>66.5</v>
      </c>
      <c r="X21" s="204">
        <v>65.19</v>
      </c>
      <c r="Y21" s="201">
        <v>64.599999999999994</v>
      </c>
      <c r="Z21" s="203">
        <v>65.926000000000002</v>
      </c>
      <c r="AA21" s="204">
        <v>69.52</v>
      </c>
      <c r="AB21" s="203">
        <v>71.150000000000006</v>
      </c>
      <c r="AC21" s="204">
        <v>63.421999999999997</v>
      </c>
      <c r="AD21" s="204">
        <v>68.040999999999997</v>
      </c>
      <c r="AE21" s="202">
        <v>51.9</v>
      </c>
      <c r="AF21" s="251">
        <v>61.6</v>
      </c>
    </row>
    <row r="22" spans="1:32" x14ac:dyDescent="0.2">
      <c r="A22" s="2" t="s">
        <v>727</v>
      </c>
      <c r="B22" s="263" t="s">
        <v>755</v>
      </c>
      <c r="C22" s="205">
        <v>0</v>
      </c>
      <c r="D22" s="205">
        <v>0</v>
      </c>
      <c r="E22" s="205">
        <v>0</v>
      </c>
      <c r="F22" s="189">
        <v>5.6</v>
      </c>
      <c r="G22" s="189">
        <v>7.5</v>
      </c>
      <c r="H22" s="189">
        <v>9</v>
      </c>
      <c r="I22" s="189">
        <v>8.1</v>
      </c>
      <c r="J22" s="189">
        <v>8.3000000000000007</v>
      </c>
      <c r="K22" s="208">
        <v>8.6859999999999999</v>
      </c>
      <c r="L22" s="208">
        <v>8.6999999999999993</v>
      </c>
      <c r="M22" s="209">
        <v>10.199999999999999</v>
      </c>
      <c r="N22" s="209">
        <v>8.8000000000000007</v>
      </c>
      <c r="O22" s="209">
        <v>11.2</v>
      </c>
      <c r="P22" s="209">
        <v>8.1</v>
      </c>
      <c r="Q22" s="209">
        <v>9.8989999999999991</v>
      </c>
      <c r="R22" s="209">
        <v>11.417999999999999</v>
      </c>
      <c r="S22" s="205">
        <v>0</v>
      </c>
      <c r="T22" s="205">
        <v>0</v>
      </c>
      <c r="U22" s="205">
        <v>0</v>
      </c>
      <c r="V22" s="205">
        <v>0</v>
      </c>
      <c r="W22" s="205">
        <v>0</v>
      </c>
      <c r="X22" s="205">
        <v>0</v>
      </c>
      <c r="Y22" s="205">
        <v>0</v>
      </c>
      <c r="Z22" s="205">
        <v>0</v>
      </c>
      <c r="AA22" s="211">
        <v>0</v>
      </c>
      <c r="AB22" s="211">
        <v>0</v>
      </c>
      <c r="AC22" s="211">
        <v>0</v>
      </c>
      <c r="AD22" s="211">
        <v>0</v>
      </c>
      <c r="AE22" s="211">
        <v>0</v>
      </c>
      <c r="AF22" s="211">
        <v>0</v>
      </c>
    </row>
    <row r="23" spans="1:32" x14ac:dyDescent="0.2">
      <c r="A23" s="2" t="s">
        <v>727</v>
      </c>
      <c r="B23" s="263" t="s">
        <v>579</v>
      </c>
      <c r="C23" s="205">
        <v>0</v>
      </c>
      <c r="D23" s="205">
        <v>0</v>
      </c>
      <c r="E23" s="205">
        <v>0</v>
      </c>
      <c r="F23" s="205">
        <v>0</v>
      </c>
      <c r="G23" s="205">
        <v>0</v>
      </c>
      <c r="H23" s="205">
        <v>0</v>
      </c>
      <c r="I23" s="205">
        <v>0</v>
      </c>
      <c r="J23" s="205">
        <v>0</v>
      </c>
      <c r="K23" s="205">
        <v>0</v>
      </c>
      <c r="L23" s="205">
        <v>0</v>
      </c>
      <c r="M23" s="205">
        <v>0</v>
      </c>
      <c r="N23" s="205">
        <v>0</v>
      </c>
      <c r="O23" s="205">
        <v>0</v>
      </c>
      <c r="P23" s="205">
        <v>0</v>
      </c>
      <c r="Q23" s="205">
        <v>0</v>
      </c>
      <c r="R23" s="205">
        <v>0</v>
      </c>
      <c r="S23" s="205">
        <v>0</v>
      </c>
      <c r="T23" s="205">
        <v>0</v>
      </c>
      <c r="U23" s="205">
        <v>0</v>
      </c>
      <c r="V23" s="205">
        <v>0</v>
      </c>
      <c r="W23" s="205">
        <v>0</v>
      </c>
      <c r="X23" s="205">
        <v>0</v>
      </c>
      <c r="Y23" s="205">
        <v>0</v>
      </c>
      <c r="Z23" s="205">
        <v>2.7269999999999999</v>
      </c>
      <c r="AA23" s="204">
        <v>2.54</v>
      </c>
      <c r="AB23" s="203">
        <v>2.3199999999999998</v>
      </c>
      <c r="AC23" s="204">
        <v>2.0009999999999999</v>
      </c>
      <c r="AD23" s="204">
        <v>1.8340000000000001</v>
      </c>
      <c r="AE23" s="202">
        <v>1</v>
      </c>
      <c r="AF23" s="251">
        <v>1.8</v>
      </c>
    </row>
    <row r="24" spans="1:32" x14ac:dyDescent="0.2">
      <c r="A24" s="2" t="s">
        <v>727</v>
      </c>
      <c r="B24" s="263" t="s">
        <v>580</v>
      </c>
      <c r="C24" s="205">
        <v>0</v>
      </c>
      <c r="D24" s="205">
        <v>0</v>
      </c>
      <c r="E24" s="205">
        <v>0</v>
      </c>
      <c r="F24" s="205">
        <v>0</v>
      </c>
      <c r="G24" s="205">
        <v>0</v>
      </c>
      <c r="H24" s="205">
        <v>0</v>
      </c>
      <c r="I24" s="205">
        <v>0</v>
      </c>
      <c r="J24" s="205">
        <v>0</v>
      </c>
      <c r="K24" s="205">
        <v>0</v>
      </c>
      <c r="L24" s="205">
        <v>0</v>
      </c>
      <c r="M24" s="205">
        <v>0</v>
      </c>
      <c r="N24" s="205">
        <v>0</v>
      </c>
      <c r="O24" s="205">
        <v>0</v>
      </c>
      <c r="P24" s="205">
        <v>0</v>
      </c>
      <c r="Q24" s="205">
        <v>0</v>
      </c>
      <c r="R24" s="205">
        <v>0</v>
      </c>
      <c r="S24" s="205">
        <v>0</v>
      </c>
      <c r="T24" s="205">
        <v>0</v>
      </c>
      <c r="U24" s="205">
        <v>0</v>
      </c>
      <c r="V24" s="205">
        <v>0</v>
      </c>
      <c r="W24" s="205">
        <v>0</v>
      </c>
      <c r="X24" s="205">
        <v>0</v>
      </c>
      <c r="Y24" s="205">
        <v>0</v>
      </c>
      <c r="Z24" s="205">
        <v>1.337</v>
      </c>
      <c r="AA24" s="204">
        <v>1.26</v>
      </c>
      <c r="AB24" s="203">
        <v>1.1399999999999999</v>
      </c>
      <c r="AC24" s="204">
        <v>1.167</v>
      </c>
      <c r="AD24" s="204">
        <v>1.244</v>
      </c>
      <c r="AE24" s="202">
        <v>1</v>
      </c>
      <c r="AF24" s="251">
        <v>1.3</v>
      </c>
    </row>
    <row r="25" spans="1:32" x14ac:dyDescent="0.2">
      <c r="A25" s="2" t="s">
        <v>727</v>
      </c>
      <c r="B25" s="263" t="s">
        <v>581</v>
      </c>
      <c r="C25" s="205">
        <v>0</v>
      </c>
      <c r="D25" s="205">
        <v>0</v>
      </c>
      <c r="E25" s="205">
        <v>0</v>
      </c>
      <c r="F25" s="205">
        <v>0</v>
      </c>
      <c r="G25" s="205">
        <v>0</v>
      </c>
      <c r="H25" s="205">
        <v>0</v>
      </c>
      <c r="I25" s="205">
        <v>0</v>
      </c>
      <c r="J25" s="205">
        <v>0</v>
      </c>
      <c r="K25" s="205">
        <v>0</v>
      </c>
      <c r="L25" s="205">
        <v>0</v>
      </c>
      <c r="M25" s="205">
        <v>0</v>
      </c>
      <c r="N25" s="205">
        <v>0</v>
      </c>
      <c r="O25" s="205">
        <v>0</v>
      </c>
      <c r="P25" s="205">
        <v>0</v>
      </c>
      <c r="Q25" s="205">
        <v>0</v>
      </c>
      <c r="R25" s="205">
        <v>0</v>
      </c>
      <c r="S25" s="205">
        <v>0</v>
      </c>
      <c r="T25" s="205">
        <v>0</v>
      </c>
      <c r="U25" s="205">
        <v>0</v>
      </c>
      <c r="V25" s="205">
        <v>0</v>
      </c>
      <c r="W25" s="205">
        <v>0</v>
      </c>
      <c r="X25" s="205">
        <v>0</v>
      </c>
      <c r="Y25" s="205">
        <v>0</v>
      </c>
      <c r="Z25" s="205">
        <v>0.16800000000000001</v>
      </c>
      <c r="AA25" s="204">
        <v>0.19</v>
      </c>
      <c r="AB25" s="203">
        <v>9.1999999999999998E-2</v>
      </c>
      <c r="AC25" s="204">
        <v>5.8000000000000003E-2</v>
      </c>
      <c r="AD25" s="204">
        <v>6.3E-2</v>
      </c>
      <c r="AE25" s="211">
        <v>0</v>
      </c>
      <c r="AF25" s="211">
        <v>0</v>
      </c>
    </row>
    <row r="26" spans="1:32" x14ac:dyDescent="0.2">
      <c r="A26" s="2" t="s">
        <v>727</v>
      </c>
      <c r="B26" s="262" t="s">
        <v>465</v>
      </c>
      <c r="C26" s="189">
        <f t="shared" ref="C26:Y26" si="3">SUM(C18:C22)</f>
        <v>0</v>
      </c>
      <c r="D26" s="189">
        <f t="shared" si="3"/>
        <v>0</v>
      </c>
      <c r="E26" s="189">
        <f t="shared" si="3"/>
        <v>0</v>
      </c>
      <c r="F26" s="189">
        <f>SUM(F18:F22)</f>
        <v>198.03499999999997</v>
      </c>
      <c r="G26" s="189">
        <f t="shared" si="3"/>
        <v>263.74199999999996</v>
      </c>
      <c r="H26" s="189">
        <f t="shared" si="3"/>
        <v>282.154</v>
      </c>
      <c r="I26" s="189">
        <f t="shared" si="3"/>
        <v>251.001</v>
      </c>
      <c r="J26" s="189">
        <f t="shared" si="3"/>
        <v>249.8</v>
      </c>
      <c r="K26" s="189">
        <f t="shared" si="3"/>
        <v>262.54199999999997</v>
      </c>
      <c r="L26" s="189">
        <f t="shared" si="3"/>
        <v>273.2</v>
      </c>
      <c r="M26" s="189">
        <f t="shared" si="3"/>
        <v>301.89999999999998</v>
      </c>
      <c r="N26" s="189">
        <f t="shared" si="3"/>
        <v>293.40000000000003</v>
      </c>
      <c r="O26" s="189">
        <f t="shared" si="3"/>
        <v>312.5</v>
      </c>
      <c r="P26" s="189">
        <f t="shared" si="3"/>
        <v>297.40000000000003</v>
      </c>
      <c r="Q26" s="189">
        <f t="shared" si="3"/>
        <v>320.36200000000002</v>
      </c>
      <c r="R26" s="189">
        <f t="shared" si="3"/>
        <v>342.88400000000001</v>
      </c>
      <c r="S26" s="189">
        <f t="shared" si="3"/>
        <v>257.90199999999999</v>
      </c>
      <c r="T26" s="189">
        <f t="shared" si="3"/>
        <v>265.60000000000002</v>
      </c>
      <c r="U26" s="189">
        <f t="shared" si="3"/>
        <v>267.79999999999995</v>
      </c>
      <c r="V26" s="189">
        <f t="shared" si="3"/>
        <v>282</v>
      </c>
      <c r="W26" s="189">
        <f t="shared" si="3"/>
        <v>363.8</v>
      </c>
      <c r="X26" s="189">
        <f t="shared" si="3"/>
        <v>359.37099999999998</v>
      </c>
      <c r="Y26" s="189">
        <f t="shared" si="3"/>
        <v>341</v>
      </c>
      <c r="Z26" s="189">
        <f t="shared" ref="Z26:AE26" si="4">SUM(Z18:Z25)</f>
        <v>366.60799999999995</v>
      </c>
      <c r="AA26" s="189">
        <f t="shared" si="4"/>
        <v>387.14</v>
      </c>
      <c r="AB26" s="189">
        <f t="shared" si="4"/>
        <v>392.42199999999997</v>
      </c>
      <c r="AC26" s="189">
        <f t="shared" si="4"/>
        <v>356.89899999999994</v>
      </c>
      <c r="AD26" s="189">
        <f t="shared" si="4"/>
        <v>364.96800000000002</v>
      </c>
      <c r="AE26" s="189">
        <f t="shared" si="4"/>
        <v>249.3</v>
      </c>
      <c r="AF26" s="189">
        <f t="shared" ref="AF26" si="5">SUM(AF18:AF25)</f>
        <v>317.00000000000006</v>
      </c>
    </row>
    <row r="27" spans="1:32" ht="35.25" customHeight="1" x14ac:dyDescent="0.2">
      <c r="A27" s="202" t="s">
        <v>460</v>
      </c>
      <c r="B27" s="263" t="s">
        <v>582</v>
      </c>
      <c r="C27" s="205">
        <v>0</v>
      </c>
      <c r="D27" s="205">
        <v>0</v>
      </c>
      <c r="E27" s="205">
        <v>0</v>
      </c>
      <c r="F27" s="205">
        <v>0</v>
      </c>
      <c r="G27" s="205">
        <v>0</v>
      </c>
      <c r="H27" s="205">
        <v>0</v>
      </c>
      <c r="I27" s="195">
        <v>4.4459999999999997</v>
      </c>
      <c r="J27" s="195">
        <v>3.92</v>
      </c>
      <c r="K27" s="204">
        <v>3.7570000000000001</v>
      </c>
      <c r="L27" s="204">
        <v>3.3959999999999999</v>
      </c>
      <c r="M27" s="206">
        <v>3.7</v>
      </c>
      <c r="N27" s="206">
        <v>3.8</v>
      </c>
      <c r="O27" s="206">
        <v>3.2730000000000001</v>
      </c>
      <c r="P27" s="205">
        <v>0</v>
      </c>
      <c r="Q27" s="205">
        <v>0</v>
      </c>
      <c r="R27" s="205">
        <v>0</v>
      </c>
      <c r="S27" s="205">
        <v>0</v>
      </c>
      <c r="T27" s="205">
        <v>0</v>
      </c>
      <c r="U27" s="205">
        <v>0</v>
      </c>
      <c r="V27" s="205">
        <v>0</v>
      </c>
      <c r="W27" s="205">
        <v>0</v>
      </c>
      <c r="X27" s="205">
        <v>0</v>
      </c>
      <c r="Y27" s="205">
        <v>0</v>
      </c>
      <c r="Z27" s="205">
        <v>0</v>
      </c>
      <c r="AA27" s="205">
        <v>0</v>
      </c>
      <c r="AB27" s="205">
        <v>0</v>
      </c>
      <c r="AC27" s="205">
        <v>0</v>
      </c>
      <c r="AD27" s="205">
        <v>0</v>
      </c>
      <c r="AE27" s="205">
        <v>0</v>
      </c>
      <c r="AF27" s="205">
        <v>0</v>
      </c>
    </row>
    <row r="28" spans="1:32" ht="39" customHeight="1" x14ac:dyDescent="0.2">
      <c r="A28" s="212" t="s">
        <v>584</v>
      </c>
      <c r="B28" s="268" t="s">
        <v>583</v>
      </c>
      <c r="C28" s="186">
        <f>SUM(C5,C8,C11,C16,C26)</f>
        <v>546.70000000000005</v>
      </c>
      <c r="D28" s="186">
        <f t="shared" ref="D28:AE28" si="6">SUM(D5,D8,D11,D16,D26)</f>
        <v>589.60000000000014</v>
      </c>
      <c r="E28" s="186">
        <f t="shared" si="6"/>
        <v>626.80000000000007</v>
      </c>
      <c r="F28" s="186">
        <f t="shared" si="6"/>
        <v>869.33499999999992</v>
      </c>
      <c r="G28" s="186">
        <f t="shared" si="6"/>
        <v>973.14199999999994</v>
      </c>
      <c r="H28" s="186">
        <f t="shared" si="6"/>
        <v>978.85400000000004</v>
      </c>
      <c r="I28" s="186">
        <f t="shared" si="6"/>
        <v>959.80100000000004</v>
      </c>
      <c r="J28" s="186">
        <f t="shared" si="6"/>
        <v>976</v>
      </c>
      <c r="K28" s="186">
        <f t="shared" si="6"/>
        <v>1020.942</v>
      </c>
      <c r="L28" s="186">
        <f t="shared" si="6"/>
        <v>1064.394</v>
      </c>
      <c r="M28" s="186">
        <f t="shared" si="6"/>
        <v>1128.1039999999998</v>
      </c>
      <c r="N28" s="186">
        <f t="shared" si="6"/>
        <v>1185.0330000000001</v>
      </c>
      <c r="O28" s="186">
        <f t="shared" si="6"/>
        <v>1211.8510000000001</v>
      </c>
      <c r="P28" s="186">
        <f t="shared" si="6"/>
        <v>1216.2460000000001</v>
      </c>
      <c r="Q28" s="186">
        <f t="shared" si="6"/>
        <v>1227.0619999999999</v>
      </c>
      <c r="R28" s="186">
        <f t="shared" si="6"/>
        <v>1287.2840000000001</v>
      </c>
      <c r="S28" s="186">
        <f t="shared" si="6"/>
        <v>1178.8019999999999</v>
      </c>
      <c r="T28" s="186">
        <f t="shared" si="6"/>
        <v>1190.721</v>
      </c>
      <c r="U28" s="186">
        <f t="shared" si="6"/>
        <v>1142.4000000000001</v>
      </c>
      <c r="V28" s="186">
        <f t="shared" si="6"/>
        <v>1187.23</v>
      </c>
      <c r="W28" s="186">
        <f t="shared" si="6"/>
        <v>1292.6000000000001</v>
      </c>
      <c r="X28" s="186">
        <f t="shared" si="6"/>
        <v>1252.8710000000001</v>
      </c>
      <c r="Y28" s="186">
        <f t="shared" si="6"/>
        <v>1261.6999999999998</v>
      </c>
      <c r="Z28" s="186">
        <f t="shared" si="6"/>
        <v>1299.008</v>
      </c>
      <c r="AA28" s="186">
        <f t="shared" si="6"/>
        <v>1338.94</v>
      </c>
      <c r="AB28" s="186">
        <f t="shared" si="6"/>
        <v>1365.0519999999999</v>
      </c>
      <c r="AC28" s="186">
        <f t="shared" si="6"/>
        <v>1346.9989999999998</v>
      </c>
      <c r="AD28" s="186">
        <f t="shared" si="6"/>
        <v>1363.2170000000001</v>
      </c>
      <c r="AE28" s="186">
        <f t="shared" si="6"/>
        <v>871.71900000000005</v>
      </c>
      <c r="AF28" s="186">
        <f t="shared" ref="AF28" si="7">SUM(AF5,AF8,AF11,AF16,AF26)</f>
        <v>1141.5</v>
      </c>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25"/>
  <sheetViews>
    <sheetView zoomScaleNormal="100" workbookViewId="0">
      <pane xSplit="2" ySplit="4" topLeftCell="V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27.33203125" style="6" customWidth="1"/>
    <col min="2" max="2" width="25.77734375" style="6" customWidth="1"/>
    <col min="3" max="30" width="7.109375" style="6" customWidth="1"/>
    <col min="31" max="31" width="7.6640625" style="6" customWidth="1"/>
    <col min="32" max="16384" width="8.88671875" style="6"/>
  </cols>
  <sheetData>
    <row r="1" spans="1:32" s="5" customFormat="1" ht="15.75" x14ac:dyDescent="0.25">
      <c r="A1" s="1" t="s">
        <v>830</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506</v>
      </c>
      <c r="K3" s="2"/>
      <c r="L3" s="3"/>
      <c r="M3" s="4"/>
      <c r="N3" s="4"/>
      <c r="O3" s="2"/>
    </row>
    <row r="4" spans="1:32" s="260" customFormat="1" ht="47.25" x14ac:dyDescent="0.25">
      <c r="A4" s="259" t="s">
        <v>453</v>
      </c>
      <c r="B4" s="259" t="s">
        <v>487</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484</v>
      </c>
      <c r="AF4" s="245" t="s">
        <v>854</v>
      </c>
    </row>
    <row r="5" spans="1:32" x14ac:dyDescent="0.2">
      <c r="A5" s="117" t="s">
        <v>730</v>
      </c>
      <c r="B5" s="262" t="s">
        <v>567</v>
      </c>
      <c r="C5" s="181">
        <v>12.1</v>
      </c>
      <c r="D5" s="181">
        <v>12.7</v>
      </c>
      <c r="E5" s="181">
        <v>11.6</v>
      </c>
      <c r="F5" s="181">
        <v>11.9</v>
      </c>
      <c r="G5" s="181">
        <v>11.7</v>
      </c>
      <c r="H5" s="5">
        <v>12.9</v>
      </c>
      <c r="I5" s="181">
        <v>12.7</v>
      </c>
      <c r="J5" s="5">
        <v>13.2</v>
      </c>
      <c r="K5" s="5">
        <v>11.8</v>
      </c>
      <c r="L5" s="213">
        <v>10.9</v>
      </c>
      <c r="M5" s="214">
        <v>17.3</v>
      </c>
      <c r="N5" s="114">
        <v>29.1</v>
      </c>
      <c r="O5" s="215">
        <v>32.799999999999997</v>
      </c>
      <c r="P5" s="215">
        <v>35.299999999999997</v>
      </c>
      <c r="Q5" s="144">
        <v>33.700000000000003</v>
      </c>
      <c r="R5" s="144">
        <v>33</v>
      </c>
      <c r="S5" s="144">
        <v>32.200000000000003</v>
      </c>
      <c r="T5" s="144">
        <v>33.799999999999997</v>
      </c>
      <c r="U5" s="144">
        <v>33</v>
      </c>
      <c r="V5" s="144">
        <v>37.9</v>
      </c>
      <c r="W5" s="147">
        <v>40</v>
      </c>
      <c r="X5" s="5">
        <v>37.9</v>
      </c>
      <c r="Y5" s="5">
        <v>37.9</v>
      </c>
      <c r="Z5" s="5">
        <v>34.9</v>
      </c>
      <c r="AA5" s="5">
        <v>33.799999999999997</v>
      </c>
      <c r="AB5" s="5">
        <v>37.6</v>
      </c>
      <c r="AC5" s="5">
        <v>36.299999999999997</v>
      </c>
      <c r="AD5" s="5">
        <v>29.8</v>
      </c>
      <c r="AE5" s="119">
        <v>26</v>
      </c>
      <c r="AF5" s="251">
        <v>26.7</v>
      </c>
    </row>
    <row r="6" spans="1:32" ht="37.5" customHeight="1" x14ac:dyDescent="0.2">
      <c r="A6" s="187" t="s">
        <v>457</v>
      </c>
      <c r="B6" s="262" t="s">
        <v>568</v>
      </c>
      <c r="C6" s="164">
        <v>0</v>
      </c>
      <c r="D6" s="164">
        <v>0</v>
      </c>
      <c r="E6" s="164">
        <v>0</v>
      </c>
      <c r="F6" s="164">
        <v>0</v>
      </c>
      <c r="G6" s="146">
        <v>3.8</v>
      </c>
      <c r="H6" s="146">
        <v>3.5</v>
      </c>
      <c r="I6" s="146">
        <v>2.2999999999999998</v>
      </c>
      <c r="J6" s="146">
        <v>2.1</v>
      </c>
      <c r="K6" s="119">
        <v>2.9929999999999999</v>
      </c>
      <c r="L6" s="119">
        <v>5.6539999999999999</v>
      </c>
      <c r="M6" s="144">
        <v>4.5</v>
      </c>
      <c r="N6" s="144">
        <v>3.6219999999999999</v>
      </c>
      <c r="O6" s="144">
        <v>3.802</v>
      </c>
      <c r="P6" s="144">
        <v>3.8</v>
      </c>
      <c r="Q6" s="144">
        <v>4.9000000000000004</v>
      </c>
      <c r="R6" s="144">
        <v>4.7</v>
      </c>
      <c r="S6" s="144">
        <v>4.5999999999999996</v>
      </c>
      <c r="T6" s="144">
        <v>2.5</v>
      </c>
      <c r="U6" s="144">
        <v>2.6</v>
      </c>
      <c r="V6" s="144">
        <v>3.2</v>
      </c>
      <c r="W6" s="140">
        <v>2.8</v>
      </c>
      <c r="X6" s="5">
        <v>1.6</v>
      </c>
      <c r="Y6" s="117">
        <v>3.3</v>
      </c>
      <c r="Z6" s="117">
        <v>4.4000000000000004</v>
      </c>
      <c r="AA6" s="5">
        <v>5.7</v>
      </c>
      <c r="AB6" s="117">
        <v>5.8</v>
      </c>
      <c r="AC6" s="5">
        <v>4.7</v>
      </c>
      <c r="AD6" s="5">
        <v>4.5</v>
      </c>
      <c r="AE6" s="5">
        <v>3.4</v>
      </c>
      <c r="AF6" s="251">
        <v>4.7</v>
      </c>
    </row>
    <row r="7" spans="1:32" x14ac:dyDescent="0.2">
      <c r="A7" s="187" t="s">
        <v>457</v>
      </c>
      <c r="B7" s="262" t="s">
        <v>772</v>
      </c>
      <c r="C7" s="164">
        <v>0</v>
      </c>
      <c r="D7" s="164">
        <v>0</v>
      </c>
      <c r="E7" s="164">
        <v>0</v>
      </c>
      <c r="F7" s="164">
        <v>0</v>
      </c>
      <c r="G7" s="164">
        <v>0</v>
      </c>
      <c r="H7" s="164">
        <v>0</v>
      </c>
      <c r="I7" s="164">
        <v>0</v>
      </c>
      <c r="J7" s="164">
        <v>0</v>
      </c>
      <c r="K7" s="164">
        <v>0</v>
      </c>
      <c r="L7" s="164">
        <v>0</v>
      </c>
      <c r="M7" s="164">
        <v>0</v>
      </c>
      <c r="N7" s="164">
        <v>0</v>
      </c>
      <c r="O7" s="129">
        <v>0.5</v>
      </c>
      <c r="P7" s="129">
        <v>1.1000000000000001</v>
      </c>
      <c r="Q7" s="144">
        <v>0.2</v>
      </c>
      <c r="R7" s="144">
        <v>0.26</v>
      </c>
      <c r="S7" s="144">
        <v>0.3</v>
      </c>
      <c r="T7" s="144">
        <v>0.25</v>
      </c>
      <c r="U7" s="144">
        <v>0.3</v>
      </c>
      <c r="V7" s="144">
        <v>0.3</v>
      </c>
      <c r="W7" s="140">
        <v>0.3</v>
      </c>
      <c r="X7" s="119">
        <v>0.25</v>
      </c>
      <c r="Y7" s="117">
        <v>0.3</v>
      </c>
      <c r="Z7" s="117">
        <v>0.6</v>
      </c>
      <c r="AA7" s="5">
        <v>0.3</v>
      </c>
      <c r="AB7" s="117">
        <v>0.4</v>
      </c>
      <c r="AC7" s="5">
        <v>0.5</v>
      </c>
      <c r="AD7" s="5">
        <v>0.5</v>
      </c>
      <c r="AE7" s="119">
        <v>0.45</v>
      </c>
      <c r="AF7" s="251">
        <v>1.5</v>
      </c>
    </row>
    <row r="8" spans="1:32" x14ac:dyDescent="0.2">
      <c r="A8" s="187" t="s">
        <v>457</v>
      </c>
      <c r="B8" s="262" t="s">
        <v>465</v>
      </c>
      <c r="C8" s="189">
        <f t="shared" ref="C8:AF8" si="0">SUM(C6:C7)</f>
        <v>0</v>
      </c>
      <c r="D8" s="189">
        <f t="shared" si="0"/>
        <v>0</v>
      </c>
      <c r="E8" s="189">
        <f t="shared" si="0"/>
        <v>0</v>
      </c>
      <c r="F8" s="189">
        <f t="shared" si="0"/>
        <v>0</v>
      </c>
      <c r="G8" s="189">
        <f t="shared" si="0"/>
        <v>3.8</v>
      </c>
      <c r="H8" s="189">
        <f t="shared" si="0"/>
        <v>3.5</v>
      </c>
      <c r="I8" s="189">
        <f t="shared" si="0"/>
        <v>2.2999999999999998</v>
      </c>
      <c r="J8" s="189">
        <f t="shared" si="0"/>
        <v>2.1</v>
      </c>
      <c r="K8" s="189">
        <f t="shared" si="0"/>
        <v>2.9929999999999999</v>
      </c>
      <c r="L8" s="189">
        <f t="shared" si="0"/>
        <v>5.6539999999999999</v>
      </c>
      <c r="M8" s="189">
        <f t="shared" si="0"/>
        <v>4.5</v>
      </c>
      <c r="N8" s="189">
        <f t="shared" si="0"/>
        <v>3.6219999999999999</v>
      </c>
      <c r="O8" s="189">
        <f t="shared" si="0"/>
        <v>4.3019999999999996</v>
      </c>
      <c r="P8" s="189">
        <f t="shared" si="0"/>
        <v>4.9000000000000004</v>
      </c>
      <c r="Q8" s="189">
        <f t="shared" si="0"/>
        <v>5.1000000000000005</v>
      </c>
      <c r="R8" s="189">
        <f t="shared" si="0"/>
        <v>4.96</v>
      </c>
      <c r="S8" s="189">
        <f t="shared" si="0"/>
        <v>4.8999999999999995</v>
      </c>
      <c r="T8" s="189">
        <f t="shared" si="0"/>
        <v>2.75</v>
      </c>
      <c r="U8" s="189">
        <f t="shared" si="0"/>
        <v>2.9</v>
      </c>
      <c r="V8" s="189">
        <f t="shared" si="0"/>
        <v>3.5</v>
      </c>
      <c r="W8" s="189">
        <f t="shared" si="0"/>
        <v>3.0999999999999996</v>
      </c>
      <c r="X8" s="189">
        <f t="shared" si="0"/>
        <v>1.85</v>
      </c>
      <c r="Y8" s="189">
        <f t="shared" si="0"/>
        <v>3.5999999999999996</v>
      </c>
      <c r="Z8" s="189">
        <f t="shared" si="0"/>
        <v>5</v>
      </c>
      <c r="AA8" s="189">
        <f t="shared" si="0"/>
        <v>6</v>
      </c>
      <c r="AB8" s="189">
        <f t="shared" si="0"/>
        <v>6.2</v>
      </c>
      <c r="AC8" s="189">
        <f t="shared" si="0"/>
        <v>5.2</v>
      </c>
      <c r="AD8" s="189">
        <f t="shared" si="0"/>
        <v>5</v>
      </c>
      <c r="AE8" s="189">
        <f t="shared" si="0"/>
        <v>3.85</v>
      </c>
      <c r="AF8" s="189">
        <f t="shared" si="0"/>
        <v>6.2</v>
      </c>
    </row>
    <row r="9" spans="1:32" ht="33" customHeight="1" x14ac:dyDescent="0.2">
      <c r="A9" s="187" t="s">
        <v>507</v>
      </c>
      <c r="B9" s="262" t="s">
        <v>569</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row>
    <row r="10" spans="1:32" x14ac:dyDescent="0.2">
      <c r="A10" s="187" t="s">
        <v>507</v>
      </c>
      <c r="B10" s="262" t="s">
        <v>741</v>
      </c>
      <c r="C10" s="181">
        <v>6.3</v>
      </c>
      <c r="D10" s="181">
        <v>7</v>
      </c>
      <c r="E10" s="181">
        <v>7</v>
      </c>
      <c r="F10" s="181">
        <v>7.5</v>
      </c>
      <c r="G10" s="181">
        <v>7.9</v>
      </c>
      <c r="H10" s="181">
        <v>7.8</v>
      </c>
      <c r="I10" s="181">
        <v>7.7</v>
      </c>
      <c r="J10" s="5">
        <v>7.6</v>
      </c>
      <c r="K10" s="5">
        <v>5.9</v>
      </c>
      <c r="L10" s="5">
        <v>7.6</v>
      </c>
      <c r="M10" s="144">
        <v>8.8309999999999995</v>
      </c>
      <c r="N10" s="144">
        <v>9.1</v>
      </c>
      <c r="O10" s="146">
        <v>11.316000000000001</v>
      </c>
      <c r="P10" s="146">
        <v>10.3</v>
      </c>
      <c r="Q10" s="144">
        <v>10</v>
      </c>
      <c r="R10" s="144">
        <v>9.8000000000000007</v>
      </c>
      <c r="S10" s="129">
        <v>17.100000000000001</v>
      </c>
      <c r="T10" s="129">
        <v>16.899999999999999</v>
      </c>
      <c r="U10" s="129">
        <v>14.4</v>
      </c>
      <c r="V10" s="129">
        <v>12.499000000000001</v>
      </c>
      <c r="W10" s="140">
        <v>14.3</v>
      </c>
      <c r="X10" s="5">
        <v>11.3</v>
      </c>
      <c r="Y10" s="117">
        <v>11.8</v>
      </c>
      <c r="Z10" s="117">
        <v>11.4</v>
      </c>
      <c r="AA10" s="5">
        <v>11.5</v>
      </c>
      <c r="AB10" s="117">
        <v>12.6</v>
      </c>
      <c r="AC10" s="5">
        <v>11.1</v>
      </c>
      <c r="AD10" s="119">
        <v>11.007</v>
      </c>
      <c r="AE10" s="248">
        <v>6.9</v>
      </c>
      <c r="AF10" s="249">
        <v>11</v>
      </c>
    </row>
    <row r="11" spans="1:32" x14ac:dyDescent="0.2">
      <c r="A11" s="187" t="s">
        <v>507</v>
      </c>
      <c r="B11" s="263" t="s">
        <v>771</v>
      </c>
      <c r="C11" s="188">
        <f>SUM(C9:C10)</f>
        <v>6.3</v>
      </c>
      <c r="D11" s="188">
        <f t="shared" ref="D11:AF11" si="1">SUM(D9:D10)</f>
        <v>7</v>
      </c>
      <c r="E11" s="188">
        <f t="shared" si="1"/>
        <v>7</v>
      </c>
      <c r="F11" s="188">
        <f t="shared" si="1"/>
        <v>7.5</v>
      </c>
      <c r="G11" s="188">
        <f t="shared" si="1"/>
        <v>7.9</v>
      </c>
      <c r="H11" s="188">
        <f t="shared" si="1"/>
        <v>7.8</v>
      </c>
      <c r="I11" s="188">
        <f t="shared" si="1"/>
        <v>7.7</v>
      </c>
      <c r="J11" s="188">
        <f t="shared" si="1"/>
        <v>7.6</v>
      </c>
      <c r="K11" s="188">
        <f t="shared" si="1"/>
        <v>5.9</v>
      </c>
      <c r="L11" s="188">
        <f t="shared" si="1"/>
        <v>7.6</v>
      </c>
      <c r="M11" s="188">
        <f t="shared" si="1"/>
        <v>8.8309999999999995</v>
      </c>
      <c r="N11" s="188">
        <f t="shared" si="1"/>
        <v>9.1</v>
      </c>
      <c r="O11" s="188">
        <f t="shared" si="1"/>
        <v>11.316000000000001</v>
      </c>
      <c r="P11" s="188">
        <f t="shared" si="1"/>
        <v>10.3</v>
      </c>
      <c r="Q11" s="188">
        <f t="shared" si="1"/>
        <v>10</v>
      </c>
      <c r="R11" s="188">
        <f t="shared" si="1"/>
        <v>9.8000000000000007</v>
      </c>
      <c r="S11" s="188">
        <f t="shared" si="1"/>
        <v>17.100000000000001</v>
      </c>
      <c r="T11" s="188">
        <f t="shared" si="1"/>
        <v>16.899999999999999</v>
      </c>
      <c r="U11" s="188">
        <f t="shared" si="1"/>
        <v>14.4</v>
      </c>
      <c r="V11" s="188">
        <f t="shared" si="1"/>
        <v>12.499000000000001</v>
      </c>
      <c r="W11" s="188">
        <f t="shared" si="1"/>
        <v>14.3</v>
      </c>
      <c r="X11" s="188">
        <f t="shared" si="1"/>
        <v>11.3</v>
      </c>
      <c r="Y11" s="188">
        <f t="shared" si="1"/>
        <v>11.8</v>
      </c>
      <c r="Z11" s="188">
        <f t="shared" si="1"/>
        <v>11.4</v>
      </c>
      <c r="AA11" s="188">
        <f t="shared" si="1"/>
        <v>11.5</v>
      </c>
      <c r="AB11" s="188">
        <f t="shared" si="1"/>
        <v>12.6</v>
      </c>
      <c r="AC11" s="188">
        <f t="shared" si="1"/>
        <v>11.1</v>
      </c>
      <c r="AD11" s="188">
        <f t="shared" si="1"/>
        <v>11.007</v>
      </c>
      <c r="AE11" s="188">
        <f t="shared" si="1"/>
        <v>6.9</v>
      </c>
      <c r="AF11" s="188">
        <f t="shared" si="1"/>
        <v>11</v>
      </c>
    </row>
    <row r="12" spans="1:32" ht="54" customHeight="1" x14ac:dyDescent="0.2">
      <c r="A12" s="2" t="s">
        <v>728</v>
      </c>
      <c r="B12" s="262" t="s">
        <v>572</v>
      </c>
      <c r="C12" s="181">
        <v>6.2</v>
      </c>
      <c r="D12" s="181">
        <v>5</v>
      </c>
      <c r="E12" s="181">
        <v>4.8</v>
      </c>
      <c r="F12" s="181">
        <v>3.2</v>
      </c>
      <c r="G12" s="181">
        <v>3.6</v>
      </c>
      <c r="H12" s="181">
        <v>2.7</v>
      </c>
      <c r="I12" s="181">
        <v>2.4</v>
      </c>
      <c r="J12" s="5">
        <v>2.6</v>
      </c>
      <c r="K12" s="5">
        <v>2.5</v>
      </c>
      <c r="L12" s="5">
        <v>2.8</v>
      </c>
      <c r="M12" s="126">
        <v>2.7</v>
      </c>
      <c r="N12" s="126">
        <v>2.7</v>
      </c>
      <c r="O12" s="144">
        <v>3.2</v>
      </c>
      <c r="P12" s="144">
        <v>2.9159999999999999</v>
      </c>
      <c r="Q12" s="144">
        <v>2.8</v>
      </c>
      <c r="R12" s="144">
        <v>2.7</v>
      </c>
      <c r="S12" s="144">
        <v>4.9000000000000004</v>
      </c>
      <c r="T12" s="144">
        <v>5.2679999999999998</v>
      </c>
      <c r="U12" s="144">
        <v>5.4</v>
      </c>
      <c r="V12" s="144">
        <v>5.96</v>
      </c>
      <c r="W12" s="140">
        <v>7.4</v>
      </c>
      <c r="X12" s="5">
        <v>8.5</v>
      </c>
      <c r="Y12" s="118">
        <v>9</v>
      </c>
      <c r="Z12" s="118">
        <v>9</v>
      </c>
      <c r="AA12" s="5">
        <v>9.4</v>
      </c>
      <c r="AB12" s="119">
        <v>9.85</v>
      </c>
      <c r="AC12" s="5">
        <v>10.7</v>
      </c>
      <c r="AD12" s="5">
        <v>9.4</v>
      </c>
      <c r="AE12" s="119">
        <v>9.7910000000000004</v>
      </c>
      <c r="AF12" s="251">
        <v>8.4</v>
      </c>
    </row>
    <row r="13" spans="1:32" x14ac:dyDescent="0.2">
      <c r="A13" s="2" t="s">
        <v>728</v>
      </c>
      <c r="B13" s="262" t="s">
        <v>573</v>
      </c>
      <c r="C13" s="152">
        <v>4.0999999999999996</v>
      </c>
      <c r="D13" s="152">
        <v>4.7</v>
      </c>
      <c r="E13" s="152">
        <v>5.3</v>
      </c>
      <c r="F13" s="152">
        <v>4.9000000000000004</v>
      </c>
      <c r="G13" s="152">
        <v>4.0999999999999996</v>
      </c>
      <c r="H13" s="152">
        <v>4.5</v>
      </c>
      <c r="I13" s="152">
        <v>4.3</v>
      </c>
      <c r="J13" s="5">
        <v>4.3</v>
      </c>
      <c r="K13" s="5">
        <v>4.3</v>
      </c>
      <c r="L13" s="5">
        <v>4.3</v>
      </c>
      <c r="M13" s="126">
        <v>4.5</v>
      </c>
      <c r="N13" s="126">
        <v>5.5</v>
      </c>
      <c r="O13" s="144">
        <v>5.7</v>
      </c>
      <c r="P13" s="144">
        <v>5.3520000000000003</v>
      </c>
      <c r="Q13" s="144">
        <v>5.4</v>
      </c>
      <c r="R13" s="144">
        <v>6.1</v>
      </c>
      <c r="S13" s="144">
        <v>4.7</v>
      </c>
      <c r="T13" s="144">
        <v>6.73</v>
      </c>
      <c r="U13" s="144">
        <v>6.7</v>
      </c>
      <c r="V13" s="144">
        <v>6.8</v>
      </c>
      <c r="W13" s="147">
        <v>4.8899999999999997</v>
      </c>
      <c r="X13" s="119">
        <v>4.9000000000000004</v>
      </c>
      <c r="Y13" s="117">
        <v>4.5</v>
      </c>
      <c r="Z13" s="117">
        <v>4.8</v>
      </c>
      <c r="AA13" s="5">
        <v>4.7</v>
      </c>
      <c r="AB13" s="119">
        <v>4.58</v>
      </c>
      <c r="AC13" s="5">
        <v>5.3</v>
      </c>
      <c r="AD13" s="5">
        <v>4.7</v>
      </c>
      <c r="AE13" s="119">
        <v>4.4820000000000002</v>
      </c>
      <c r="AF13" s="251">
        <v>3.6</v>
      </c>
    </row>
    <row r="14" spans="1:32" x14ac:dyDescent="0.2">
      <c r="A14" s="2" t="s">
        <v>728</v>
      </c>
      <c r="B14" s="262" t="s">
        <v>574</v>
      </c>
      <c r="C14" s="181">
        <v>3.7</v>
      </c>
      <c r="D14" s="181">
        <v>4</v>
      </c>
      <c r="E14" s="181">
        <v>3.6</v>
      </c>
      <c r="F14" s="181">
        <v>4.0999999999999996</v>
      </c>
      <c r="G14" s="181">
        <v>3.8</v>
      </c>
      <c r="H14" s="181">
        <v>3.4</v>
      </c>
      <c r="I14" s="181">
        <v>3.3</v>
      </c>
      <c r="J14" s="5">
        <v>2.7</v>
      </c>
      <c r="K14" s="5">
        <v>2.2999999999999998</v>
      </c>
      <c r="L14" s="5">
        <v>2.6</v>
      </c>
      <c r="M14" s="126">
        <v>2.1</v>
      </c>
      <c r="N14" s="126">
        <v>2.9</v>
      </c>
      <c r="O14" s="144">
        <v>3.3</v>
      </c>
      <c r="P14" s="144">
        <v>3.2839999999999998</v>
      </c>
      <c r="Q14" s="144">
        <v>3.1</v>
      </c>
      <c r="R14" s="144">
        <v>3</v>
      </c>
      <c r="S14" s="144">
        <v>3.6</v>
      </c>
      <c r="T14" s="144">
        <v>4.6539999999999999</v>
      </c>
      <c r="U14" s="144">
        <v>4.7</v>
      </c>
      <c r="V14" s="144">
        <v>4.87</v>
      </c>
      <c r="W14" s="147">
        <v>4.37</v>
      </c>
      <c r="X14" s="119">
        <v>4.2699999999999996</v>
      </c>
      <c r="Y14" s="117">
        <v>3.3</v>
      </c>
      <c r="Z14" s="117">
        <v>3.1</v>
      </c>
      <c r="AA14" s="5">
        <v>3.2</v>
      </c>
      <c r="AB14" s="119">
        <v>3.35</v>
      </c>
      <c r="AC14" s="5">
        <v>3.9</v>
      </c>
      <c r="AD14" s="5">
        <v>3.7</v>
      </c>
      <c r="AE14" s="119">
        <v>3.09</v>
      </c>
      <c r="AF14" s="251">
        <v>3.4</v>
      </c>
    </row>
    <row r="15" spans="1:32" x14ac:dyDescent="0.2">
      <c r="A15" s="2" t="s">
        <v>728</v>
      </c>
      <c r="B15" s="262" t="s">
        <v>575</v>
      </c>
      <c r="C15" s="164">
        <v>0</v>
      </c>
      <c r="D15" s="181">
        <v>7.6</v>
      </c>
      <c r="E15" s="181">
        <v>8.4</v>
      </c>
      <c r="F15" s="181">
        <v>7.3</v>
      </c>
      <c r="G15" s="181">
        <v>7.9</v>
      </c>
      <c r="H15" s="181">
        <v>7.9</v>
      </c>
      <c r="I15" s="181">
        <v>9.9</v>
      </c>
      <c r="J15" s="5">
        <v>10.199999999999999</v>
      </c>
      <c r="K15" s="5">
        <v>9.9</v>
      </c>
      <c r="L15" s="5">
        <v>10.3</v>
      </c>
      <c r="M15" s="126">
        <v>9.3000000000000007</v>
      </c>
      <c r="N15" s="126">
        <v>9.1</v>
      </c>
      <c r="O15" s="144">
        <v>10.1</v>
      </c>
      <c r="P15" s="144">
        <v>11.746</v>
      </c>
      <c r="Q15" s="144">
        <v>11.8</v>
      </c>
      <c r="R15" s="144">
        <v>11</v>
      </c>
      <c r="S15" s="144">
        <v>11.7</v>
      </c>
      <c r="T15" s="144">
        <v>12.743</v>
      </c>
      <c r="U15" s="144">
        <v>13.8</v>
      </c>
      <c r="V15" s="144">
        <v>13.53</v>
      </c>
      <c r="W15" s="147">
        <v>15.68</v>
      </c>
      <c r="X15" s="119">
        <v>13.84</v>
      </c>
      <c r="Y15" s="117">
        <v>13.1</v>
      </c>
      <c r="Z15" s="117">
        <v>13.1</v>
      </c>
      <c r="AA15" s="5">
        <v>14.4</v>
      </c>
      <c r="AB15" s="119">
        <v>13.75</v>
      </c>
      <c r="AC15" s="5">
        <v>14.2</v>
      </c>
      <c r="AD15" s="5">
        <v>13.6</v>
      </c>
      <c r="AE15" s="119">
        <v>12.224</v>
      </c>
      <c r="AF15" s="251">
        <v>14.4</v>
      </c>
    </row>
    <row r="16" spans="1:32" x14ac:dyDescent="0.2">
      <c r="A16" s="2" t="s">
        <v>728</v>
      </c>
      <c r="B16" s="262" t="s">
        <v>465</v>
      </c>
      <c r="C16" s="189">
        <f t="shared" ref="C16:AF16" si="2">SUM(C12:C15)</f>
        <v>14</v>
      </c>
      <c r="D16" s="189">
        <f t="shared" si="2"/>
        <v>21.299999999999997</v>
      </c>
      <c r="E16" s="189">
        <f t="shared" si="2"/>
        <v>22.1</v>
      </c>
      <c r="F16" s="189">
        <f t="shared" si="2"/>
        <v>19.5</v>
      </c>
      <c r="G16" s="189">
        <f t="shared" si="2"/>
        <v>19.399999999999999</v>
      </c>
      <c r="H16" s="189">
        <f t="shared" si="2"/>
        <v>18.5</v>
      </c>
      <c r="I16" s="189">
        <f t="shared" si="2"/>
        <v>19.899999999999999</v>
      </c>
      <c r="J16" s="189">
        <f t="shared" si="2"/>
        <v>19.8</v>
      </c>
      <c r="K16" s="189">
        <f t="shared" si="2"/>
        <v>19</v>
      </c>
      <c r="L16" s="189">
        <f t="shared" si="2"/>
        <v>20</v>
      </c>
      <c r="M16" s="189">
        <f t="shared" si="2"/>
        <v>18.600000000000001</v>
      </c>
      <c r="N16" s="189">
        <f t="shared" si="2"/>
        <v>20.2</v>
      </c>
      <c r="O16" s="189">
        <f t="shared" si="2"/>
        <v>22.299999999999997</v>
      </c>
      <c r="P16" s="189">
        <f t="shared" si="2"/>
        <v>23.298000000000002</v>
      </c>
      <c r="Q16" s="189">
        <f t="shared" si="2"/>
        <v>23.1</v>
      </c>
      <c r="R16" s="189">
        <f t="shared" si="2"/>
        <v>22.8</v>
      </c>
      <c r="S16" s="189">
        <f t="shared" si="2"/>
        <v>24.9</v>
      </c>
      <c r="T16" s="189">
        <f t="shared" si="2"/>
        <v>29.395000000000003</v>
      </c>
      <c r="U16" s="189">
        <f t="shared" si="2"/>
        <v>30.6</v>
      </c>
      <c r="V16" s="189">
        <f t="shared" si="2"/>
        <v>31.159999999999997</v>
      </c>
      <c r="W16" s="189">
        <f t="shared" si="2"/>
        <v>32.340000000000003</v>
      </c>
      <c r="X16" s="189">
        <f t="shared" si="2"/>
        <v>31.51</v>
      </c>
      <c r="Y16" s="189">
        <f t="shared" si="2"/>
        <v>29.9</v>
      </c>
      <c r="Z16" s="189">
        <f t="shared" si="2"/>
        <v>30</v>
      </c>
      <c r="AA16" s="189">
        <f t="shared" si="2"/>
        <v>31.700000000000003</v>
      </c>
      <c r="AB16" s="189">
        <f t="shared" si="2"/>
        <v>31.53</v>
      </c>
      <c r="AC16" s="189">
        <f t="shared" si="2"/>
        <v>34.099999999999994</v>
      </c>
      <c r="AD16" s="189">
        <f t="shared" si="2"/>
        <v>31.4</v>
      </c>
      <c r="AE16" s="189">
        <f t="shared" si="2"/>
        <v>29.587</v>
      </c>
      <c r="AF16" s="189">
        <f t="shared" si="2"/>
        <v>29.8</v>
      </c>
    </row>
    <row r="17" spans="1:32" ht="39.75" customHeight="1" x14ac:dyDescent="0.2">
      <c r="A17" s="161" t="s">
        <v>585</v>
      </c>
      <c r="B17" s="264" t="s">
        <v>724</v>
      </c>
      <c r="C17" s="128">
        <v>2.9</v>
      </c>
      <c r="D17" s="128">
        <v>4.0999999999999996</v>
      </c>
      <c r="E17" s="128">
        <v>4.3</v>
      </c>
      <c r="F17" s="128">
        <v>4.3</v>
      </c>
      <c r="G17" s="128">
        <v>4.4000000000000004</v>
      </c>
      <c r="H17" s="128">
        <v>4.7</v>
      </c>
      <c r="I17" s="128">
        <v>5.4</v>
      </c>
      <c r="J17" s="118">
        <v>5.0999999999999996</v>
      </c>
      <c r="K17" s="118">
        <v>4</v>
      </c>
      <c r="L17" s="118">
        <v>1.03</v>
      </c>
      <c r="M17" s="164" t="s">
        <v>46</v>
      </c>
      <c r="N17" s="164" t="s">
        <v>46</v>
      </c>
      <c r="O17" s="164" t="s">
        <v>46</v>
      </c>
      <c r="P17" s="164" t="s">
        <v>46</v>
      </c>
      <c r="Q17" s="164" t="s">
        <v>46</v>
      </c>
      <c r="R17" s="164" t="s">
        <v>46</v>
      </c>
      <c r="S17" s="164" t="s">
        <v>46</v>
      </c>
      <c r="T17" s="164" t="s">
        <v>46</v>
      </c>
      <c r="U17" s="164" t="s">
        <v>46</v>
      </c>
      <c r="V17" s="164" t="s">
        <v>46</v>
      </c>
      <c r="W17" s="164" t="s">
        <v>46</v>
      </c>
      <c r="X17" s="117"/>
      <c r="Y17" s="117"/>
      <c r="Z17" s="117"/>
      <c r="AA17" s="117"/>
      <c r="AB17" s="117"/>
      <c r="AC17" s="117"/>
      <c r="AD17" s="117"/>
      <c r="AE17" s="117"/>
      <c r="AF17" s="246"/>
    </row>
    <row r="18" spans="1:32" ht="33" customHeight="1" x14ac:dyDescent="0.2">
      <c r="A18" s="2" t="s">
        <v>727</v>
      </c>
      <c r="B18" s="264" t="s">
        <v>577</v>
      </c>
      <c r="C18" s="164">
        <v>0</v>
      </c>
      <c r="D18" s="164">
        <v>0</v>
      </c>
      <c r="E18" s="164">
        <v>0</v>
      </c>
      <c r="F18" s="182">
        <v>2.738</v>
      </c>
      <c r="G18" s="182">
        <v>4.2770000000000001</v>
      </c>
      <c r="H18" s="182">
        <v>4.6760000000000002</v>
      </c>
      <c r="I18" s="182">
        <v>3.4990000000000001</v>
      </c>
      <c r="J18" s="5">
        <v>3.3</v>
      </c>
      <c r="K18" s="265">
        <v>4.1909999999999998</v>
      </c>
      <c r="L18" s="265">
        <v>3.6</v>
      </c>
      <c r="M18" s="266">
        <v>4.2</v>
      </c>
      <c r="N18" s="266">
        <v>3</v>
      </c>
      <c r="O18" s="267">
        <v>3.5</v>
      </c>
      <c r="P18" s="267">
        <v>3</v>
      </c>
      <c r="Q18" s="144">
        <v>3.4649999999999999</v>
      </c>
      <c r="R18" s="144">
        <v>3.8940000000000001</v>
      </c>
      <c r="S18" s="144">
        <v>3.629</v>
      </c>
      <c r="T18" s="144">
        <v>3.3</v>
      </c>
      <c r="U18" s="144">
        <v>4</v>
      </c>
      <c r="V18" s="144">
        <v>4.28</v>
      </c>
      <c r="W18" s="147">
        <v>4</v>
      </c>
      <c r="X18" s="119">
        <v>2.2490000000000001</v>
      </c>
      <c r="Y18" s="117">
        <v>2.9</v>
      </c>
      <c r="Z18" s="164">
        <v>0</v>
      </c>
      <c r="AA18" s="164">
        <v>0</v>
      </c>
      <c r="AB18" s="164">
        <v>2</v>
      </c>
      <c r="AC18" s="119">
        <v>1.9450000000000001</v>
      </c>
      <c r="AD18" s="119">
        <v>1.9470000000000001</v>
      </c>
      <c r="AE18" s="5">
        <v>1.8</v>
      </c>
      <c r="AF18" s="251">
        <v>1.8</v>
      </c>
    </row>
    <row r="19" spans="1:32" x14ac:dyDescent="0.2">
      <c r="A19" s="2" t="s">
        <v>727</v>
      </c>
      <c r="B19" s="264" t="s">
        <v>578</v>
      </c>
      <c r="C19" s="164">
        <v>0</v>
      </c>
      <c r="D19" s="164">
        <v>0</v>
      </c>
      <c r="E19" s="164">
        <v>0</v>
      </c>
      <c r="F19" s="182">
        <v>7.7050000000000001</v>
      </c>
      <c r="G19" s="182">
        <v>8.2319999999999993</v>
      </c>
      <c r="H19" s="182">
        <v>9.1929999999999996</v>
      </c>
      <c r="I19" s="182">
        <v>8.1289999999999996</v>
      </c>
      <c r="J19" s="5">
        <v>9.6</v>
      </c>
      <c r="K19" s="265">
        <v>10.913</v>
      </c>
      <c r="L19" s="265">
        <v>11.2</v>
      </c>
      <c r="M19" s="266">
        <v>11.5</v>
      </c>
      <c r="N19" s="266">
        <v>11</v>
      </c>
      <c r="O19" s="267">
        <v>11.5</v>
      </c>
      <c r="P19" s="267">
        <v>10.199999999999999</v>
      </c>
      <c r="Q19" s="144">
        <v>9.9830000000000005</v>
      </c>
      <c r="R19" s="144">
        <v>9.8130000000000006</v>
      </c>
      <c r="S19" s="144">
        <v>9.7720000000000002</v>
      </c>
      <c r="T19" s="144">
        <v>10.3</v>
      </c>
      <c r="U19" s="144">
        <v>7.3</v>
      </c>
      <c r="V19" s="144">
        <v>7.6</v>
      </c>
      <c r="W19" s="140">
        <v>12.6</v>
      </c>
      <c r="X19" s="119">
        <v>8.984</v>
      </c>
      <c r="Y19" s="117">
        <v>12</v>
      </c>
      <c r="Z19" s="164">
        <v>0</v>
      </c>
      <c r="AA19" s="164">
        <v>0</v>
      </c>
      <c r="AB19" s="164">
        <v>12.6</v>
      </c>
      <c r="AC19" s="119">
        <v>9.5280000000000005</v>
      </c>
      <c r="AD19" s="119">
        <v>9.9440000000000008</v>
      </c>
      <c r="AE19" s="5">
        <v>8.4</v>
      </c>
      <c r="AF19" s="251">
        <v>9.4</v>
      </c>
    </row>
    <row r="20" spans="1:32" x14ac:dyDescent="0.2">
      <c r="A20" s="2" t="s">
        <v>727</v>
      </c>
      <c r="B20" s="264" t="s">
        <v>774</v>
      </c>
      <c r="C20" s="164">
        <v>0</v>
      </c>
      <c r="D20" s="164">
        <v>0</v>
      </c>
      <c r="E20" s="164">
        <v>0</v>
      </c>
      <c r="F20" s="182">
        <v>4.1929999999999996</v>
      </c>
      <c r="G20" s="182">
        <v>4.7670000000000003</v>
      </c>
      <c r="H20" s="182">
        <v>4.9560000000000004</v>
      </c>
      <c r="I20" s="182">
        <v>4.835</v>
      </c>
      <c r="J20" s="5">
        <v>4.9000000000000004</v>
      </c>
      <c r="K20" s="265">
        <v>5.8840000000000003</v>
      </c>
      <c r="L20" s="265">
        <v>5.2</v>
      </c>
      <c r="M20" s="266">
        <v>4.9000000000000004</v>
      </c>
      <c r="N20" s="266">
        <v>3.8</v>
      </c>
      <c r="O20" s="267">
        <v>4.5</v>
      </c>
      <c r="P20" s="267">
        <v>4.4000000000000004</v>
      </c>
      <c r="Q20" s="144">
        <v>4.0490000000000004</v>
      </c>
      <c r="R20" s="144">
        <v>4.7610000000000001</v>
      </c>
      <c r="S20" s="164">
        <v>0</v>
      </c>
      <c r="T20" s="164">
        <v>0</v>
      </c>
      <c r="U20" s="164">
        <v>0</v>
      </c>
      <c r="V20" s="164">
        <v>0</v>
      </c>
      <c r="W20" s="140">
        <v>7.2</v>
      </c>
      <c r="X20" s="119">
        <v>3.8610000000000002</v>
      </c>
      <c r="Y20" s="117">
        <v>6.4</v>
      </c>
      <c r="Z20" s="164">
        <v>0</v>
      </c>
      <c r="AA20" s="164">
        <v>0</v>
      </c>
      <c r="AB20" s="164">
        <v>3.7</v>
      </c>
      <c r="AC20" s="119">
        <v>4.109</v>
      </c>
      <c r="AD20" s="119">
        <v>3.8380000000000001</v>
      </c>
      <c r="AE20" s="5">
        <v>2.8</v>
      </c>
      <c r="AF20" s="251">
        <v>3</v>
      </c>
    </row>
    <row r="21" spans="1:32" x14ac:dyDescent="0.2">
      <c r="A21" s="2" t="s">
        <v>727</v>
      </c>
      <c r="B21" s="263" t="s">
        <v>745</v>
      </c>
      <c r="C21" s="164">
        <v>0</v>
      </c>
      <c r="D21" s="164">
        <v>0</v>
      </c>
      <c r="E21" s="164">
        <v>0</v>
      </c>
      <c r="F21" s="182">
        <v>2.8639999999999999</v>
      </c>
      <c r="G21" s="182">
        <v>3.9209999999999998</v>
      </c>
      <c r="H21" s="182">
        <v>3.5230000000000001</v>
      </c>
      <c r="I21" s="182">
        <v>3.899</v>
      </c>
      <c r="J21" s="5">
        <v>6.5</v>
      </c>
      <c r="K21" s="265">
        <v>4.2370000000000001</v>
      </c>
      <c r="L21" s="265">
        <v>3.5</v>
      </c>
      <c r="M21" s="266">
        <v>4.0999999999999996</v>
      </c>
      <c r="N21" s="266">
        <v>2.8</v>
      </c>
      <c r="O21" s="267">
        <v>4.3</v>
      </c>
      <c r="P21" s="267">
        <v>4.5</v>
      </c>
      <c r="Q21" s="144">
        <v>3.835</v>
      </c>
      <c r="R21" s="144">
        <v>1.962</v>
      </c>
      <c r="S21" s="144">
        <v>2.1549999999999998</v>
      </c>
      <c r="T21" s="144">
        <v>2</v>
      </c>
      <c r="U21" s="144">
        <v>3.7</v>
      </c>
      <c r="V21" s="144">
        <v>3.5</v>
      </c>
      <c r="W21" s="140">
        <v>4.7</v>
      </c>
      <c r="X21" s="119">
        <v>2.4940000000000002</v>
      </c>
      <c r="Y21" s="117">
        <v>4</v>
      </c>
      <c r="Z21" s="164">
        <v>0</v>
      </c>
      <c r="AA21" s="164">
        <v>0</v>
      </c>
      <c r="AB21" s="164">
        <v>2.2000000000000002</v>
      </c>
      <c r="AC21" s="119">
        <v>2.1629999999999998</v>
      </c>
      <c r="AD21" s="119">
        <v>1.702</v>
      </c>
      <c r="AE21" s="5">
        <v>1.5</v>
      </c>
      <c r="AF21" s="251">
        <v>1.8</v>
      </c>
    </row>
    <row r="22" spans="1:32" x14ac:dyDescent="0.2">
      <c r="A22" s="2" t="s">
        <v>727</v>
      </c>
      <c r="B22" s="263" t="s">
        <v>755</v>
      </c>
      <c r="C22" s="164">
        <v>0</v>
      </c>
      <c r="D22" s="164">
        <v>0</v>
      </c>
      <c r="E22" s="164">
        <v>0</v>
      </c>
      <c r="F22" s="182">
        <v>0.34300000000000003</v>
      </c>
      <c r="G22" s="182">
        <v>0.41299999999999998</v>
      </c>
      <c r="H22" s="182">
        <v>0.52200000000000002</v>
      </c>
      <c r="I22" s="182">
        <v>0.38500000000000001</v>
      </c>
      <c r="J22" s="119">
        <v>0.34899999999999998</v>
      </c>
      <c r="K22" s="265">
        <v>0.54800000000000004</v>
      </c>
      <c r="L22" s="265">
        <v>0.4</v>
      </c>
      <c r="M22" s="266">
        <v>0.4</v>
      </c>
      <c r="N22" s="266">
        <v>0.4</v>
      </c>
      <c r="O22" s="267">
        <v>1.2</v>
      </c>
      <c r="P22" s="267">
        <v>0.3</v>
      </c>
      <c r="Q22" s="144">
        <v>0.47299999999999998</v>
      </c>
      <c r="R22" s="144">
        <v>0.26100000000000001</v>
      </c>
      <c r="S22" s="164">
        <v>0</v>
      </c>
      <c r="T22" s="164">
        <v>0</v>
      </c>
      <c r="U22" s="164">
        <v>0</v>
      </c>
      <c r="V22" s="164">
        <v>0</v>
      </c>
      <c r="W22" s="164">
        <v>0</v>
      </c>
      <c r="X22" s="164">
        <v>0</v>
      </c>
      <c r="Y22" s="164">
        <v>0</v>
      </c>
      <c r="Z22" s="164">
        <v>0</v>
      </c>
      <c r="AA22" s="164">
        <v>0</v>
      </c>
      <c r="AB22" s="164">
        <v>0</v>
      </c>
      <c r="AC22" s="164">
        <v>0</v>
      </c>
      <c r="AD22" s="164">
        <v>0</v>
      </c>
      <c r="AE22" s="164">
        <v>0</v>
      </c>
      <c r="AF22" s="164">
        <v>0</v>
      </c>
    </row>
    <row r="23" spans="1:32" x14ac:dyDescent="0.2">
      <c r="A23" s="2" t="s">
        <v>727</v>
      </c>
      <c r="B23" s="262" t="s">
        <v>465</v>
      </c>
      <c r="C23" s="189">
        <f t="shared" ref="C23:AE23" si="3">SUM(C18:C22)</f>
        <v>0</v>
      </c>
      <c r="D23" s="189">
        <f t="shared" si="3"/>
        <v>0</v>
      </c>
      <c r="E23" s="189">
        <f t="shared" si="3"/>
        <v>0</v>
      </c>
      <c r="F23" s="189">
        <f t="shared" si="3"/>
        <v>17.843</v>
      </c>
      <c r="G23" s="189">
        <f t="shared" si="3"/>
        <v>21.61</v>
      </c>
      <c r="H23" s="189">
        <f t="shared" si="3"/>
        <v>22.869999999999997</v>
      </c>
      <c r="I23" s="189">
        <f t="shared" si="3"/>
        <v>20.747000000000003</v>
      </c>
      <c r="J23" s="189">
        <f t="shared" si="3"/>
        <v>24.648999999999997</v>
      </c>
      <c r="K23" s="189">
        <f t="shared" si="3"/>
        <v>25.773000000000003</v>
      </c>
      <c r="L23" s="189">
        <f t="shared" si="3"/>
        <v>23.9</v>
      </c>
      <c r="M23" s="189">
        <f t="shared" si="3"/>
        <v>25.1</v>
      </c>
      <c r="N23" s="189">
        <f t="shared" si="3"/>
        <v>21</v>
      </c>
      <c r="O23" s="189">
        <f t="shared" si="3"/>
        <v>25</v>
      </c>
      <c r="P23" s="189">
        <f t="shared" si="3"/>
        <v>22.400000000000002</v>
      </c>
      <c r="Q23" s="189">
        <f t="shared" si="3"/>
        <v>21.805</v>
      </c>
      <c r="R23" s="189">
        <f t="shared" si="3"/>
        <v>20.690999999999999</v>
      </c>
      <c r="S23" s="189">
        <f t="shared" si="3"/>
        <v>15.555999999999999</v>
      </c>
      <c r="T23" s="189">
        <f t="shared" si="3"/>
        <v>15.600000000000001</v>
      </c>
      <c r="U23" s="189">
        <f t="shared" si="3"/>
        <v>15</v>
      </c>
      <c r="V23" s="189">
        <f t="shared" si="3"/>
        <v>15.379999999999999</v>
      </c>
      <c r="W23" s="189">
        <f t="shared" si="3"/>
        <v>28.5</v>
      </c>
      <c r="X23" s="189">
        <f t="shared" si="3"/>
        <v>17.588000000000001</v>
      </c>
      <c r="Y23" s="189">
        <f t="shared" si="3"/>
        <v>25.3</v>
      </c>
      <c r="Z23" s="189">
        <f t="shared" si="3"/>
        <v>0</v>
      </c>
      <c r="AA23" s="189">
        <f t="shared" si="3"/>
        <v>0</v>
      </c>
      <c r="AB23" s="189">
        <f t="shared" si="3"/>
        <v>20.5</v>
      </c>
      <c r="AC23" s="189">
        <f t="shared" si="3"/>
        <v>17.745000000000001</v>
      </c>
      <c r="AD23" s="189">
        <f t="shared" si="3"/>
        <v>17.431000000000004</v>
      </c>
      <c r="AE23" s="189">
        <f t="shared" si="3"/>
        <v>14.5</v>
      </c>
      <c r="AF23" s="189">
        <f t="shared" ref="AF23" si="4">SUM(AF18:AF22)</f>
        <v>16</v>
      </c>
    </row>
    <row r="24" spans="1:32" ht="35.25" customHeight="1" x14ac:dyDescent="0.2">
      <c r="A24" s="202" t="s">
        <v>460</v>
      </c>
      <c r="B24" s="263" t="s">
        <v>582</v>
      </c>
      <c r="C24" s="205">
        <v>0</v>
      </c>
      <c r="D24" s="205">
        <v>0</v>
      </c>
      <c r="E24" s="205">
        <v>0</v>
      </c>
      <c r="F24" s="205">
        <v>0</v>
      </c>
      <c r="G24" s="205">
        <v>0</v>
      </c>
      <c r="H24" s="205">
        <v>0</v>
      </c>
      <c r="I24" s="195">
        <v>4.4459999999999997</v>
      </c>
      <c r="J24" s="195">
        <v>3.92</v>
      </c>
      <c r="K24" s="204">
        <v>3.7570000000000001</v>
      </c>
      <c r="L24" s="204">
        <v>3.3959999999999999</v>
      </c>
      <c r="M24" s="206">
        <v>3.7</v>
      </c>
      <c r="N24" s="206">
        <v>3.8</v>
      </c>
      <c r="O24" s="206">
        <v>3.2730000000000001</v>
      </c>
      <c r="P24" s="205">
        <v>0</v>
      </c>
      <c r="Q24" s="205">
        <v>0</v>
      </c>
      <c r="R24" s="205">
        <v>0</v>
      </c>
      <c r="S24" s="205">
        <v>0</v>
      </c>
      <c r="T24" s="205">
        <v>0</v>
      </c>
      <c r="U24" s="205">
        <v>0</v>
      </c>
      <c r="V24" s="205">
        <v>0</v>
      </c>
      <c r="W24" s="205">
        <v>0</v>
      </c>
      <c r="X24" s="205">
        <v>0</v>
      </c>
      <c r="Y24" s="205">
        <v>0</v>
      </c>
      <c r="Z24" s="205">
        <v>0</v>
      </c>
      <c r="AA24" s="205">
        <v>0</v>
      </c>
      <c r="AB24" s="205">
        <v>0</v>
      </c>
      <c r="AC24" s="205">
        <v>0</v>
      </c>
      <c r="AD24" s="205">
        <v>0</v>
      </c>
      <c r="AE24" s="205">
        <v>0</v>
      </c>
      <c r="AF24" s="205">
        <v>0</v>
      </c>
    </row>
    <row r="25" spans="1:32" ht="39" customHeight="1" x14ac:dyDescent="0.2">
      <c r="A25" s="212" t="s">
        <v>584</v>
      </c>
      <c r="B25" s="268" t="s">
        <v>583</v>
      </c>
      <c r="C25" s="186">
        <f t="shared" ref="C25:AE25" si="5">SUM(C5,C8,C11,C16,C23)</f>
        <v>32.4</v>
      </c>
      <c r="D25" s="186">
        <f t="shared" si="5"/>
        <v>41</v>
      </c>
      <c r="E25" s="186">
        <f t="shared" si="5"/>
        <v>40.700000000000003</v>
      </c>
      <c r="F25" s="186">
        <f t="shared" si="5"/>
        <v>56.742999999999995</v>
      </c>
      <c r="G25" s="186">
        <f t="shared" si="5"/>
        <v>64.41</v>
      </c>
      <c r="H25" s="186">
        <f t="shared" si="5"/>
        <v>65.569999999999993</v>
      </c>
      <c r="I25" s="186">
        <f t="shared" si="5"/>
        <v>63.346999999999994</v>
      </c>
      <c r="J25" s="186">
        <f t="shared" si="5"/>
        <v>67.349000000000004</v>
      </c>
      <c r="K25" s="186">
        <f t="shared" si="5"/>
        <v>65.466000000000008</v>
      </c>
      <c r="L25" s="186">
        <f t="shared" si="5"/>
        <v>68.054000000000002</v>
      </c>
      <c r="M25" s="186">
        <f t="shared" si="5"/>
        <v>74.331000000000003</v>
      </c>
      <c r="N25" s="186">
        <f t="shared" si="5"/>
        <v>83.022000000000006</v>
      </c>
      <c r="O25" s="186">
        <f t="shared" si="5"/>
        <v>95.717999999999989</v>
      </c>
      <c r="P25" s="186">
        <f t="shared" si="5"/>
        <v>96.198000000000008</v>
      </c>
      <c r="Q25" s="186">
        <f t="shared" si="5"/>
        <v>93.705000000000013</v>
      </c>
      <c r="R25" s="186">
        <f t="shared" si="5"/>
        <v>91.251000000000005</v>
      </c>
      <c r="S25" s="186">
        <f t="shared" si="5"/>
        <v>94.655999999999992</v>
      </c>
      <c r="T25" s="186">
        <f t="shared" si="5"/>
        <v>98.444999999999993</v>
      </c>
      <c r="U25" s="186">
        <f t="shared" si="5"/>
        <v>95.9</v>
      </c>
      <c r="V25" s="186">
        <f t="shared" si="5"/>
        <v>100.43899999999999</v>
      </c>
      <c r="W25" s="186">
        <f t="shared" si="5"/>
        <v>118.24000000000001</v>
      </c>
      <c r="X25" s="186">
        <f t="shared" si="5"/>
        <v>100.148</v>
      </c>
      <c r="Y25" s="186">
        <f t="shared" si="5"/>
        <v>108.49999999999999</v>
      </c>
      <c r="Z25" s="186">
        <f t="shared" si="5"/>
        <v>81.3</v>
      </c>
      <c r="AA25" s="186">
        <f t="shared" si="5"/>
        <v>83</v>
      </c>
      <c r="AB25" s="186">
        <f t="shared" si="5"/>
        <v>108.43</v>
      </c>
      <c r="AC25" s="186">
        <f t="shared" si="5"/>
        <v>104.44499999999999</v>
      </c>
      <c r="AD25" s="186">
        <f t="shared" si="5"/>
        <v>94.638000000000005</v>
      </c>
      <c r="AE25" s="186">
        <f t="shared" si="5"/>
        <v>80.837000000000003</v>
      </c>
      <c r="AF25" s="186">
        <f t="shared" ref="AF25" si="6">SUM(AF5,AF8,AF11,AF16,AF23)</f>
        <v>89.7</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9"/>
  <sheetViews>
    <sheetView zoomScaleNormal="100" workbookViewId="0">
      <pane xSplit="1" topLeftCell="T1" activePane="topRight" state="frozen"/>
      <selection activeCell="B8" sqref="B8"/>
      <selection pane="topRight" activeCell="B8" sqref="B8"/>
    </sheetView>
  </sheetViews>
  <sheetFormatPr defaultRowHeight="15" x14ac:dyDescent="0.2"/>
  <cols>
    <col min="1" max="1" width="32.109375" style="6" customWidth="1"/>
    <col min="2" max="2" width="9.88671875" style="6" customWidth="1"/>
    <col min="3" max="3" width="9.33203125" style="6" customWidth="1"/>
    <col min="4" max="4" width="9.44140625" style="6" customWidth="1"/>
    <col min="5" max="5" width="7.88671875" style="6" customWidth="1"/>
    <col min="6" max="6" width="8.5546875" style="6" customWidth="1"/>
    <col min="7" max="7" width="8.88671875" style="6" customWidth="1"/>
    <col min="8" max="8" width="7.44140625" style="6" customWidth="1"/>
    <col min="9" max="9" width="7.33203125" style="6" customWidth="1"/>
    <col min="10" max="10" width="7.5546875" style="6" customWidth="1"/>
    <col min="11" max="11" width="7.44140625" style="6" customWidth="1"/>
    <col min="12" max="32" width="8.5546875" style="6" customWidth="1"/>
    <col min="33" max="16384" width="8.88671875" style="6"/>
  </cols>
  <sheetData>
    <row r="1" spans="1:33" s="5" customFormat="1" ht="15.75" x14ac:dyDescent="0.25">
      <c r="A1" s="1" t="s">
        <v>853</v>
      </c>
      <c r="B1" s="1"/>
      <c r="C1" s="1"/>
      <c r="D1" s="1"/>
      <c r="E1" s="1"/>
      <c r="F1" s="1"/>
      <c r="G1" s="1"/>
      <c r="H1" s="1"/>
      <c r="I1" s="1"/>
      <c r="J1" s="1"/>
      <c r="K1" s="1"/>
      <c r="L1" s="2"/>
      <c r="M1" s="3"/>
      <c r="N1" s="4"/>
      <c r="O1" s="4"/>
      <c r="P1" s="2"/>
    </row>
    <row r="2" spans="1:33" s="5" customFormat="1" ht="15.75" x14ac:dyDescent="0.25">
      <c r="A2" s="2" t="s">
        <v>5</v>
      </c>
      <c r="B2" s="2"/>
      <c r="C2" s="2"/>
      <c r="D2" s="2"/>
      <c r="E2" s="2"/>
      <c r="F2" s="2"/>
      <c r="G2" s="2"/>
      <c r="H2" s="2"/>
      <c r="I2" s="2"/>
      <c r="J2" s="2"/>
      <c r="K2" s="2"/>
      <c r="L2" s="2"/>
      <c r="M2" s="3"/>
      <c r="N2" s="4"/>
      <c r="O2" s="4"/>
      <c r="P2" s="2"/>
    </row>
    <row r="3" spans="1:33" s="5" customFormat="1" ht="15.75" x14ac:dyDescent="0.25">
      <c r="A3" s="5" t="s">
        <v>69</v>
      </c>
      <c r="L3" s="2"/>
      <c r="M3" s="3"/>
      <c r="N3" s="4"/>
      <c r="O3" s="4"/>
      <c r="P3" s="2"/>
    </row>
    <row r="4" spans="1:33" s="260" customFormat="1" ht="15.75" x14ac:dyDescent="0.25">
      <c r="A4" s="245" t="s">
        <v>6</v>
      </c>
      <c r="B4" s="260" t="s">
        <v>68</v>
      </c>
      <c r="C4" s="260" t="s">
        <v>62</v>
      </c>
      <c r="D4" s="260" t="s">
        <v>63</v>
      </c>
      <c r="E4" s="260" t="s">
        <v>54</v>
      </c>
      <c r="F4" s="260" t="s">
        <v>55</v>
      </c>
      <c r="G4" s="260" t="s">
        <v>56</v>
      </c>
      <c r="H4" s="260" t="s">
        <v>40</v>
      </c>
      <c r="I4" s="260" t="s">
        <v>41</v>
      </c>
      <c r="J4" s="260" t="s">
        <v>42</v>
      </c>
      <c r="K4" s="260" t="s">
        <v>43</v>
      </c>
      <c r="L4" s="260" t="s">
        <v>17</v>
      </c>
      <c r="M4" s="260" t="s">
        <v>18</v>
      </c>
      <c r="N4" s="260" t="s">
        <v>44</v>
      </c>
      <c r="O4" s="260" t="s">
        <v>19</v>
      </c>
      <c r="P4" s="260" t="s">
        <v>20</v>
      </c>
      <c r="Q4" s="260" t="s">
        <v>21</v>
      </c>
      <c r="R4" s="260" t="s">
        <v>22</v>
      </c>
      <c r="S4" s="260" t="s">
        <v>23</v>
      </c>
      <c r="T4" s="260" t="s">
        <v>24</v>
      </c>
      <c r="U4" s="260" t="s">
        <v>25</v>
      </c>
      <c r="V4" s="260" t="s">
        <v>26</v>
      </c>
      <c r="W4" s="260" t="s">
        <v>27</v>
      </c>
      <c r="X4" s="260" t="s">
        <v>28</v>
      </c>
      <c r="Y4" s="260" t="s">
        <v>29</v>
      </c>
      <c r="Z4" s="260" t="s">
        <v>30</v>
      </c>
      <c r="AA4" s="260" t="s">
        <v>31</v>
      </c>
      <c r="AB4" s="260" t="s">
        <v>32</v>
      </c>
      <c r="AC4" s="260" t="s">
        <v>33</v>
      </c>
      <c r="AD4" s="260" t="s">
        <v>34</v>
      </c>
      <c r="AE4" s="260" t="s">
        <v>35</v>
      </c>
      <c r="AF4" s="260" t="s">
        <v>36</v>
      </c>
      <c r="AG4" s="245" t="s">
        <v>857</v>
      </c>
    </row>
    <row r="5" spans="1:33" x14ac:dyDescent="0.2">
      <c r="A5" s="6" t="s">
        <v>75</v>
      </c>
      <c r="B5" s="17">
        <v>18.899999999999999</v>
      </c>
      <c r="C5" s="17">
        <v>19.600000000000001</v>
      </c>
      <c r="D5" s="17">
        <v>19.7</v>
      </c>
      <c r="E5" s="17">
        <v>19.5</v>
      </c>
      <c r="F5" s="17">
        <v>22.9</v>
      </c>
      <c r="G5" s="17">
        <v>26.3</v>
      </c>
      <c r="H5" s="17">
        <v>31.3</v>
      </c>
      <c r="I5" s="18">
        <v>29.3</v>
      </c>
      <c r="J5" s="9">
        <v>31.9</v>
      </c>
      <c r="K5" s="9">
        <v>27.8</v>
      </c>
      <c r="L5" s="9">
        <v>17.66</v>
      </c>
      <c r="M5" s="9">
        <v>13.54</v>
      </c>
      <c r="N5" s="9">
        <v>12.29</v>
      </c>
      <c r="O5" s="9">
        <v>12.34</v>
      </c>
      <c r="P5" s="12">
        <v>13.68</v>
      </c>
      <c r="Q5" s="9">
        <v>16.94776799103494</v>
      </c>
      <c r="R5" s="9">
        <v>12.543928627198307</v>
      </c>
      <c r="S5" s="9">
        <v>15.06892959290888</v>
      </c>
      <c r="T5" s="9">
        <v>15.792978914750636</v>
      </c>
      <c r="U5" s="9">
        <v>13.59</v>
      </c>
      <c r="V5" s="14">
        <v>11.49</v>
      </c>
      <c r="W5" s="13">
        <v>11.12</v>
      </c>
      <c r="X5" s="19">
        <v>7.22</v>
      </c>
      <c r="Y5" s="19">
        <v>5.93</v>
      </c>
      <c r="Z5" s="12">
        <v>5.41</v>
      </c>
      <c r="AA5" s="57" t="s">
        <v>427</v>
      </c>
      <c r="AB5" s="57" t="s">
        <v>427</v>
      </c>
      <c r="AC5" s="57" t="s">
        <v>427</v>
      </c>
      <c r="AD5" s="57" t="s">
        <v>427</v>
      </c>
      <c r="AE5" s="57" t="s">
        <v>427</v>
      </c>
      <c r="AF5" s="57" t="s">
        <v>427</v>
      </c>
      <c r="AG5" s="103" t="s">
        <v>427</v>
      </c>
    </row>
    <row r="6" spans="1:33" x14ac:dyDescent="0.2">
      <c r="A6" s="6" t="s">
        <v>76</v>
      </c>
      <c r="B6" s="17">
        <v>1</v>
      </c>
      <c r="C6" s="17">
        <v>1.2</v>
      </c>
      <c r="D6" s="17">
        <v>1</v>
      </c>
      <c r="E6" s="17">
        <v>0.3</v>
      </c>
      <c r="F6" s="17">
        <v>0.5</v>
      </c>
      <c r="G6" s="17">
        <v>1.2</v>
      </c>
      <c r="H6" s="17">
        <v>0.6</v>
      </c>
      <c r="I6" s="18">
        <v>1.3</v>
      </c>
      <c r="J6" s="9">
        <v>1.5</v>
      </c>
      <c r="K6" s="9">
        <v>1.3</v>
      </c>
      <c r="L6" s="9">
        <v>1.17</v>
      </c>
      <c r="M6" s="9">
        <v>1.5</v>
      </c>
      <c r="N6" s="9">
        <v>1.1399999999999999</v>
      </c>
      <c r="O6" s="9">
        <v>1.26</v>
      </c>
      <c r="P6" s="12">
        <v>1.06</v>
      </c>
      <c r="Q6" s="9">
        <v>2.1467317774842001</v>
      </c>
      <c r="R6" s="9">
        <v>1.58693599270409</v>
      </c>
      <c r="S6" s="9">
        <v>1.2838314572966281</v>
      </c>
      <c r="T6" s="9">
        <v>1.39725731933575</v>
      </c>
      <c r="U6" s="9">
        <v>1.02</v>
      </c>
      <c r="V6" s="14">
        <v>1.23</v>
      </c>
      <c r="W6" s="13">
        <v>0.67</v>
      </c>
      <c r="X6" s="19">
        <v>0.76</v>
      </c>
      <c r="Y6" s="19">
        <v>0.67</v>
      </c>
      <c r="Z6" s="12">
        <v>0.78</v>
      </c>
      <c r="AA6" s="57" t="s">
        <v>427</v>
      </c>
      <c r="AB6" s="57" t="s">
        <v>427</v>
      </c>
      <c r="AC6" s="57" t="s">
        <v>427</v>
      </c>
      <c r="AD6" s="57" t="s">
        <v>427</v>
      </c>
      <c r="AE6" s="57" t="s">
        <v>427</v>
      </c>
      <c r="AF6" s="57" t="s">
        <v>427</v>
      </c>
      <c r="AG6" s="103" t="s">
        <v>427</v>
      </c>
    </row>
    <row r="7" spans="1:33" x14ac:dyDescent="0.2">
      <c r="A7" s="6" t="s">
        <v>77</v>
      </c>
      <c r="B7" s="17">
        <v>5.4</v>
      </c>
      <c r="C7" s="17">
        <v>5.9</v>
      </c>
      <c r="D7" s="17">
        <v>5</v>
      </c>
      <c r="E7" s="17">
        <v>4.7</v>
      </c>
      <c r="F7" s="17">
        <v>4.0999999999999996</v>
      </c>
      <c r="G7" s="17">
        <v>4.5</v>
      </c>
      <c r="H7" s="17">
        <v>4.2</v>
      </c>
      <c r="I7" s="18">
        <v>4</v>
      </c>
      <c r="J7" s="9">
        <v>6.3</v>
      </c>
      <c r="K7" s="9">
        <v>6.2</v>
      </c>
      <c r="L7" s="9">
        <v>5.85</v>
      </c>
      <c r="M7" s="9">
        <v>5.59</v>
      </c>
      <c r="N7" s="9">
        <v>5.77</v>
      </c>
      <c r="O7" s="9">
        <v>5.91</v>
      </c>
      <c r="P7" s="12">
        <v>5.75</v>
      </c>
      <c r="Q7" s="9">
        <v>6.4366857893155309</v>
      </c>
      <c r="R7" s="9">
        <v>6.4505637530690771</v>
      </c>
      <c r="S7" s="9">
        <v>6.4347060806170919</v>
      </c>
      <c r="T7" s="9">
        <v>6.0901670190374695</v>
      </c>
      <c r="U7" s="9">
        <v>5.23</v>
      </c>
      <c r="V7" s="9">
        <v>5.23</v>
      </c>
      <c r="W7" s="13">
        <v>4.54</v>
      </c>
      <c r="X7" s="19">
        <v>4.5599999999999996</v>
      </c>
      <c r="Y7" s="19">
        <v>4.79</v>
      </c>
      <c r="Z7" s="12">
        <v>5.62</v>
      </c>
      <c r="AA7" s="57" t="s">
        <v>427</v>
      </c>
      <c r="AB7" s="57" t="s">
        <v>427</v>
      </c>
      <c r="AC7" s="57" t="s">
        <v>427</v>
      </c>
      <c r="AD7" s="57" t="s">
        <v>427</v>
      </c>
      <c r="AE7" s="57" t="s">
        <v>427</v>
      </c>
      <c r="AF7" s="57" t="s">
        <v>427</v>
      </c>
      <c r="AG7" s="103" t="s">
        <v>427</v>
      </c>
    </row>
    <row r="8" spans="1:33" x14ac:dyDescent="0.2">
      <c r="A8" s="6" t="s">
        <v>78</v>
      </c>
      <c r="B8" s="17">
        <v>25.2</v>
      </c>
      <c r="C8" s="17">
        <v>26.7</v>
      </c>
      <c r="D8" s="17">
        <v>25.7</v>
      </c>
      <c r="E8" s="17">
        <v>24.5</v>
      </c>
      <c r="F8" s="17">
        <v>27.5</v>
      </c>
      <c r="G8" s="17">
        <v>31.9</v>
      </c>
      <c r="H8" s="17">
        <v>36.200000000000003</v>
      </c>
      <c r="I8" s="18">
        <v>34.5</v>
      </c>
      <c r="J8" s="9">
        <v>39.700000000000003</v>
      </c>
      <c r="K8" s="9">
        <v>35.299999999999997</v>
      </c>
      <c r="L8" s="9">
        <v>24.68</v>
      </c>
      <c r="M8" s="9">
        <v>20.63</v>
      </c>
      <c r="N8" s="9">
        <f>SUM(N5:N7)</f>
        <v>19.2</v>
      </c>
      <c r="O8" s="9">
        <v>19.5</v>
      </c>
      <c r="P8" s="9">
        <f t="shared" ref="P8:W8" si="0">SUM(P5:P7)</f>
        <v>20.490000000000002</v>
      </c>
      <c r="Q8" s="9">
        <f t="shared" si="0"/>
        <v>25.531185557834668</v>
      </c>
      <c r="R8" s="9">
        <f t="shared" si="0"/>
        <v>20.581428372971473</v>
      </c>
      <c r="S8" s="9">
        <f t="shared" si="0"/>
        <v>22.787467130822598</v>
      </c>
      <c r="T8" s="9">
        <f t="shared" si="0"/>
        <v>23.280403253123854</v>
      </c>
      <c r="U8" s="9">
        <f t="shared" si="0"/>
        <v>19.84</v>
      </c>
      <c r="V8" s="9">
        <f t="shared" si="0"/>
        <v>17.950000000000003</v>
      </c>
      <c r="W8" s="9">
        <f t="shared" si="0"/>
        <v>16.329999999999998</v>
      </c>
      <c r="X8" s="9">
        <f>SUM(X5:X7)</f>
        <v>12.54</v>
      </c>
      <c r="Y8" s="9">
        <f>SUM(Y5:Y7)</f>
        <v>11.39</v>
      </c>
      <c r="Z8" s="9">
        <f>SUM(Z5:Z7)</f>
        <v>11.81</v>
      </c>
      <c r="AA8" s="15">
        <v>14.195369558767768</v>
      </c>
      <c r="AB8" s="57" t="s">
        <v>427</v>
      </c>
      <c r="AC8" s="57" t="s">
        <v>427</v>
      </c>
      <c r="AD8" s="57" t="s">
        <v>427</v>
      </c>
      <c r="AE8" s="57" t="s">
        <v>427</v>
      </c>
      <c r="AF8" s="57" t="s">
        <v>427</v>
      </c>
      <c r="AG8" s="103" t="s">
        <v>427</v>
      </c>
    </row>
    <row r="9" spans="1:33" ht="34.5" customHeight="1" x14ac:dyDescent="0.2">
      <c r="A9" s="6" t="s">
        <v>79</v>
      </c>
      <c r="B9" s="17">
        <v>3.2</v>
      </c>
      <c r="C9" s="17">
        <v>2.5499999999999998</v>
      </c>
      <c r="D9" s="17">
        <v>2.64</v>
      </c>
      <c r="E9" s="17">
        <v>2.5099999999999998</v>
      </c>
      <c r="F9" s="17">
        <v>2.08</v>
      </c>
      <c r="G9" s="17">
        <v>1.86</v>
      </c>
      <c r="H9" s="17">
        <v>2.35</v>
      </c>
      <c r="I9" s="17">
        <v>2.5299999999999998</v>
      </c>
      <c r="J9" s="9">
        <v>2.56</v>
      </c>
      <c r="K9" s="9">
        <v>2.58</v>
      </c>
      <c r="L9" s="9">
        <v>1.54</v>
      </c>
      <c r="M9" s="9">
        <v>1.9</v>
      </c>
      <c r="N9" s="9">
        <v>1.81</v>
      </c>
      <c r="O9" s="9">
        <v>1.54</v>
      </c>
      <c r="P9" s="12">
        <v>1.34</v>
      </c>
      <c r="Q9" s="9">
        <v>1.7634966673461201</v>
      </c>
      <c r="R9" s="9">
        <v>1.4819304125724</v>
      </c>
      <c r="S9" s="9">
        <v>1.8314628235872488</v>
      </c>
      <c r="T9" s="9">
        <v>1.74602206669689</v>
      </c>
      <c r="U9" s="9">
        <v>3.59</v>
      </c>
      <c r="V9" s="14">
        <v>1.88</v>
      </c>
      <c r="W9" s="13">
        <v>2.42</v>
      </c>
      <c r="X9" s="19">
        <v>2.57</v>
      </c>
      <c r="Y9" s="9">
        <v>2.1</v>
      </c>
      <c r="Z9" s="12">
        <v>2.19</v>
      </c>
      <c r="AA9" s="57" t="s">
        <v>427</v>
      </c>
      <c r="AB9" s="57" t="s">
        <v>427</v>
      </c>
      <c r="AC9" s="57" t="s">
        <v>427</v>
      </c>
      <c r="AD9" s="57" t="s">
        <v>427</v>
      </c>
      <c r="AE9" s="57" t="s">
        <v>427</v>
      </c>
      <c r="AF9" s="57" t="s">
        <v>427</v>
      </c>
      <c r="AG9" s="103" t="s">
        <v>427</v>
      </c>
    </row>
    <row r="10" spans="1:33" x14ac:dyDescent="0.2">
      <c r="A10" s="6" t="s">
        <v>80</v>
      </c>
      <c r="B10" s="17">
        <v>1.87</v>
      </c>
      <c r="C10" s="17">
        <v>1.89</v>
      </c>
      <c r="D10" s="17">
        <v>1.81</v>
      </c>
      <c r="E10" s="17">
        <v>1.81</v>
      </c>
      <c r="F10" s="17">
        <v>1.85</v>
      </c>
      <c r="G10" s="17">
        <v>1.85</v>
      </c>
      <c r="H10" s="17">
        <v>1.86</v>
      </c>
      <c r="I10" s="17">
        <v>1.88</v>
      </c>
      <c r="J10" s="9">
        <v>0.32</v>
      </c>
      <c r="K10" s="20">
        <v>0</v>
      </c>
      <c r="L10" s="20">
        <v>0</v>
      </c>
      <c r="M10" s="20">
        <v>0</v>
      </c>
      <c r="N10" s="20" t="s">
        <v>37</v>
      </c>
      <c r="O10" s="20" t="s">
        <v>37</v>
      </c>
      <c r="P10" s="20" t="s">
        <v>37</v>
      </c>
      <c r="Q10" s="20" t="s">
        <v>37</v>
      </c>
      <c r="R10" s="20" t="s">
        <v>37</v>
      </c>
      <c r="S10" s="20" t="s">
        <v>37</v>
      </c>
      <c r="T10" s="20" t="s">
        <v>37</v>
      </c>
      <c r="U10" s="20" t="s">
        <v>37</v>
      </c>
      <c r="V10" s="20" t="s">
        <v>37</v>
      </c>
      <c r="W10" s="20" t="s">
        <v>37</v>
      </c>
      <c r="X10" s="20" t="s">
        <v>37</v>
      </c>
      <c r="Y10" s="20" t="s">
        <v>37</v>
      </c>
      <c r="Z10" s="20" t="s">
        <v>37</v>
      </c>
      <c r="AA10" s="57" t="s">
        <v>427</v>
      </c>
      <c r="AB10" s="57" t="s">
        <v>427</v>
      </c>
      <c r="AC10" s="57" t="s">
        <v>427</v>
      </c>
      <c r="AD10" s="57" t="s">
        <v>427</v>
      </c>
      <c r="AE10" s="57" t="s">
        <v>427</v>
      </c>
      <c r="AF10" s="57" t="s">
        <v>427</v>
      </c>
      <c r="AG10" s="103" t="s">
        <v>427</v>
      </c>
    </row>
    <row r="11" spans="1:33" x14ac:dyDescent="0.2">
      <c r="A11" s="6" t="s">
        <v>81</v>
      </c>
      <c r="B11" s="17">
        <v>5.07</v>
      </c>
      <c r="C11" s="17">
        <v>4.4400000000000004</v>
      </c>
      <c r="D11" s="17">
        <v>4.45</v>
      </c>
      <c r="E11" s="17">
        <v>4.32</v>
      </c>
      <c r="F11" s="17">
        <v>3.93</v>
      </c>
      <c r="G11" s="17">
        <v>3.71</v>
      </c>
      <c r="H11" s="17">
        <v>4.21</v>
      </c>
      <c r="I11" s="17">
        <v>4.41</v>
      </c>
      <c r="J11" s="9">
        <v>2.88</v>
      </c>
      <c r="K11" s="9">
        <v>2.58</v>
      </c>
      <c r="L11" s="9">
        <f t="shared" ref="L11:T11" si="1">SUM(L9:L10)</f>
        <v>1.54</v>
      </c>
      <c r="M11" s="9">
        <f t="shared" si="1"/>
        <v>1.9</v>
      </c>
      <c r="N11" s="9">
        <f t="shared" si="1"/>
        <v>1.81</v>
      </c>
      <c r="O11" s="9">
        <f t="shared" si="1"/>
        <v>1.54</v>
      </c>
      <c r="P11" s="9">
        <f t="shared" si="1"/>
        <v>1.34</v>
      </c>
      <c r="Q11" s="9">
        <f t="shared" si="1"/>
        <v>1.7634966673461201</v>
      </c>
      <c r="R11" s="9">
        <f t="shared" si="1"/>
        <v>1.4819304125724</v>
      </c>
      <c r="S11" s="9">
        <f t="shared" si="1"/>
        <v>1.8314628235872488</v>
      </c>
      <c r="T11" s="9">
        <f t="shared" si="1"/>
        <v>1.74602206669689</v>
      </c>
      <c r="U11" s="9">
        <v>3.59</v>
      </c>
      <c r="V11" s="14">
        <v>1.88</v>
      </c>
      <c r="W11" s="13">
        <v>2.42</v>
      </c>
      <c r="X11" s="19">
        <v>2.57</v>
      </c>
      <c r="Y11" s="9">
        <v>2.1</v>
      </c>
      <c r="Z11" s="12">
        <v>2.19</v>
      </c>
      <c r="AA11" s="57" t="s">
        <v>427</v>
      </c>
      <c r="AB11" s="57" t="s">
        <v>427</v>
      </c>
      <c r="AC11" s="57" t="s">
        <v>427</v>
      </c>
      <c r="AD11" s="57" t="s">
        <v>427</v>
      </c>
      <c r="AE11" s="57" t="s">
        <v>427</v>
      </c>
      <c r="AF11" s="57" t="s">
        <v>427</v>
      </c>
      <c r="AG11" s="103" t="s">
        <v>427</v>
      </c>
    </row>
    <row r="12" spans="1:33" ht="30" customHeight="1" x14ac:dyDescent="0.2">
      <c r="A12" s="6" t="s">
        <v>70</v>
      </c>
      <c r="B12" s="17">
        <v>0.04</v>
      </c>
      <c r="C12" s="21">
        <v>0</v>
      </c>
      <c r="D12" s="17">
        <v>0.04</v>
      </c>
      <c r="E12" s="17">
        <v>0.03</v>
      </c>
      <c r="F12" s="17">
        <v>0.03</v>
      </c>
      <c r="G12" s="17">
        <v>0.03</v>
      </c>
      <c r="H12" s="17">
        <v>0.03</v>
      </c>
      <c r="I12" s="22">
        <v>0</v>
      </c>
      <c r="J12" s="22">
        <v>0</v>
      </c>
      <c r="K12" s="22">
        <v>0</v>
      </c>
      <c r="L12" s="22">
        <v>0</v>
      </c>
      <c r="M12" s="22">
        <v>0</v>
      </c>
      <c r="N12" s="23">
        <v>0.01</v>
      </c>
      <c r="O12" s="22">
        <v>0</v>
      </c>
      <c r="P12" s="22">
        <v>0</v>
      </c>
      <c r="Q12" s="22">
        <v>0</v>
      </c>
      <c r="R12" s="22">
        <v>0</v>
      </c>
      <c r="S12" s="22">
        <v>0</v>
      </c>
      <c r="T12" s="22">
        <v>0</v>
      </c>
      <c r="U12" s="22">
        <v>0</v>
      </c>
      <c r="V12" s="22">
        <v>0</v>
      </c>
      <c r="W12" s="22">
        <v>0</v>
      </c>
      <c r="X12" s="22">
        <v>0</v>
      </c>
      <c r="Y12" s="22">
        <v>0</v>
      </c>
      <c r="Z12" s="12">
        <v>0.05</v>
      </c>
      <c r="AA12" s="57" t="s">
        <v>427</v>
      </c>
      <c r="AB12" s="57" t="s">
        <v>427</v>
      </c>
      <c r="AC12" s="57" t="s">
        <v>427</v>
      </c>
      <c r="AD12" s="57" t="s">
        <v>427</v>
      </c>
      <c r="AE12" s="57" t="s">
        <v>427</v>
      </c>
      <c r="AF12" s="57" t="s">
        <v>427</v>
      </c>
      <c r="AG12" s="103" t="s">
        <v>427</v>
      </c>
    </row>
    <row r="13" spans="1:33" x14ac:dyDescent="0.2">
      <c r="A13" s="6" t="s">
        <v>71</v>
      </c>
      <c r="B13" s="17">
        <v>6</v>
      </c>
      <c r="C13" s="17">
        <v>6.1</v>
      </c>
      <c r="D13" s="17">
        <v>5.43</v>
      </c>
      <c r="E13" s="17">
        <v>5.46</v>
      </c>
      <c r="F13" s="17">
        <v>5.16</v>
      </c>
      <c r="G13" s="17">
        <v>4.4800000000000004</v>
      </c>
      <c r="H13" s="17">
        <v>4.62</v>
      </c>
      <c r="I13" s="24">
        <v>4.34</v>
      </c>
      <c r="J13" s="9">
        <v>4.8</v>
      </c>
      <c r="K13" s="9">
        <v>4.5599999999999996</v>
      </c>
      <c r="L13" s="9">
        <v>5.63</v>
      </c>
      <c r="M13" s="9">
        <v>4.62</v>
      </c>
      <c r="N13" s="14">
        <v>3.96</v>
      </c>
      <c r="O13" s="14">
        <v>4.05</v>
      </c>
      <c r="P13" s="12">
        <v>3.92</v>
      </c>
      <c r="Q13" s="9">
        <v>4.7690000000000001</v>
      </c>
      <c r="R13" s="9">
        <v>4.1909999999999998</v>
      </c>
      <c r="S13" s="9">
        <v>4.1017536827348735</v>
      </c>
      <c r="T13" s="9">
        <v>3.9939536514785852</v>
      </c>
      <c r="U13" s="9">
        <v>3.43</v>
      </c>
      <c r="V13" s="14">
        <v>3.04</v>
      </c>
      <c r="W13" s="15">
        <v>2.7412466978482923</v>
      </c>
      <c r="X13" s="19">
        <v>2.1800000000000002</v>
      </c>
      <c r="Y13" s="19">
        <v>1.93</v>
      </c>
      <c r="Z13" s="12">
        <v>1.64</v>
      </c>
      <c r="AA13" s="57" t="s">
        <v>427</v>
      </c>
      <c r="AB13" s="57" t="s">
        <v>427</v>
      </c>
      <c r="AC13" s="57" t="s">
        <v>427</v>
      </c>
      <c r="AD13" s="57" t="s">
        <v>427</v>
      </c>
      <c r="AE13" s="57" t="s">
        <v>427</v>
      </c>
      <c r="AF13" s="57" t="s">
        <v>427</v>
      </c>
      <c r="AG13" s="103" t="s">
        <v>427</v>
      </c>
    </row>
    <row r="14" spans="1:33" x14ac:dyDescent="0.2">
      <c r="A14" s="6" t="s">
        <v>72</v>
      </c>
      <c r="B14" s="17">
        <v>1.37</v>
      </c>
      <c r="C14" s="17">
        <v>1.45</v>
      </c>
      <c r="D14" s="17">
        <v>1.1399999999999999</v>
      </c>
      <c r="E14" s="17">
        <v>1.1299999999999999</v>
      </c>
      <c r="F14" s="17">
        <v>1.1499999999999999</v>
      </c>
      <c r="G14" s="17">
        <v>1.5</v>
      </c>
      <c r="H14" s="17">
        <v>1.52</v>
      </c>
      <c r="I14" s="24">
        <v>1.5</v>
      </c>
      <c r="J14" s="22">
        <v>0</v>
      </c>
      <c r="K14" s="22">
        <v>0</v>
      </c>
      <c r="L14" s="9">
        <v>0.03</v>
      </c>
      <c r="M14" s="22">
        <v>0</v>
      </c>
      <c r="N14" s="23">
        <v>0.03</v>
      </c>
      <c r="O14" s="23">
        <v>0.02</v>
      </c>
      <c r="P14" s="12">
        <v>0.02</v>
      </c>
      <c r="Q14" s="9">
        <v>1.5800000000000002E-2</v>
      </c>
      <c r="R14" s="9">
        <v>0.112</v>
      </c>
      <c r="S14" s="9">
        <v>3.15389508143991E-2</v>
      </c>
      <c r="T14" s="9">
        <v>1.7246560849695801E-2</v>
      </c>
      <c r="U14" s="9">
        <v>0.04</v>
      </c>
      <c r="V14" s="14">
        <v>0.05</v>
      </c>
      <c r="W14" s="15">
        <v>7.9338664817201754E-3</v>
      </c>
      <c r="X14" s="19">
        <v>0</v>
      </c>
      <c r="Y14" s="19">
        <v>0.02</v>
      </c>
      <c r="Z14" s="12">
        <v>0.01</v>
      </c>
      <c r="AA14" s="57" t="s">
        <v>427</v>
      </c>
      <c r="AB14" s="57" t="s">
        <v>427</v>
      </c>
      <c r="AC14" s="57" t="s">
        <v>427</v>
      </c>
      <c r="AD14" s="57" t="s">
        <v>427</v>
      </c>
      <c r="AE14" s="57" t="s">
        <v>427</v>
      </c>
      <c r="AF14" s="57" t="s">
        <v>427</v>
      </c>
      <c r="AG14" s="103" t="s">
        <v>427</v>
      </c>
    </row>
    <row r="15" spans="1:33" x14ac:dyDescent="0.2">
      <c r="A15" s="6" t="s">
        <v>73</v>
      </c>
      <c r="B15" s="17">
        <v>4.5</v>
      </c>
      <c r="C15" s="17">
        <v>3.79</v>
      </c>
      <c r="D15" s="17">
        <v>4.0599999999999996</v>
      </c>
      <c r="E15" s="17">
        <v>4.74</v>
      </c>
      <c r="F15" s="17">
        <v>4.82</v>
      </c>
      <c r="G15" s="17">
        <v>5.21</v>
      </c>
      <c r="H15" s="17">
        <v>4.91</v>
      </c>
      <c r="I15" s="24">
        <v>5.78</v>
      </c>
      <c r="J15" s="9">
        <v>5.57</v>
      </c>
      <c r="K15" s="9">
        <v>4.91</v>
      </c>
      <c r="L15" s="9">
        <v>6.58</v>
      </c>
      <c r="M15" s="9">
        <v>6.79</v>
      </c>
      <c r="N15" s="14">
        <v>6.01</v>
      </c>
      <c r="O15" s="14">
        <v>5.99</v>
      </c>
      <c r="P15" s="12">
        <v>6.03</v>
      </c>
      <c r="Q15" s="9">
        <v>5.4089999999999998</v>
      </c>
      <c r="R15" s="9">
        <v>5.86</v>
      </c>
      <c r="S15" s="9">
        <v>6.3631211121360334</v>
      </c>
      <c r="T15" s="9">
        <v>8.1834304734935106</v>
      </c>
      <c r="U15" s="9">
        <v>6.63</v>
      </c>
      <c r="V15" s="14">
        <v>7.8</v>
      </c>
      <c r="W15" s="15">
        <v>7.9465856899360299</v>
      </c>
      <c r="X15" s="19">
        <v>8.61</v>
      </c>
      <c r="Y15" s="19">
        <v>8.74</v>
      </c>
      <c r="Z15" s="12">
        <v>7.71</v>
      </c>
      <c r="AA15" s="57" t="s">
        <v>427</v>
      </c>
      <c r="AB15" s="57" t="s">
        <v>427</v>
      </c>
      <c r="AC15" s="57" t="s">
        <v>427</v>
      </c>
      <c r="AD15" s="57" t="s">
        <v>427</v>
      </c>
      <c r="AE15" s="57" t="s">
        <v>427</v>
      </c>
      <c r="AF15" s="57" t="s">
        <v>427</v>
      </c>
      <c r="AG15" s="103" t="s">
        <v>427</v>
      </c>
    </row>
    <row r="16" spans="1:33" x14ac:dyDescent="0.2">
      <c r="A16" s="6" t="s">
        <v>74</v>
      </c>
      <c r="B16" s="17">
        <v>11.92</v>
      </c>
      <c r="C16" s="17">
        <v>11.34</v>
      </c>
      <c r="D16" s="17">
        <v>10.66</v>
      </c>
      <c r="E16" s="17">
        <v>11.35</v>
      </c>
      <c r="F16" s="17">
        <v>11.16</v>
      </c>
      <c r="G16" s="17">
        <v>11.22</v>
      </c>
      <c r="H16" s="17">
        <v>11.08</v>
      </c>
      <c r="I16" s="17">
        <v>11.62</v>
      </c>
      <c r="J16" s="9">
        <v>10.37</v>
      </c>
      <c r="K16" s="9">
        <v>9.4700000000000006</v>
      </c>
      <c r="L16" s="14">
        <f t="shared" ref="L16:T16" si="2">SUM(L12:L15)</f>
        <v>12.24</v>
      </c>
      <c r="M16" s="14">
        <f t="shared" si="2"/>
        <v>11.41</v>
      </c>
      <c r="N16" s="14">
        <f t="shared" si="2"/>
        <v>10.01</v>
      </c>
      <c r="O16" s="14">
        <f t="shared" si="2"/>
        <v>10.059999999999999</v>
      </c>
      <c r="P16" s="14">
        <f t="shared" si="2"/>
        <v>9.9700000000000006</v>
      </c>
      <c r="Q16" s="14">
        <f t="shared" si="2"/>
        <v>10.1938</v>
      </c>
      <c r="R16" s="14">
        <f t="shared" si="2"/>
        <v>10.163</v>
      </c>
      <c r="S16" s="14">
        <f t="shared" si="2"/>
        <v>10.496413745685306</v>
      </c>
      <c r="T16" s="14">
        <f t="shared" si="2"/>
        <v>12.194630685821792</v>
      </c>
      <c r="U16" s="14">
        <v>10.1</v>
      </c>
      <c r="V16" s="14">
        <v>10.89</v>
      </c>
      <c r="W16" s="14">
        <f>SUM(W12:W15)</f>
        <v>10.695766254266042</v>
      </c>
      <c r="X16" s="14">
        <f>SUM(X12:X15)</f>
        <v>10.79</v>
      </c>
      <c r="Y16" s="14">
        <f>SUM(Y12:Y15)</f>
        <v>10.69</v>
      </c>
      <c r="Z16" s="14">
        <f>SUM(Z12:Z15)</f>
        <v>9.41</v>
      </c>
      <c r="AA16" s="14">
        <v>10.270679104623694</v>
      </c>
      <c r="AB16" s="57" t="s">
        <v>427</v>
      </c>
      <c r="AC16" s="57" t="s">
        <v>427</v>
      </c>
      <c r="AD16" s="57" t="s">
        <v>427</v>
      </c>
      <c r="AE16" s="57" t="s">
        <v>427</v>
      </c>
      <c r="AF16" s="57" t="s">
        <v>427</v>
      </c>
      <c r="AG16" s="103" t="s">
        <v>427</v>
      </c>
    </row>
    <row r="17" spans="1:33" ht="28.5" customHeight="1" x14ac:dyDescent="0.2">
      <c r="A17" s="6" t="s">
        <v>82</v>
      </c>
      <c r="B17" s="303">
        <f t="shared" ref="B17:T17" si="3">B8+B11+B12+B15</f>
        <v>34.81</v>
      </c>
      <c r="C17" s="303">
        <f t="shared" si="3"/>
        <v>34.93</v>
      </c>
      <c r="D17" s="303">
        <f t="shared" si="3"/>
        <v>34.25</v>
      </c>
      <c r="E17" s="303">
        <f t="shared" si="3"/>
        <v>33.590000000000003</v>
      </c>
      <c r="F17" s="303">
        <f t="shared" si="3"/>
        <v>36.28</v>
      </c>
      <c r="G17" s="303">
        <f t="shared" si="3"/>
        <v>40.85</v>
      </c>
      <c r="H17" s="303">
        <f t="shared" si="3"/>
        <v>45.350000000000009</v>
      </c>
      <c r="I17" s="303">
        <f t="shared" si="3"/>
        <v>44.69</v>
      </c>
      <c r="J17" s="303">
        <f t="shared" si="3"/>
        <v>48.150000000000006</v>
      </c>
      <c r="K17" s="303">
        <f t="shared" si="3"/>
        <v>42.789999999999992</v>
      </c>
      <c r="L17" s="303">
        <f t="shared" si="3"/>
        <v>32.799999999999997</v>
      </c>
      <c r="M17" s="303">
        <f t="shared" si="3"/>
        <v>29.319999999999997</v>
      </c>
      <c r="N17" s="11">
        <f t="shared" si="3"/>
        <v>27.03</v>
      </c>
      <c r="O17" s="11">
        <f t="shared" si="3"/>
        <v>27.03</v>
      </c>
      <c r="P17" s="11">
        <f t="shared" si="3"/>
        <v>27.860000000000003</v>
      </c>
      <c r="Q17" s="11">
        <f t="shared" si="3"/>
        <v>32.703682225180792</v>
      </c>
      <c r="R17" s="11">
        <f t="shared" si="3"/>
        <v>27.923358785543872</v>
      </c>
      <c r="S17" s="11">
        <f t="shared" si="3"/>
        <v>30.982051066545878</v>
      </c>
      <c r="T17" s="11">
        <f t="shared" si="3"/>
        <v>33.209855793314254</v>
      </c>
      <c r="U17" s="11">
        <v>30.06</v>
      </c>
      <c r="V17" s="11">
        <f>V8+V11+V12+V15</f>
        <v>27.630000000000003</v>
      </c>
      <c r="W17" s="11">
        <f>W8+W11+W12+W15</f>
        <v>26.696585689936029</v>
      </c>
      <c r="X17" s="11">
        <f>X8+X11+X12+X15</f>
        <v>23.72</v>
      </c>
      <c r="Y17" s="11">
        <f>Y8+Y11+Y12+Y15</f>
        <v>22.23</v>
      </c>
      <c r="Z17" s="11">
        <f>Z8+Z11+Z12+Z15</f>
        <v>21.76</v>
      </c>
      <c r="AA17" s="304">
        <f>AA8+AA16</f>
        <v>24.466048663391462</v>
      </c>
      <c r="AB17" s="57" t="s">
        <v>427</v>
      </c>
      <c r="AC17" s="57" t="s">
        <v>427</v>
      </c>
      <c r="AD17" s="57" t="s">
        <v>427</v>
      </c>
      <c r="AE17" s="57" t="s">
        <v>427</v>
      </c>
      <c r="AF17" s="57" t="s">
        <v>427</v>
      </c>
      <c r="AG17" s="103" t="s">
        <v>427</v>
      </c>
    </row>
    <row r="18" spans="1:33" x14ac:dyDescent="0.2">
      <c r="A18" s="6" t="s">
        <v>83</v>
      </c>
      <c r="B18" s="18">
        <v>48.317</v>
      </c>
      <c r="C18" s="18">
        <v>47.613999999999997</v>
      </c>
      <c r="D18" s="18">
        <v>54.063000000000002</v>
      </c>
      <c r="E18" s="18">
        <v>57.933</v>
      </c>
      <c r="F18" s="18">
        <v>75.768000000000001</v>
      </c>
      <c r="G18" s="18">
        <v>71.561000000000007</v>
      </c>
      <c r="H18" s="18">
        <v>64.034000000000006</v>
      </c>
      <c r="I18" s="18">
        <v>57.561</v>
      </c>
      <c r="J18" s="9">
        <v>60.58</v>
      </c>
      <c r="K18" s="9">
        <v>67.22</v>
      </c>
      <c r="L18" s="9">
        <v>73.19</v>
      </c>
      <c r="M18" s="9">
        <v>67</v>
      </c>
      <c r="N18" s="9">
        <v>67.783000000000001</v>
      </c>
      <c r="O18" s="9">
        <v>58.902999999999999</v>
      </c>
      <c r="P18" s="9">
        <v>54.45</v>
      </c>
      <c r="Q18" s="9">
        <v>45</v>
      </c>
      <c r="R18" s="9">
        <v>43.994</v>
      </c>
      <c r="S18" s="9">
        <v>45.581459045590144</v>
      </c>
      <c r="T18" s="9">
        <v>42.415999999999997</v>
      </c>
      <c r="U18" s="9">
        <v>38.32</v>
      </c>
      <c r="V18" s="14">
        <v>39.890999999999998</v>
      </c>
      <c r="W18" s="14">
        <v>33.357999999999997</v>
      </c>
      <c r="X18" s="9">
        <v>32.06</v>
      </c>
      <c r="Y18" s="9">
        <v>31.582877305720512</v>
      </c>
      <c r="Z18" s="15">
        <v>30.841999999999999</v>
      </c>
      <c r="AA18" s="16">
        <v>30.259</v>
      </c>
      <c r="AB18" s="16">
        <v>32.973999999999997</v>
      </c>
      <c r="AC18" s="16">
        <v>30.885999999999999</v>
      </c>
      <c r="AD18" s="9">
        <v>33.329873484792998</v>
      </c>
      <c r="AE18" s="9">
        <v>33.434539999999998</v>
      </c>
      <c r="AF18" s="9">
        <v>29.917249999999999</v>
      </c>
      <c r="AG18" s="9">
        <v>26.068000000000001</v>
      </c>
    </row>
    <row r="19" spans="1:33" x14ac:dyDescent="0.2">
      <c r="A19" s="6" t="s">
        <v>90</v>
      </c>
      <c r="B19" s="303">
        <f t="shared" ref="B19:T19" si="4">B8+B11+B12+B18</f>
        <v>78.626999999999995</v>
      </c>
      <c r="C19" s="303">
        <f t="shared" si="4"/>
        <v>78.753999999999991</v>
      </c>
      <c r="D19" s="303">
        <f t="shared" si="4"/>
        <v>84.253</v>
      </c>
      <c r="E19" s="303">
        <f t="shared" si="4"/>
        <v>86.783000000000001</v>
      </c>
      <c r="F19" s="303">
        <f t="shared" si="4"/>
        <v>107.22800000000001</v>
      </c>
      <c r="G19" s="303">
        <f t="shared" si="4"/>
        <v>107.20100000000001</v>
      </c>
      <c r="H19" s="303">
        <f t="shared" si="4"/>
        <v>104.47400000000002</v>
      </c>
      <c r="I19" s="303">
        <f t="shared" si="4"/>
        <v>96.471000000000004</v>
      </c>
      <c r="J19" s="303">
        <f t="shared" si="4"/>
        <v>103.16</v>
      </c>
      <c r="K19" s="303">
        <f t="shared" si="4"/>
        <v>105.1</v>
      </c>
      <c r="L19" s="303">
        <f t="shared" si="4"/>
        <v>99.41</v>
      </c>
      <c r="M19" s="11">
        <f t="shared" si="4"/>
        <v>89.53</v>
      </c>
      <c r="N19" s="11">
        <f t="shared" si="4"/>
        <v>88.802999999999997</v>
      </c>
      <c r="O19" s="11">
        <f t="shared" si="4"/>
        <v>79.942999999999998</v>
      </c>
      <c r="P19" s="11">
        <f t="shared" si="4"/>
        <v>76.28</v>
      </c>
      <c r="Q19" s="11">
        <f t="shared" si="4"/>
        <v>72.294682225180793</v>
      </c>
      <c r="R19" s="11">
        <f t="shared" si="4"/>
        <v>66.057358785543869</v>
      </c>
      <c r="S19" s="11">
        <f t="shared" si="4"/>
        <v>70.200388999999987</v>
      </c>
      <c r="T19" s="11">
        <f t="shared" si="4"/>
        <v>67.442425319820742</v>
      </c>
      <c r="U19" s="11">
        <v>61.75</v>
      </c>
      <c r="V19" s="11">
        <f>V8+V11+V12+V18</f>
        <v>59.721000000000004</v>
      </c>
      <c r="W19" s="11">
        <f>W8+W11+W12+W18</f>
        <v>52.107999999999997</v>
      </c>
      <c r="X19" s="11">
        <f>X8+X11+X12+X18</f>
        <v>47.17</v>
      </c>
      <c r="Y19" s="11">
        <f>Y8+Y11+Y12+Y18</f>
        <v>45.07287730572051</v>
      </c>
      <c r="Z19" s="11">
        <f>Z8+Z11+Z12+Z18</f>
        <v>44.891999999999996</v>
      </c>
      <c r="AA19" s="304">
        <f>AA8+AA18</f>
        <v>44.454369558767766</v>
      </c>
      <c r="AB19" s="13" t="s">
        <v>427</v>
      </c>
      <c r="AC19" s="13" t="s">
        <v>427</v>
      </c>
      <c r="AD19" s="13" t="s">
        <v>427</v>
      </c>
      <c r="AE19" s="13" t="s">
        <v>427</v>
      </c>
      <c r="AF19" s="13" t="s">
        <v>427</v>
      </c>
      <c r="AG19" s="89" t="s">
        <v>427</v>
      </c>
    </row>
  </sheetData>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0"/>
  <sheetViews>
    <sheetView zoomScaleNormal="100" workbookViewId="0">
      <pane xSplit="2" ySplit="4" topLeftCell="L5"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11.88671875" style="6" customWidth="1"/>
    <col min="2" max="2" width="34.6640625" style="6" customWidth="1"/>
    <col min="3" max="24" width="7.44140625" style="6" customWidth="1"/>
    <col min="25" max="16384" width="8.88671875" style="6"/>
  </cols>
  <sheetData>
    <row r="1" spans="1:25" s="5" customFormat="1" ht="15.75" x14ac:dyDescent="0.25">
      <c r="A1" s="1" t="s">
        <v>829</v>
      </c>
      <c r="B1" s="1"/>
      <c r="C1" s="1"/>
      <c r="D1" s="2"/>
      <c r="E1" s="3"/>
      <c r="F1" s="4"/>
      <c r="G1" s="4"/>
      <c r="H1" s="2"/>
    </row>
    <row r="2" spans="1:25" s="5" customFormat="1" ht="15.75" x14ac:dyDescent="0.25">
      <c r="A2" s="2" t="s">
        <v>5</v>
      </c>
      <c r="B2" s="2"/>
      <c r="C2" s="2"/>
      <c r="D2" s="2"/>
      <c r="E2" s="3"/>
      <c r="F2" s="4"/>
      <c r="G2" s="4"/>
      <c r="H2" s="2"/>
    </row>
    <row r="3" spans="1:25" s="5" customFormat="1" ht="15.75" x14ac:dyDescent="0.25">
      <c r="A3" s="5" t="s">
        <v>566</v>
      </c>
      <c r="D3" s="2"/>
      <c r="E3" s="3"/>
      <c r="F3" s="4"/>
      <c r="G3" s="4"/>
      <c r="H3" s="2"/>
    </row>
    <row r="4" spans="1:25" s="260" customFormat="1" ht="31.5" x14ac:dyDescent="0.25">
      <c r="A4" s="259" t="s">
        <v>453</v>
      </c>
      <c r="B4" s="259" t="s">
        <v>549</v>
      </c>
      <c r="C4" s="260" t="s">
        <v>525</v>
      </c>
      <c r="D4" s="260" t="s">
        <v>526</v>
      </c>
      <c r="E4" s="260" t="s">
        <v>527</v>
      </c>
      <c r="F4" s="260" t="s">
        <v>528</v>
      </c>
      <c r="G4" s="260" t="s">
        <v>529</v>
      </c>
      <c r="H4" s="260" t="s">
        <v>530</v>
      </c>
      <c r="I4" s="260" t="s">
        <v>531</v>
      </c>
      <c r="J4" s="260" t="s">
        <v>532</v>
      </c>
      <c r="K4" s="260" t="s">
        <v>533</v>
      </c>
      <c r="L4" s="260" t="s">
        <v>534</v>
      </c>
      <c r="M4" s="260" t="s">
        <v>535</v>
      </c>
      <c r="N4" s="260" t="s">
        <v>536</v>
      </c>
      <c r="O4" s="260" t="s">
        <v>537</v>
      </c>
      <c r="P4" s="260" t="s">
        <v>538</v>
      </c>
      <c r="Q4" s="260" t="s">
        <v>539</v>
      </c>
      <c r="R4" s="260" t="s">
        <v>540</v>
      </c>
      <c r="S4" s="260" t="s">
        <v>541</v>
      </c>
      <c r="T4" s="260" t="s">
        <v>542</v>
      </c>
      <c r="U4" s="260" t="s">
        <v>543</v>
      </c>
      <c r="V4" s="260" t="s">
        <v>544</v>
      </c>
      <c r="W4" s="260" t="s">
        <v>545</v>
      </c>
      <c r="X4" s="260" t="s">
        <v>546</v>
      </c>
      <c r="Y4" s="245" t="s">
        <v>856</v>
      </c>
    </row>
    <row r="5" spans="1:25" x14ac:dyDescent="0.2">
      <c r="A5" s="151" t="s">
        <v>512</v>
      </c>
      <c r="B5" s="151" t="s">
        <v>553</v>
      </c>
      <c r="C5" s="73">
        <v>142131</v>
      </c>
      <c r="D5" s="73">
        <v>137770</v>
      </c>
      <c r="E5" s="73">
        <v>132020</v>
      </c>
      <c r="F5" s="73">
        <v>135022</v>
      </c>
      <c r="G5" s="73">
        <v>139653</v>
      </c>
      <c r="H5" s="73">
        <v>140381</v>
      </c>
      <c r="I5" s="71">
        <v>143910</v>
      </c>
      <c r="J5" s="71">
        <v>142933</v>
      </c>
      <c r="K5" s="71">
        <v>132558</v>
      </c>
      <c r="L5" s="71">
        <v>131639</v>
      </c>
      <c r="M5" s="71">
        <v>131103</v>
      </c>
      <c r="N5" s="71">
        <v>131317</v>
      </c>
      <c r="O5" s="71">
        <v>131209</v>
      </c>
      <c r="P5" s="71">
        <v>131334</v>
      </c>
      <c r="Q5" s="71">
        <v>133477</v>
      </c>
      <c r="R5" s="71">
        <v>134665</v>
      </c>
      <c r="S5" s="172">
        <v>133391</v>
      </c>
      <c r="T5" s="172">
        <v>135680</v>
      </c>
      <c r="U5" s="172">
        <v>135076</v>
      </c>
      <c r="V5" s="172">
        <v>144770</v>
      </c>
      <c r="W5" s="172">
        <v>163878</v>
      </c>
      <c r="X5" s="172">
        <v>119988</v>
      </c>
      <c r="Y5" s="172">
        <v>157105</v>
      </c>
    </row>
    <row r="6" spans="1:25" x14ac:dyDescent="0.2">
      <c r="A6" s="151" t="s">
        <v>512</v>
      </c>
      <c r="B6" s="261" t="s">
        <v>548</v>
      </c>
      <c r="C6" s="69">
        <v>0</v>
      </c>
      <c r="D6" s="69">
        <v>0</v>
      </c>
      <c r="E6" s="69">
        <v>0</v>
      </c>
      <c r="F6" s="69">
        <v>0</v>
      </c>
      <c r="G6" s="173">
        <v>99.7</v>
      </c>
      <c r="H6" s="173">
        <v>99.7</v>
      </c>
      <c r="I6" s="63">
        <v>99.7</v>
      </c>
      <c r="J6" s="63">
        <v>99.7</v>
      </c>
      <c r="K6" s="63">
        <v>99.8</v>
      </c>
      <c r="L6" s="174">
        <v>99.95</v>
      </c>
      <c r="M6" s="174">
        <v>99.92</v>
      </c>
      <c r="N6" s="174">
        <v>99.8</v>
      </c>
      <c r="O6" s="174">
        <v>99.92</v>
      </c>
      <c r="P6" s="63">
        <v>99.9</v>
      </c>
      <c r="Q6" s="63">
        <v>99.9</v>
      </c>
      <c r="R6" s="63">
        <v>99.9</v>
      </c>
      <c r="S6" s="175">
        <v>99.6</v>
      </c>
      <c r="T6" s="63">
        <v>99.9</v>
      </c>
      <c r="U6" s="65">
        <v>99.5</v>
      </c>
      <c r="V6" s="65">
        <v>99.5</v>
      </c>
      <c r="W6" s="65">
        <v>99.6</v>
      </c>
      <c r="X6" s="175">
        <v>99.7</v>
      </c>
      <c r="Y6" s="175">
        <v>98.9</v>
      </c>
    </row>
    <row r="7" spans="1:25" x14ac:dyDescent="0.2">
      <c r="A7" s="151" t="s">
        <v>512</v>
      </c>
      <c r="B7" s="163" t="s">
        <v>547</v>
      </c>
      <c r="C7" s="173">
        <v>97.1</v>
      </c>
      <c r="D7" s="173">
        <v>98.6</v>
      </c>
      <c r="E7" s="173">
        <v>98.8</v>
      </c>
      <c r="F7" s="173">
        <v>98.9</v>
      </c>
      <c r="G7" s="173">
        <v>98.9</v>
      </c>
      <c r="H7" s="173">
        <v>98.8</v>
      </c>
      <c r="I7" s="176">
        <v>99.2</v>
      </c>
      <c r="J7" s="176">
        <v>99.2</v>
      </c>
      <c r="K7" s="176">
        <v>99.4</v>
      </c>
      <c r="L7" s="176">
        <v>99.86</v>
      </c>
      <c r="M7" s="176">
        <v>99.85</v>
      </c>
      <c r="N7" s="176">
        <v>99.9</v>
      </c>
      <c r="O7" s="176">
        <v>99.8</v>
      </c>
      <c r="P7" s="63">
        <v>99.8</v>
      </c>
      <c r="Q7" s="63">
        <v>99.8</v>
      </c>
      <c r="R7" s="63">
        <v>99.8</v>
      </c>
      <c r="S7" s="175">
        <v>99.7</v>
      </c>
      <c r="T7" s="63">
        <v>99.7</v>
      </c>
      <c r="U7" s="65">
        <v>99.8</v>
      </c>
      <c r="V7" s="65">
        <v>99.6</v>
      </c>
      <c r="W7" s="65">
        <v>99.7</v>
      </c>
      <c r="X7" s="175">
        <v>99.9</v>
      </c>
      <c r="Y7" s="175">
        <v>99.6</v>
      </c>
    </row>
    <row r="8" spans="1:25" ht="38.25" customHeight="1" x14ac:dyDescent="0.2">
      <c r="A8" s="117" t="s">
        <v>550</v>
      </c>
      <c r="B8" s="151" t="s">
        <v>553</v>
      </c>
      <c r="C8" s="69" t="s">
        <v>427</v>
      </c>
      <c r="D8" s="69" t="s">
        <v>427</v>
      </c>
      <c r="E8" s="69" t="s">
        <v>427</v>
      </c>
      <c r="F8" s="71">
        <v>1350</v>
      </c>
      <c r="G8" s="73">
        <v>2625</v>
      </c>
      <c r="H8" s="73">
        <v>2645</v>
      </c>
      <c r="I8" s="73">
        <v>3254</v>
      </c>
      <c r="J8" s="73">
        <v>2688</v>
      </c>
      <c r="K8" s="73">
        <v>3191</v>
      </c>
      <c r="L8" s="71">
        <v>3247</v>
      </c>
      <c r="M8" s="71">
        <v>3232</v>
      </c>
      <c r="N8" s="71">
        <v>3270</v>
      </c>
      <c r="O8" s="71">
        <v>3308</v>
      </c>
      <c r="P8" s="71">
        <v>3151</v>
      </c>
      <c r="Q8" s="71">
        <v>2886</v>
      </c>
      <c r="R8" s="71">
        <v>2868</v>
      </c>
      <c r="S8" s="71">
        <v>2915</v>
      </c>
      <c r="T8" s="71">
        <v>2931</v>
      </c>
      <c r="U8" s="71">
        <v>2989</v>
      </c>
      <c r="V8" s="59">
        <v>2991</v>
      </c>
      <c r="W8" s="59">
        <v>2843</v>
      </c>
      <c r="X8" s="59">
        <v>2939</v>
      </c>
      <c r="Y8" s="244">
        <v>2967</v>
      </c>
    </row>
    <row r="9" spans="1:25" x14ac:dyDescent="0.2">
      <c r="A9" s="117" t="s">
        <v>550</v>
      </c>
      <c r="B9" s="151" t="s">
        <v>551</v>
      </c>
      <c r="C9" s="69" t="s">
        <v>427</v>
      </c>
      <c r="D9" s="69" t="s">
        <v>427</v>
      </c>
      <c r="E9" s="69" t="s">
        <v>427</v>
      </c>
      <c r="F9" s="176">
        <v>100</v>
      </c>
      <c r="G9" s="173">
        <v>100</v>
      </c>
      <c r="H9" s="173">
        <v>100</v>
      </c>
      <c r="I9" s="176">
        <v>100</v>
      </c>
      <c r="J9" s="176">
        <v>100</v>
      </c>
      <c r="K9" s="176">
        <v>99.9</v>
      </c>
      <c r="L9" s="176">
        <v>99.9</v>
      </c>
      <c r="M9" s="176">
        <v>99.9</v>
      </c>
      <c r="N9" s="176">
        <v>99.82</v>
      </c>
      <c r="O9" s="176">
        <v>99.76</v>
      </c>
      <c r="P9" s="177">
        <v>99.75</v>
      </c>
      <c r="Q9" s="177">
        <v>99.84</v>
      </c>
      <c r="R9" s="65">
        <v>99.7</v>
      </c>
      <c r="S9" s="174">
        <v>99.93</v>
      </c>
      <c r="T9" s="174">
        <v>99.9</v>
      </c>
      <c r="U9" s="174">
        <v>99.9</v>
      </c>
      <c r="V9" s="65">
        <v>100</v>
      </c>
      <c r="W9" s="65">
        <v>99.8</v>
      </c>
      <c r="X9" s="65">
        <v>99.7</v>
      </c>
      <c r="Y9" s="244">
        <v>99.6</v>
      </c>
    </row>
    <row r="10" spans="1:25" x14ac:dyDescent="0.2">
      <c r="A10" s="117" t="s">
        <v>550</v>
      </c>
      <c r="B10" s="151" t="s">
        <v>552</v>
      </c>
      <c r="C10" s="69" t="s">
        <v>427</v>
      </c>
      <c r="D10" s="69" t="s">
        <v>427</v>
      </c>
      <c r="E10" s="69" t="s">
        <v>427</v>
      </c>
      <c r="F10" s="176">
        <v>99.8</v>
      </c>
      <c r="G10" s="173">
        <v>99.2</v>
      </c>
      <c r="H10" s="173">
        <v>96.7</v>
      </c>
      <c r="I10" s="176">
        <v>100</v>
      </c>
      <c r="J10" s="176">
        <v>99</v>
      </c>
      <c r="K10" s="176">
        <v>98.6</v>
      </c>
      <c r="L10" s="176">
        <v>98.9</v>
      </c>
      <c r="M10" s="176">
        <v>98.9</v>
      </c>
      <c r="N10" s="176">
        <v>99.28</v>
      </c>
      <c r="O10" s="176">
        <v>99.09</v>
      </c>
      <c r="P10" s="63">
        <v>99.5</v>
      </c>
      <c r="Q10" s="177">
        <v>92.07</v>
      </c>
      <c r="R10" s="65">
        <v>100</v>
      </c>
      <c r="S10" s="174">
        <v>99.54</v>
      </c>
      <c r="T10" s="178">
        <v>100</v>
      </c>
      <c r="U10" s="174">
        <v>99.9</v>
      </c>
      <c r="V10" s="65">
        <v>100</v>
      </c>
      <c r="W10" s="65">
        <v>99.9</v>
      </c>
      <c r="X10" s="65">
        <v>100</v>
      </c>
      <c r="Y10" s="244">
        <v>99.9</v>
      </c>
    </row>
  </sheetData>
  <phoneticPr fontId="15" type="noConversion"/>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2"/>
  <sheetViews>
    <sheetView zoomScaleNormal="100" workbookViewId="0">
      <pane xSplit="1" topLeftCell="P1" activePane="topRight" state="frozen"/>
      <selection activeCell="B8" sqref="B8"/>
      <selection pane="topRight" activeCell="B8" sqref="B8"/>
    </sheetView>
  </sheetViews>
  <sheetFormatPr defaultRowHeight="15" x14ac:dyDescent="0.2"/>
  <cols>
    <col min="1" max="1" width="28.109375" style="6" customWidth="1"/>
    <col min="2" max="26" width="7.21875" style="6" customWidth="1"/>
    <col min="27" max="16384" width="8.88671875" style="6"/>
  </cols>
  <sheetData>
    <row r="1" spans="1:27" s="5" customFormat="1" ht="15.75" x14ac:dyDescent="0.25">
      <c r="A1" s="1" t="s">
        <v>832</v>
      </c>
      <c r="B1" s="1"/>
      <c r="C1" s="1"/>
      <c r="D1" s="1"/>
      <c r="E1" s="1"/>
      <c r="F1" s="2"/>
      <c r="G1" s="3"/>
      <c r="H1" s="4"/>
      <c r="I1" s="4"/>
      <c r="J1" s="2"/>
    </row>
    <row r="2" spans="1:27" s="5" customFormat="1" ht="15.75" x14ac:dyDescent="0.25">
      <c r="A2" s="2" t="s">
        <v>5</v>
      </c>
      <c r="B2" s="2"/>
      <c r="C2" s="2"/>
      <c r="D2" s="2"/>
      <c r="E2" s="2"/>
      <c r="F2" s="2"/>
      <c r="G2" s="3"/>
      <c r="H2" s="4"/>
      <c r="I2" s="4"/>
      <c r="J2" s="2"/>
    </row>
    <row r="3" spans="1:27" s="5" customFormat="1" ht="15.75" x14ac:dyDescent="0.25">
      <c r="A3" s="5" t="s">
        <v>565</v>
      </c>
      <c r="F3" s="2"/>
      <c r="G3" s="3"/>
      <c r="H3" s="4"/>
      <c r="I3" s="4"/>
      <c r="J3" s="2"/>
    </row>
    <row r="4" spans="1:27" s="260" customFormat="1" ht="15.75" x14ac:dyDescent="0.25">
      <c r="A4" s="259" t="s">
        <v>511</v>
      </c>
      <c r="B4" s="260" t="s">
        <v>40</v>
      </c>
      <c r="C4" s="260" t="s">
        <v>41</v>
      </c>
      <c r="D4" s="260" t="s">
        <v>42</v>
      </c>
      <c r="E4" s="260" t="s">
        <v>43</v>
      </c>
      <c r="F4" s="260" t="s">
        <v>17</v>
      </c>
      <c r="G4" s="260" t="s">
        <v>18</v>
      </c>
      <c r="H4" s="260" t="s">
        <v>44</v>
      </c>
      <c r="I4" s="260" t="s">
        <v>19</v>
      </c>
      <c r="J4" s="260" t="s">
        <v>20</v>
      </c>
      <c r="K4" s="260" t="s">
        <v>21</v>
      </c>
      <c r="L4" s="260" t="s">
        <v>22</v>
      </c>
      <c r="M4" s="260" t="s">
        <v>23</v>
      </c>
      <c r="N4" s="260" t="s">
        <v>24</v>
      </c>
      <c r="O4" s="260" t="s">
        <v>25</v>
      </c>
      <c r="P4" s="260" t="s">
        <v>26</v>
      </c>
      <c r="Q4" s="260" t="s">
        <v>27</v>
      </c>
      <c r="R4" s="260" t="s">
        <v>28</v>
      </c>
      <c r="S4" s="260" t="s">
        <v>29</v>
      </c>
      <c r="T4" s="260" t="s">
        <v>30</v>
      </c>
      <c r="U4" s="260" t="s">
        <v>31</v>
      </c>
      <c r="V4" s="260" t="s">
        <v>32</v>
      </c>
      <c r="W4" s="260" t="s">
        <v>33</v>
      </c>
      <c r="X4" s="260" t="s">
        <v>34</v>
      </c>
      <c r="Y4" s="260" t="s">
        <v>35</v>
      </c>
      <c r="Z4" s="260" t="s">
        <v>36</v>
      </c>
      <c r="AA4" s="245" t="s">
        <v>857</v>
      </c>
    </row>
    <row r="5" spans="1:27" x14ac:dyDescent="0.2">
      <c r="A5" s="63" t="s">
        <v>554</v>
      </c>
      <c r="B5" s="179">
        <v>1108</v>
      </c>
      <c r="C5" s="179">
        <v>1270</v>
      </c>
      <c r="D5" s="179">
        <v>1212</v>
      </c>
      <c r="E5" s="179">
        <v>1199</v>
      </c>
      <c r="F5" s="179">
        <v>1219</v>
      </c>
      <c r="G5" s="179">
        <v>1395</v>
      </c>
      <c r="H5" s="180">
        <v>1410</v>
      </c>
      <c r="I5" s="180">
        <v>1347</v>
      </c>
      <c r="J5" s="180">
        <v>1481</v>
      </c>
      <c r="K5" s="180">
        <v>1416</v>
      </c>
      <c r="L5" s="180">
        <v>1178</v>
      </c>
      <c r="M5" s="69" t="s">
        <v>427</v>
      </c>
      <c r="N5" s="69" t="s">
        <v>427</v>
      </c>
      <c r="O5" s="69" t="s">
        <v>427</v>
      </c>
      <c r="P5" s="69" t="s">
        <v>427</v>
      </c>
      <c r="Q5" s="69" t="s">
        <v>427</v>
      </c>
      <c r="R5" s="69" t="s">
        <v>427</v>
      </c>
      <c r="S5" s="69" t="s">
        <v>427</v>
      </c>
      <c r="T5" s="69" t="s">
        <v>427</v>
      </c>
      <c r="U5" s="69" t="s">
        <v>427</v>
      </c>
      <c r="V5" s="69" t="s">
        <v>427</v>
      </c>
      <c r="W5" s="69" t="s">
        <v>427</v>
      </c>
      <c r="X5" s="69" t="s">
        <v>427</v>
      </c>
      <c r="Y5" s="69" t="s">
        <v>427</v>
      </c>
      <c r="Z5" s="69" t="s">
        <v>427</v>
      </c>
      <c r="AA5" s="69" t="s">
        <v>427</v>
      </c>
    </row>
    <row r="6" spans="1:27" x14ac:dyDescent="0.2">
      <c r="A6" s="63" t="s">
        <v>555</v>
      </c>
      <c r="B6" s="179">
        <v>978</v>
      </c>
      <c r="C6" s="179">
        <v>1045</v>
      </c>
      <c r="D6" s="179">
        <v>961</v>
      </c>
      <c r="E6" s="179">
        <v>1155</v>
      </c>
      <c r="F6" s="179">
        <v>1106</v>
      </c>
      <c r="G6" s="179">
        <v>1108</v>
      </c>
      <c r="H6" s="180">
        <v>1170</v>
      </c>
      <c r="I6" s="180">
        <v>1111</v>
      </c>
      <c r="J6" s="180">
        <v>1341</v>
      </c>
      <c r="K6" s="180">
        <v>1434</v>
      </c>
      <c r="L6" s="180">
        <v>2074</v>
      </c>
      <c r="M6" s="69" t="s">
        <v>427</v>
      </c>
      <c r="N6" s="69" t="s">
        <v>427</v>
      </c>
      <c r="O6" s="69" t="s">
        <v>427</v>
      </c>
      <c r="P6" s="69" t="s">
        <v>427</v>
      </c>
      <c r="Q6" s="69" t="s">
        <v>427</v>
      </c>
      <c r="R6" s="69" t="s">
        <v>427</v>
      </c>
      <c r="S6" s="69" t="s">
        <v>427</v>
      </c>
      <c r="T6" s="69" t="s">
        <v>427</v>
      </c>
      <c r="U6" s="69" t="s">
        <v>427</v>
      </c>
      <c r="V6" s="69" t="s">
        <v>427</v>
      </c>
      <c r="W6" s="69" t="s">
        <v>427</v>
      </c>
      <c r="X6" s="69" t="s">
        <v>427</v>
      </c>
      <c r="Y6" s="69" t="s">
        <v>427</v>
      </c>
      <c r="Z6" s="69" t="s">
        <v>427</v>
      </c>
      <c r="AA6" s="69" t="s">
        <v>427</v>
      </c>
    </row>
    <row r="7" spans="1:27" x14ac:dyDescent="0.2">
      <c r="A7" s="63" t="s">
        <v>556</v>
      </c>
      <c r="B7" s="179">
        <v>50</v>
      </c>
      <c r="C7" s="179">
        <v>33</v>
      </c>
      <c r="D7" s="179">
        <v>27</v>
      </c>
      <c r="E7" s="179">
        <v>37</v>
      </c>
      <c r="F7" s="179">
        <v>24</v>
      </c>
      <c r="G7" s="179">
        <v>30</v>
      </c>
      <c r="H7" s="180">
        <v>34</v>
      </c>
      <c r="I7" s="180">
        <v>31</v>
      </c>
      <c r="J7" s="180">
        <v>64</v>
      </c>
      <c r="K7" s="180">
        <v>53</v>
      </c>
      <c r="L7" s="180">
        <v>99</v>
      </c>
      <c r="M7" s="180">
        <v>92</v>
      </c>
      <c r="N7" s="180">
        <v>56</v>
      </c>
      <c r="O7" s="180">
        <v>89</v>
      </c>
      <c r="P7" s="180">
        <v>62</v>
      </c>
      <c r="Q7" s="180">
        <v>41</v>
      </c>
      <c r="R7" s="180">
        <v>57</v>
      </c>
      <c r="S7" s="180">
        <v>60</v>
      </c>
      <c r="T7" s="180">
        <v>45</v>
      </c>
      <c r="U7" s="180">
        <v>16</v>
      </c>
      <c r="V7" s="180">
        <v>30</v>
      </c>
      <c r="W7" s="180">
        <v>12</v>
      </c>
      <c r="X7" s="180">
        <v>23</v>
      </c>
      <c r="Y7" s="180">
        <v>44</v>
      </c>
      <c r="Z7" s="69" t="s">
        <v>427</v>
      </c>
      <c r="AA7" s="69" t="s">
        <v>427</v>
      </c>
    </row>
    <row r="8" spans="1:27" ht="18.75" customHeight="1" x14ac:dyDescent="0.2">
      <c r="A8" s="67" t="s">
        <v>557</v>
      </c>
      <c r="B8" s="179">
        <v>2136</v>
      </c>
      <c r="C8" s="179">
        <v>2348</v>
      </c>
      <c r="D8" s="179">
        <v>2200</v>
      </c>
      <c r="E8" s="179">
        <v>2393</v>
      </c>
      <c r="F8" s="179">
        <v>2349</v>
      </c>
      <c r="G8" s="179">
        <v>2533</v>
      </c>
      <c r="H8" s="180">
        <v>2614</v>
      </c>
      <c r="I8" s="180">
        <v>2524</v>
      </c>
      <c r="J8" s="180">
        <v>2680</v>
      </c>
      <c r="K8" s="180">
        <v>2903</v>
      </c>
      <c r="L8" s="180">
        <v>3351</v>
      </c>
      <c r="M8" s="180">
        <v>3383</v>
      </c>
      <c r="N8" s="180">
        <v>3583</v>
      </c>
      <c r="O8" s="180">
        <v>3765</v>
      </c>
      <c r="P8" s="180">
        <v>3669</v>
      </c>
      <c r="Q8" s="180">
        <v>3910</v>
      </c>
      <c r="R8" s="180">
        <v>3283</v>
      </c>
      <c r="S8" s="180">
        <v>3422</v>
      </c>
      <c r="T8" s="180">
        <v>3364</v>
      </c>
      <c r="U8" s="180">
        <v>2538</v>
      </c>
      <c r="V8" s="180" t="s">
        <v>558</v>
      </c>
      <c r="W8" s="180" t="s">
        <v>559</v>
      </c>
      <c r="X8" s="180" t="s">
        <v>560</v>
      </c>
      <c r="Y8" s="180">
        <v>4241</v>
      </c>
      <c r="Z8" s="69" t="s">
        <v>427</v>
      </c>
      <c r="AA8" s="69" t="s">
        <v>427</v>
      </c>
    </row>
    <row r="9" spans="1:27" ht="39" customHeight="1" x14ac:dyDescent="0.2">
      <c r="A9" s="63" t="s">
        <v>561</v>
      </c>
      <c r="B9" s="69" t="s">
        <v>427</v>
      </c>
      <c r="C9" s="69" t="s">
        <v>427</v>
      </c>
      <c r="D9" s="69" t="s">
        <v>427</v>
      </c>
      <c r="E9" s="69" t="s">
        <v>427</v>
      </c>
      <c r="F9" s="179">
        <v>1351</v>
      </c>
      <c r="G9" s="179">
        <v>1480</v>
      </c>
      <c r="H9" s="180">
        <v>1636</v>
      </c>
      <c r="I9" s="180">
        <v>1197</v>
      </c>
      <c r="J9" s="180">
        <v>2037</v>
      </c>
      <c r="K9" s="180">
        <v>1897</v>
      </c>
      <c r="L9" s="180">
        <v>2591</v>
      </c>
      <c r="M9" s="69" t="s">
        <v>427</v>
      </c>
      <c r="N9" s="69" t="s">
        <v>427</v>
      </c>
      <c r="O9" s="69" t="s">
        <v>427</v>
      </c>
      <c r="P9" s="69" t="s">
        <v>427</v>
      </c>
      <c r="Q9" s="69" t="s">
        <v>427</v>
      </c>
      <c r="R9" s="69" t="s">
        <v>427</v>
      </c>
      <c r="S9" s="69" t="s">
        <v>427</v>
      </c>
      <c r="T9" s="69" t="s">
        <v>427</v>
      </c>
      <c r="U9" s="69" t="s">
        <v>427</v>
      </c>
      <c r="V9" s="69" t="s">
        <v>427</v>
      </c>
      <c r="W9" s="69" t="s">
        <v>427</v>
      </c>
      <c r="X9" s="69" t="s">
        <v>427</v>
      </c>
      <c r="Y9" s="69" t="s">
        <v>427</v>
      </c>
      <c r="Z9" s="69" t="s">
        <v>427</v>
      </c>
      <c r="AA9" s="69" t="s">
        <v>427</v>
      </c>
    </row>
    <row r="10" spans="1:27" x14ac:dyDescent="0.2">
      <c r="A10" s="63" t="s">
        <v>562</v>
      </c>
      <c r="B10" s="179">
        <v>2378</v>
      </c>
      <c r="C10" s="179">
        <v>2724</v>
      </c>
      <c r="D10" s="179">
        <v>2202</v>
      </c>
      <c r="E10" s="179">
        <v>3032</v>
      </c>
      <c r="F10" s="179">
        <v>2475</v>
      </c>
      <c r="G10" s="179">
        <v>4267</v>
      </c>
      <c r="H10" s="180">
        <v>6670</v>
      </c>
      <c r="I10" s="180">
        <v>13591</v>
      </c>
      <c r="J10" s="180">
        <v>11696</v>
      </c>
      <c r="K10" s="180">
        <v>12810</v>
      </c>
      <c r="L10" s="180">
        <v>13317</v>
      </c>
      <c r="M10" s="69" t="s">
        <v>427</v>
      </c>
      <c r="N10" s="69" t="s">
        <v>427</v>
      </c>
      <c r="O10" s="69" t="s">
        <v>427</v>
      </c>
      <c r="P10" s="69" t="s">
        <v>427</v>
      </c>
      <c r="Q10" s="69" t="s">
        <v>427</v>
      </c>
      <c r="R10" s="69" t="s">
        <v>427</v>
      </c>
      <c r="S10" s="69" t="s">
        <v>427</v>
      </c>
      <c r="T10" s="69" t="s">
        <v>427</v>
      </c>
      <c r="U10" s="69" t="s">
        <v>427</v>
      </c>
      <c r="V10" s="69" t="s">
        <v>427</v>
      </c>
      <c r="W10" s="69" t="s">
        <v>427</v>
      </c>
      <c r="X10" s="69" t="s">
        <v>427</v>
      </c>
      <c r="Y10" s="69" t="s">
        <v>427</v>
      </c>
      <c r="Z10" s="69" t="s">
        <v>427</v>
      </c>
      <c r="AA10" s="69" t="s">
        <v>427</v>
      </c>
    </row>
    <row r="11" spans="1:27" x14ac:dyDescent="0.2">
      <c r="A11" s="63" t="s">
        <v>563</v>
      </c>
      <c r="B11" s="179">
        <v>1054</v>
      </c>
      <c r="C11" s="179">
        <v>951</v>
      </c>
      <c r="D11" s="179">
        <v>938</v>
      </c>
      <c r="E11" s="179">
        <v>1032</v>
      </c>
      <c r="F11" s="179">
        <v>1079</v>
      </c>
      <c r="G11" s="179">
        <v>890</v>
      </c>
      <c r="H11" s="180">
        <v>1214</v>
      </c>
      <c r="I11" s="180">
        <v>1123</v>
      </c>
      <c r="J11" s="180">
        <v>1148</v>
      </c>
      <c r="K11" s="180">
        <v>1273</v>
      </c>
      <c r="L11" s="180">
        <v>970</v>
      </c>
      <c r="M11" s="69" t="s">
        <v>427</v>
      </c>
      <c r="N11" s="69" t="s">
        <v>427</v>
      </c>
      <c r="O11" s="69" t="s">
        <v>427</v>
      </c>
      <c r="P11" s="69" t="s">
        <v>427</v>
      </c>
      <c r="Q11" s="69" t="s">
        <v>427</v>
      </c>
      <c r="R11" s="69" t="s">
        <v>427</v>
      </c>
      <c r="S11" s="69" t="s">
        <v>427</v>
      </c>
      <c r="T11" s="69" t="s">
        <v>427</v>
      </c>
      <c r="U11" s="69" t="s">
        <v>427</v>
      </c>
      <c r="V11" s="69" t="s">
        <v>427</v>
      </c>
      <c r="W11" s="69" t="s">
        <v>427</v>
      </c>
      <c r="X11" s="69" t="s">
        <v>427</v>
      </c>
      <c r="Y11" s="69" t="s">
        <v>427</v>
      </c>
      <c r="Z11" s="69" t="s">
        <v>427</v>
      </c>
      <c r="AA11" s="69" t="s">
        <v>427</v>
      </c>
    </row>
    <row r="12" spans="1:27" x14ac:dyDescent="0.2">
      <c r="A12" s="72" t="s">
        <v>564</v>
      </c>
      <c r="B12" s="179">
        <v>58</v>
      </c>
      <c r="C12" s="179">
        <v>70</v>
      </c>
      <c r="D12" s="179">
        <v>52</v>
      </c>
      <c r="E12" s="179">
        <v>53</v>
      </c>
      <c r="F12" s="179">
        <v>54</v>
      </c>
      <c r="G12" s="179">
        <v>84</v>
      </c>
      <c r="H12" s="180">
        <v>78</v>
      </c>
      <c r="I12" s="180">
        <v>60</v>
      </c>
      <c r="J12" s="180">
        <v>58</v>
      </c>
      <c r="K12" s="180">
        <v>86</v>
      </c>
      <c r="L12" s="180">
        <v>69</v>
      </c>
      <c r="M12" s="69" t="s">
        <v>427</v>
      </c>
      <c r="N12" s="69" t="s">
        <v>427</v>
      </c>
      <c r="O12" s="69" t="s">
        <v>427</v>
      </c>
      <c r="P12" s="69" t="s">
        <v>427</v>
      </c>
      <c r="Q12" s="69" t="s">
        <v>427</v>
      </c>
      <c r="R12" s="69" t="s">
        <v>427</v>
      </c>
      <c r="S12" s="69" t="s">
        <v>427</v>
      </c>
      <c r="T12" s="69" t="s">
        <v>427</v>
      </c>
      <c r="U12" s="69" t="s">
        <v>427</v>
      </c>
      <c r="V12" s="69" t="s">
        <v>427</v>
      </c>
      <c r="W12" s="69" t="s">
        <v>427</v>
      </c>
      <c r="X12" s="69" t="s">
        <v>427</v>
      </c>
      <c r="Y12" s="69" t="s">
        <v>427</v>
      </c>
      <c r="Z12" s="69" t="s">
        <v>427</v>
      </c>
      <c r="AA12" s="69" t="s">
        <v>427</v>
      </c>
    </row>
  </sheetData>
  <phoneticPr fontId="15"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9"/>
  <sheetViews>
    <sheetView zoomScaleNormal="100" workbookViewId="0">
      <pane xSplit="1" topLeftCell="V1" activePane="topRight" state="frozen"/>
      <selection activeCell="B8" sqref="B8"/>
      <selection pane="topRight" activeCell="B8" sqref="B8"/>
    </sheetView>
  </sheetViews>
  <sheetFormatPr defaultRowHeight="15" x14ac:dyDescent="0.2"/>
  <cols>
    <col min="1" max="1" width="32.109375" style="6" customWidth="1"/>
    <col min="2" max="2" width="9.88671875" style="6" customWidth="1"/>
    <col min="3" max="3" width="9.33203125" style="6" customWidth="1"/>
    <col min="4" max="4" width="9.44140625" style="6" customWidth="1"/>
    <col min="5" max="5" width="7.88671875" style="6" customWidth="1"/>
    <col min="6" max="6" width="8.5546875" style="6" customWidth="1"/>
    <col min="7" max="7" width="8.88671875" style="6" customWidth="1"/>
    <col min="8" max="8" width="7.44140625" style="6" customWidth="1"/>
    <col min="9" max="9" width="7.33203125" style="6" customWidth="1"/>
    <col min="10" max="10" width="7.5546875" style="6" customWidth="1"/>
    <col min="11" max="11" width="7.44140625" style="6" customWidth="1"/>
    <col min="12" max="32" width="8.5546875" style="6" customWidth="1"/>
    <col min="33" max="16384" width="8.88671875" style="6"/>
  </cols>
  <sheetData>
    <row r="1" spans="1:33" s="5" customFormat="1" ht="15.75" x14ac:dyDescent="0.25">
      <c r="A1" s="1" t="s">
        <v>852</v>
      </c>
      <c r="B1" s="1"/>
      <c r="C1" s="1"/>
      <c r="D1" s="1"/>
      <c r="E1" s="1"/>
      <c r="F1" s="1"/>
      <c r="G1" s="1"/>
      <c r="H1" s="1"/>
      <c r="I1" s="1"/>
      <c r="J1" s="1"/>
      <c r="K1" s="1"/>
      <c r="L1" s="2"/>
      <c r="M1" s="3"/>
      <c r="N1" s="4"/>
      <c r="O1" s="4"/>
      <c r="P1" s="2"/>
    </row>
    <row r="2" spans="1:33" s="5" customFormat="1" ht="15.75" x14ac:dyDescent="0.25">
      <c r="A2" s="2" t="s">
        <v>5</v>
      </c>
      <c r="B2" s="2"/>
      <c r="C2" s="2"/>
      <c r="D2" s="2"/>
      <c r="E2" s="2"/>
      <c r="F2" s="2"/>
      <c r="G2" s="2"/>
      <c r="H2" s="2"/>
      <c r="I2" s="2"/>
      <c r="J2" s="2"/>
      <c r="K2" s="2"/>
      <c r="L2" s="2"/>
      <c r="M2" s="3"/>
      <c r="N2" s="4"/>
      <c r="O2" s="4"/>
      <c r="P2" s="2"/>
    </row>
    <row r="3" spans="1:33" s="5" customFormat="1" ht="15.75" x14ac:dyDescent="0.25">
      <c r="A3" s="5" t="s">
        <v>69</v>
      </c>
      <c r="L3" s="2"/>
      <c r="M3" s="3"/>
      <c r="N3" s="4"/>
      <c r="O3" s="4"/>
      <c r="P3" s="2"/>
    </row>
    <row r="4" spans="1:33" s="260" customFormat="1" ht="15.75" x14ac:dyDescent="0.25">
      <c r="A4" s="245" t="s">
        <v>6</v>
      </c>
      <c r="B4" s="260" t="s">
        <v>68</v>
      </c>
      <c r="C4" s="260" t="s">
        <v>62</v>
      </c>
      <c r="D4" s="260" t="s">
        <v>63</v>
      </c>
      <c r="E4" s="260" t="s">
        <v>54</v>
      </c>
      <c r="F4" s="260" t="s">
        <v>55</v>
      </c>
      <c r="G4" s="260" t="s">
        <v>56</v>
      </c>
      <c r="H4" s="260" t="s">
        <v>40</v>
      </c>
      <c r="I4" s="260" t="s">
        <v>41</v>
      </c>
      <c r="J4" s="260" t="s">
        <v>42</v>
      </c>
      <c r="K4" s="260" t="s">
        <v>43</v>
      </c>
      <c r="L4" s="260" t="s">
        <v>17</v>
      </c>
      <c r="M4" s="260" t="s">
        <v>18</v>
      </c>
      <c r="N4" s="260" t="s">
        <v>44</v>
      </c>
      <c r="O4" s="260" t="s">
        <v>19</v>
      </c>
      <c r="P4" s="260" t="s">
        <v>20</v>
      </c>
      <c r="Q4" s="260" t="s">
        <v>21</v>
      </c>
      <c r="R4" s="260" t="s">
        <v>22</v>
      </c>
      <c r="S4" s="260" t="s">
        <v>23</v>
      </c>
      <c r="T4" s="260" t="s">
        <v>24</v>
      </c>
      <c r="U4" s="260" t="s">
        <v>25</v>
      </c>
      <c r="V4" s="260" t="s">
        <v>26</v>
      </c>
      <c r="W4" s="260" t="s">
        <v>27</v>
      </c>
      <c r="X4" s="260" t="s">
        <v>28</v>
      </c>
      <c r="Y4" s="260" t="s">
        <v>29</v>
      </c>
      <c r="Z4" s="260" t="s">
        <v>30</v>
      </c>
      <c r="AA4" s="260" t="s">
        <v>31</v>
      </c>
      <c r="AB4" s="260" t="s">
        <v>32</v>
      </c>
      <c r="AC4" s="260" t="s">
        <v>33</v>
      </c>
      <c r="AD4" s="260" t="s">
        <v>34</v>
      </c>
      <c r="AE4" s="260" t="s">
        <v>35</v>
      </c>
      <c r="AF4" s="260" t="s">
        <v>36</v>
      </c>
      <c r="AG4" s="245" t="s">
        <v>857</v>
      </c>
    </row>
    <row r="5" spans="1:33" x14ac:dyDescent="0.2">
      <c r="A5" s="6" t="s">
        <v>75</v>
      </c>
      <c r="B5" s="29">
        <v>17130</v>
      </c>
      <c r="C5" s="29">
        <v>17860</v>
      </c>
      <c r="D5" s="29">
        <v>16960</v>
      </c>
      <c r="E5" s="29">
        <v>16310</v>
      </c>
      <c r="F5" s="29">
        <v>17500</v>
      </c>
      <c r="G5" s="29">
        <v>21610</v>
      </c>
      <c r="H5" s="29">
        <v>26440</v>
      </c>
      <c r="I5" s="32">
        <v>23350</v>
      </c>
      <c r="J5" s="33">
        <v>25480</v>
      </c>
      <c r="K5" s="33">
        <v>23020</v>
      </c>
      <c r="L5" s="26">
        <v>15750</v>
      </c>
      <c r="M5" s="26">
        <v>11450</v>
      </c>
      <c r="N5" s="26">
        <v>10340</v>
      </c>
      <c r="O5" s="26">
        <v>10460</v>
      </c>
      <c r="P5" s="34">
        <v>10580</v>
      </c>
      <c r="Q5" s="33">
        <v>13523.4627829686</v>
      </c>
      <c r="R5" s="33">
        <v>10549.662745150101</v>
      </c>
      <c r="S5" s="33">
        <v>13154.602590117907</v>
      </c>
      <c r="T5" s="33">
        <v>14455.843888871141</v>
      </c>
      <c r="U5" s="33">
        <v>12360</v>
      </c>
      <c r="V5" s="33">
        <v>10777.383294691301</v>
      </c>
      <c r="W5" s="35">
        <v>10628</v>
      </c>
      <c r="X5" s="33">
        <v>6723</v>
      </c>
      <c r="Y5" s="33">
        <v>4888</v>
      </c>
      <c r="Z5" s="33">
        <v>4783</v>
      </c>
      <c r="AA5" s="57" t="s">
        <v>427</v>
      </c>
      <c r="AB5" s="57" t="s">
        <v>427</v>
      </c>
      <c r="AC5" s="57" t="s">
        <v>427</v>
      </c>
      <c r="AD5" s="57" t="s">
        <v>427</v>
      </c>
      <c r="AE5" s="57" t="s">
        <v>427</v>
      </c>
      <c r="AF5" s="57" t="s">
        <v>427</v>
      </c>
      <c r="AG5" s="103" t="s">
        <v>427</v>
      </c>
    </row>
    <row r="6" spans="1:33" x14ac:dyDescent="0.2">
      <c r="A6" s="6" t="s">
        <v>76</v>
      </c>
      <c r="B6" s="29">
        <v>200</v>
      </c>
      <c r="C6" s="29">
        <v>270</v>
      </c>
      <c r="D6" s="29">
        <v>260</v>
      </c>
      <c r="E6" s="29">
        <v>80</v>
      </c>
      <c r="F6" s="29">
        <v>120</v>
      </c>
      <c r="G6" s="29">
        <v>1040</v>
      </c>
      <c r="H6" s="29">
        <v>130</v>
      </c>
      <c r="I6" s="32">
        <v>350</v>
      </c>
      <c r="J6" s="33">
        <v>390</v>
      </c>
      <c r="K6" s="33">
        <v>510</v>
      </c>
      <c r="L6" s="26">
        <v>160</v>
      </c>
      <c r="M6" s="26">
        <v>410</v>
      </c>
      <c r="N6" s="26">
        <v>180</v>
      </c>
      <c r="O6" s="26">
        <v>360</v>
      </c>
      <c r="P6" s="12">
        <v>170</v>
      </c>
      <c r="Q6" s="33">
        <v>391.07890821878601</v>
      </c>
      <c r="R6" s="33">
        <v>368.49890922194402</v>
      </c>
      <c r="S6" s="33">
        <v>304.77255404326189</v>
      </c>
      <c r="T6" s="33">
        <v>343.46212297709002</v>
      </c>
      <c r="U6" s="33">
        <v>261</v>
      </c>
      <c r="V6" s="36">
        <v>301.76644136375302</v>
      </c>
      <c r="W6" s="13">
        <v>303</v>
      </c>
      <c r="X6" s="33">
        <v>315.54048782105536</v>
      </c>
      <c r="Y6" s="33">
        <v>277</v>
      </c>
      <c r="Z6" s="33">
        <v>312</v>
      </c>
      <c r="AA6" s="57" t="s">
        <v>427</v>
      </c>
      <c r="AB6" s="57" t="s">
        <v>427</v>
      </c>
      <c r="AC6" s="57" t="s">
        <v>427</v>
      </c>
      <c r="AD6" s="57" t="s">
        <v>427</v>
      </c>
      <c r="AE6" s="57" t="s">
        <v>427</v>
      </c>
      <c r="AF6" s="57" t="s">
        <v>427</v>
      </c>
      <c r="AG6" s="103" t="s">
        <v>427</v>
      </c>
    </row>
    <row r="7" spans="1:33" x14ac:dyDescent="0.2">
      <c r="A7" s="6" t="s">
        <v>77</v>
      </c>
      <c r="B7" s="29">
        <v>1760</v>
      </c>
      <c r="C7" s="29">
        <v>4710</v>
      </c>
      <c r="D7" s="29">
        <v>3720</v>
      </c>
      <c r="E7" s="29">
        <v>3320</v>
      </c>
      <c r="F7" s="29">
        <v>2120</v>
      </c>
      <c r="G7" s="29">
        <v>2460</v>
      </c>
      <c r="H7" s="29">
        <v>2680</v>
      </c>
      <c r="I7" s="32">
        <v>2580</v>
      </c>
      <c r="J7" s="33">
        <v>3740</v>
      </c>
      <c r="K7" s="33">
        <v>3320</v>
      </c>
      <c r="L7" s="26">
        <v>4220</v>
      </c>
      <c r="M7" s="26">
        <v>3690</v>
      </c>
      <c r="N7" s="26">
        <v>4020</v>
      </c>
      <c r="O7" s="26">
        <v>4030</v>
      </c>
      <c r="P7" s="34">
        <v>3310</v>
      </c>
      <c r="Q7" s="33">
        <v>3542.9361557527</v>
      </c>
      <c r="R7" s="33">
        <v>3572.8238619431099</v>
      </c>
      <c r="S7" s="33">
        <v>3449.407823982528</v>
      </c>
      <c r="T7" s="33">
        <v>3090.3723372905588</v>
      </c>
      <c r="U7" s="33">
        <v>2700</v>
      </c>
      <c r="V7" s="33">
        <v>2478</v>
      </c>
      <c r="W7" s="33">
        <v>2080</v>
      </c>
      <c r="X7" s="33">
        <v>2012</v>
      </c>
      <c r="Y7" s="33">
        <v>2287</v>
      </c>
      <c r="Z7" s="33">
        <v>2936</v>
      </c>
      <c r="AA7" s="57" t="s">
        <v>427</v>
      </c>
      <c r="AB7" s="57" t="s">
        <v>427</v>
      </c>
      <c r="AC7" s="57" t="s">
        <v>427</v>
      </c>
      <c r="AD7" s="57" t="s">
        <v>427</v>
      </c>
      <c r="AE7" s="57" t="s">
        <v>427</v>
      </c>
      <c r="AF7" s="57" t="s">
        <v>427</v>
      </c>
      <c r="AG7" s="103" t="s">
        <v>427</v>
      </c>
    </row>
    <row r="8" spans="1:33" x14ac:dyDescent="0.2">
      <c r="A8" s="6" t="s">
        <v>78</v>
      </c>
      <c r="B8" s="29">
        <v>19090</v>
      </c>
      <c r="C8" s="29">
        <v>22850</v>
      </c>
      <c r="D8" s="29">
        <v>20940</v>
      </c>
      <c r="E8" s="29">
        <v>19710</v>
      </c>
      <c r="F8" s="29">
        <v>19740</v>
      </c>
      <c r="G8" s="29">
        <v>25110</v>
      </c>
      <c r="H8" s="29">
        <v>29250</v>
      </c>
      <c r="I8" s="32">
        <v>26280</v>
      </c>
      <c r="J8" s="33">
        <v>29610</v>
      </c>
      <c r="K8" s="33">
        <v>26850</v>
      </c>
      <c r="L8" s="26">
        <v>20100</v>
      </c>
      <c r="M8" s="26">
        <v>15600</v>
      </c>
      <c r="N8" s="26">
        <f t="shared" ref="N8:T8" si="0">SUM(N5:N7)</f>
        <v>14540</v>
      </c>
      <c r="O8" s="26">
        <f t="shared" si="0"/>
        <v>14850</v>
      </c>
      <c r="P8" s="28">
        <f t="shared" si="0"/>
        <v>14060</v>
      </c>
      <c r="Q8" s="28">
        <f t="shared" si="0"/>
        <v>17457.477846940084</v>
      </c>
      <c r="R8" s="28">
        <f t="shared" si="0"/>
        <v>14490.985516315155</v>
      </c>
      <c r="S8" s="28">
        <f t="shared" si="0"/>
        <v>16908.782968143696</v>
      </c>
      <c r="T8" s="28">
        <f t="shared" si="0"/>
        <v>17889.678349138791</v>
      </c>
      <c r="U8" s="28">
        <v>15321</v>
      </c>
      <c r="V8" s="28">
        <f>SUM(V5:V7)</f>
        <v>13557.149736055053</v>
      </c>
      <c r="W8" s="28">
        <f>SUM(W5:W7)</f>
        <v>13011</v>
      </c>
      <c r="X8" s="28">
        <f>SUM(X5:X7)</f>
        <v>9050.5404878210556</v>
      </c>
      <c r="Y8" s="28">
        <f>SUM(Y5:Y7)</f>
        <v>7452</v>
      </c>
      <c r="Z8" s="28">
        <f>SUM(Z5:Z7)</f>
        <v>8031</v>
      </c>
      <c r="AA8" s="28">
        <v>11413.514619713249</v>
      </c>
      <c r="AB8" s="57" t="s">
        <v>427</v>
      </c>
      <c r="AC8" s="57" t="s">
        <v>427</v>
      </c>
      <c r="AD8" s="57" t="s">
        <v>427</v>
      </c>
      <c r="AE8" s="57" t="s">
        <v>427</v>
      </c>
      <c r="AF8" s="57" t="s">
        <v>427</v>
      </c>
      <c r="AG8" s="103" t="s">
        <v>427</v>
      </c>
    </row>
    <row r="9" spans="1:33" ht="34.5" customHeight="1" x14ac:dyDescent="0.2">
      <c r="A9" s="6" t="s">
        <v>79</v>
      </c>
      <c r="B9" s="34">
        <v>630</v>
      </c>
      <c r="C9" s="34">
        <v>560</v>
      </c>
      <c r="D9" s="34">
        <v>570</v>
      </c>
      <c r="E9" s="34">
        <v>570</v>
      </c>
      <c r="F9" s="34">
        <v>470</v>
      </c>
      <c r="G9" s="34">
        <v>470</v>
      </c>
      <c r="H9" s="34">
        <v>560</v>
      </c>
      <c r="I9" s="31">
        <v>560</v>
      </c>
      <c r="J9" s="33">
        <v>530</v>
      </c>
      <c r="K9" s="33">
        <v>600</v>
      </c>
      <c r="L9" s="26">
        <v>1540</v>
      </c>
      <c r="M9" s="26">
        <v>1900</v>
      </c>
      <c r="N9" s="26">
        <v>1810</v>
      </c>
      <c r="O9" s="26">
        <v>1540</v>
      </c>
      <c r="P9" s="34">
        <v>1270</v>
      </c>
      <c r="Q9" s="33">
        <v>1761.9443867198299</v>
      </c>
      <c r="R9" s="33">
        <v>1481.9304125724</v>
      </c>
      <c r="S9" s="33">
        <v>1831.7776603041343</v>
      </c>
      <c r="T9" s="33">
        <v>1746.03253647473</v>
      </c>
      <c r="U9" s="33">
        <v>2287</v>
      </c>
      <c r="V9" s="37">
        <v>1885.35936591427</v>
      </c>
      <c r="W9" s="37">
        <v>2190</v>
      </c>
      <c r="X9" s="37">
        <v>2571</v>
      </c>
      <c r="Y9" s="33">
        <v>2100</v>
      </c>
      <c r="Z9" s="33">
        <v>2182</v>
      </c>
      <c r="AA9" s="57" t="s">
        <v>427</v>
      </c>
      <c r="AB9" s="57" t="s">
        <v>427</v>
      </c>
      <c r="AC9" s="57" t="s">
        <v>427</v>
      </c>
      <c r="AD9" s="57" t="s">
        <v>427</v>
      </c>
      <c r="AE9" s="57" t="s">
        <v>427</v>
      </c>
      <c r="AF9" s="57" t="s">
        <v>427</v>
      </c>
      <c r="AG9" s="103" t="s">
        <v>427</v>
      </c>
    </row>
    <row r="10" spans="1:33" x14ac:dyDescent="0.2">
      <c r="A10" s="6" t="s">
        <v>80</v>
      </c>
      <c r="B10" s="34">
        <v>50</v>
      </c>
      <c r="C10" s="34">
        <v>50</v>
      </c>
      <c r="D10" s="34">
        <v>50</v>
      </c>
      <c r="E10" s="34">
        <v>50</v>
      </c>
      <c r="F10" s="34">
        <v>50</v>
      </c>
      <c r="G10" s="34">
        <v>50</v>
      </c>
      <c r="H10" s="34">
        <v>50</v>
      </c>
      <c r="I10" s="31">
        <v>50</v>
      </c>
      <c r="J10" s="37">
        <v>0</v>
      </c>
      <c r="K10" s="37">
        <v>0</v>
      </c>
      <c r="L10" s="37">
        <v>0</v>
      </c>
      <c r="M10" s="37">
        <v>0</v>
      </c>
      <c r="N10" s="37">
        <v>0</v>
      </c>
      <c r="O10" s="37">
        <v>0</v>
      </c>
      <c r="P10" s="37">
        <v>0</v>
      </c>
      <c r="Q10" s="37">
        <v>0</v>
      </c>
      <c r="R10" s="37">
        <v>0</v>
      </c>
      <c r="S10" s="37">
        <v>0</v>
      </c>
      <c r="T10" s="37">
        <v>0</v>
      </c>
      <c r="U10" s="37">
        <v>0</v>
      </c>
      <c r="V10" s="37">
        <v>0</v>
      </c>
      <c r="W10" s="57" t="s">
        <v>427</v>
      </c>
      <c r="X10" s="57" t="s">
        <v>427</v>
      </c>
      <c r="Y10" s="57" t="s">
        <v>427</v>
      </c>
      <c r="Z10" s="57" t="s">
        <v>427</v>
      </c>
      <c r="AA10" s="57" t="s">
        <v>427</v>
      </c>
      <c r="AB10" s="57" t="s">
        <v>427</v>
      </c>
      <c r="AC10" s="57" t="s">
        <v>427</v>
      </c>
      <c r="AD10" s="57" t="s">
        <v>427</v>
      </c>
      <c r="AE10" s="57" t="s">
        <v>427</v>
      </c>
      <c r="AF10" s="57" t="s">
        <v>427</v>
      </c>
      <c r="AG10" s="103" t="s">
        <v>427</v>
      </c>
    </row>
    <row r="11" spans="1:33" x14ac:dyDescent="0.2">
      <c r="A11" s="6" t="s">
        <v>81</v>
      </c>
      <c r="B11" s="34">
        <v>680</v>
      </c>
      <c r="C11" s="34">
        <v>610</v>
      </c>
      <c r="D11" s="34">
        <v>620</v>
      </c>
      <c r="E11" s="34">
        <v>620</v>
      </c>
      <c r="F11" s="34">
        <v>520</v>
      </c>
      <c r="G11" s="34">
        <v>520</v>
      </c>
      <c r="H11" s="34">
        <v>610</v>
      </c>
      <c r="I11" s="31">
        <v>610</v>
      </c>
      <c r="J11" s="33">
        <v>530</v>
      </c>
      <c r="K11" s="33">
        <v>600</v>
      </c>
      <c r="L11" s="28">
        <f t="shared" ref="L11:T11" si="1">SUM(L9:L10)</f>
        <v>1540</v>
      </c>
      <c r="M11" s="28">
        <f t="shared" si="1"/>
        <v>1900</v>
      </c>
      <c r="N11" s="28">
        <f t="shared" si="1"/>
        <v>1810</v>
      </c>
      <c r="O11" s="28">
        <f t="shared" si="1"/>
        <v>1540</v>
      </c>
      <c r="P11" s="28">
        <f t="shared" si="1"/>
        <v>1270</v>
      </c>
      <c r="Q11" s="28">
        <f t="shared" si="1"/>
        <v>1761.9443867198299</v>
      </c>
      <c r="R11" s="28">
        <f t="shared" si="1"/>
        <v>1481.9304125724</v>
      </c>
      <c r="S11" s="28">
        <f t="shared" si="1"/>
        <v>1831.7776603041343</v>
      </c>
      <c r="T11" s="28">
        <f t="shared" si="1"/>
        <v>1746.03253647473</v>
      </c>
      <c r="U11" s="28">
        <v>2287</v>
      </c>
      <c r="V11" s="37">
        <v>1885</v>
      </c>
      <c r="W11" s="37">
        <v>2190</v>
      </c>
      <c r="X11" s="37">
        <f>X9</f>
        <v>2571</v>
      </c>
      <c r="Y11" s="37">
        <v>2100</v>
      </c>
      <c r="Z11" s="37">
        <v>2182</v>
      </c>
      <c r="AA11" s="57" t="s">
        <v>427</v>
      </c>
      <c r="AB11" s="57" t="s">
        <v>427</v>
      </c>
      <c r="AC11" s="57" t="s">
        <v>427</v>
      </c>
      <c r="AD11" s="57" t="s">
        <v>427</v>
      </c>
      <c r="AE11" s="57" t="s">
        <v>427</v>
      </c>
      <c r="AF11" s="57" t="s">
        <v>427</v>
      </c>
      <c r="AG11" s="103" t="s">
        <v>427</v>
      </c>
    </row>
    <row r="12" spans="1:33" ht="30" customHeight="1" x14ac:dyDescent="0.2">
      <c r="A12" s="6" t="s">
        <v>70</v>
      </c>
      <c r="B12" s="29">
        <v>1</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row>
    <row r="13" spans="1:33" x14ac:dyDescent="0.2">
      <c r="A13" s="6" t="s">
        <v>71</v>
      </c>
      <c r="B13" s="29">
        <v>136</v>
      </c>
      <c r="C13" s="29">
        <v>140</v>
      </c>
      <c r="D13" s="29">
        <v>130</v>
      </c>
      <c r="E13" s="29">
        <v>130</v>
      </c>
      <c r="F13" s="29">
        <v>120</v>
      </c>
      <c r="G13" s="29">
        <v>100</v>
      </c>
      <c r="H13" s="29">
        <v>100</v>
      </c>
      <c r="I13" s="28">
        <v>100</v>
      </c>
      <c r="J13" s="33">
        <v>110</v>
      </c>
      <c r="K13" s="33">
        <v>100</v>
      </c>
      <c r="L13" s="26">
        <v>120</v>
      </c>
      <c r="M13" s="26">
        <v>110</v>
      </c>
      <c r="N13" s="26">
        <v>100</v>
      </c>
      <c r="O13" s="26">
        <v>90</v>
      </c>
      <c r="P13" s="12">
        <v>90</v>
      </c>
      <c r="Q13" s="33">
        <v>115</v>
      </c>
      <c r="R13" s="33">
        <v>100.8</v>
      </c>
      <c r="S13" s="33">
        <v>100.99963757346924</v>
      </c>
      <c r="T13" s="33">
        <v>101.33858362098979</v>
      </c>
      <c r="U13" s="33">
        <v>83</v>
      </c>
      <c r="V13" s="36">
        <v>80</v>
      </c>
      <c r="W13" s="13">
        <v>80</v>
      </c>
      <c r="X13" s="19">
        <v>60</v>
      </c>
      <c r="Y13" s="19">
        <v>53</v>
      </c>
      <c r="Z13" s="12">
        <v>22</v>
      </c>
      <c r="AA13" s="57" t="s">
        <v>427</v>
      </c>
      <c r="AB13" s="57" t="s">
        <v>427</v>
      </c>
      <c r="AC13" s="57" t="s">
        <v>427</v>
      </c>
      <c r="AD13" s="57" t="s">
        <v>427</v>
      </c>
      <c r="AE13" s="57" t="s">
        <v>427</v>
      </c>
      <c r="AF13" s="57" t="s">
        <v>427</v>
      </c>
      <c r="AG13" s="103" t="s">
        <v>427</v>
      </c>
    </row>
    <row r="14" spans="1:33" x14ac:dyDescent="0.2">
      <c r="A14" s="6" t="s">
        <v>72</v>
      </c>
      <c r="B14" s="29">
        <v>58</v>
      </c>
      <c r="C14" s="29">
        <v>61</v>
      </c>
      <c r="D14" s="29">
        <v>50</v>
      </c>
      <c r="E14" s="29">
        <v>50</v>
      </c>
      <c r="F14" s="29">
        <v>50</v>
      </c>
      <c r="G14" s="29">
        <v>60</v>
      </c>
      <c r="H14" s="29">
        <v>60</v>
      </c>
      <c r="I14" s="28">
        <v>60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57" t="s">
        <v>427</v>
      </c>
      <c r="AB14" s="57" t="s">
        <v>427</v>
      </c>
      <c r="AC14" s="57" t="s">
        <v>427</v>
      </c>
      <c r="AD14" s="57" t="s">
        <v>427</v>
      </c>
      <c r="AE14" s="57" t="s">
        <v>427</v>
      </c>
      <c r="AF14" s="57" t="s">
        <v>427</v>
      </c>
      <c r="AG14" s="103" t="s">
        <v>427</v>
      </c>
    </row>
    <row r="15" spans="1:33" x14ac:dyDescent="0.2">
      <c r="A15" s="6" t="s">
        <v>73</v>
      </c>
      <c r="B15" s="29">
        <v>121</v>
      </c>
      <c r="C15" s="29">
        <v>98</v>
      </c>
      <c r="D15" s="29">
        <v>100</v>
      </c>
      <c r="E15" s="29">
        <v>110</v>
      </c>
      <c r="F15" s="29">
        <v>120</v>
      </c>
      <c r="G15" s="29">
        <v>130</v>
      </c>
      <c r="H15" s="29">
        <v>130</v>
      </c>
      <c r="I15" s="28">
        <v>150</v>
      </c>
      <c r="J15" s="33">
        <v>150</v>
      </c>
      <c r="K15" s="33">
        <v>140</v>
      </c>
      <c r="L15" s="26">
        <v>160</v>
      </c>
      <c r="M15" s="26">
        <v>170</v>
      </c>
      <c r="N15" s="26">
        <v>150</v>
      </c>
      <c r="O15" s="26">
        <v>140</v>
      </c>
      <c r="P15" s="12">
        <v>140</v>
      </c>
      <c r="Q15" s="33">
        <v>135</v>
      </c>
      <c r="R15" s="33">
        <v>145.80000000000001</v>
      </c>
      <c r="S15" s="33">
        <v>165.81543484384832</v>
      </c>
      <c r="T15" s="33">
        <v>209.8131364734914</v>
      </c>
      <c r="U15" s="33">
        <v>160</v>
      </c>
      <c r="V15" s="36">
        <v>200</v>
      </c>
      <c r="W15" s="13">
        <v>190</v>
      </c>
      <c r="X15" s="19">
        <v>209</v>
      </c>
      <c r="Y15" s="19">
        <v>209</v>
      </c>
      <c r="Z15" s="12">
        <v>137</v>
      </c>
      <c r="AA15" s="57" t="s">
        <v>427</v>
      </c>
      <c r="AB15" s="57" t="s">
        <v>427</v>
      </c>
      <c r="AC15" s="57" t="s">
        <v>427</v>
      </c>
      <c r="AD15" s="57" t="s">
        <v>427</v>
      </c>
      <c r="AE15" s="57" t="s">
        <v>427</v>
      </c>
      <c r="AF15" s="57" t="s">
        <v>427</v>
      </c>
      <c r="AG15" s="103" t="s">
        <v>427</v>
      </c>
    </row>
    <row r="16" spans="1:33" x14ac:dyDescent="0.2">
      <c r="A16" s="6" t="s">
        <v>74</v>
      </c>
      <c r="B16" s="29">
        <v>315</v>
      </c>
      <c r="C16" s="29">
        <v>298</v>
      </c>
      <c r="D16" s="29">
        <v>270</v>
      </c>
      <c r="E16" s="29">
        <f>SUM(E12:E15)</f>
        <v>290</v>
      </c>
      <c r="F16" s="29">
        <f>SUM(F12:F15)</f>
        <v>290</v>
      </c>
      <c r="G16" s="29">
        <v>300</v>
      </c>
      <c r="H16" s="29">
        <v>300</v>
      </c>
      <c r="I16" s="29">
        <f>SUM(I12:I15)</f>
        <v>310</v>
      </c>
      <c r="J16" s="33">
        <v>260</v>
      </c>
      <c r="K16" s="33">
        <v>240</v>
      </c>
      <c r="L16" s="26">
        <v>280</v>
      </c>
      <c r="M16" s="26">
        <v>280</v>
      </c>
      <c r="N16" s="26">
        <v>240</v>
      </c>
      <c r="O16" s="26">
        <v>240</v>
      </c>
      <c r="P16" s="12">
        <v>240</v>
      </c>
      <c r="Q16" s="33">
        <v>251</v>
      </c>
      <c r="R16" s="33">
        <v>249.4</v>
      </c>
      <c r="S16" s="33">
        <v>267.95792638441998</v>
      </c>
      <c r="T16" s="33">
        <v>311.98284187232485</v>
      </c>
      <c r="U16" s="33">
        <v>244</v>
      </c>
      <c r="V16" s="36">
        <v>280</v>
      </c>
      <c r="W16" s="13">
        <v>270</v>
      </c>
      <c r="X16" s="19">
        <v>269</v>
      </c>
      <c r="Y16" s="19">
        <v>262</v>
      </c>
      <c r="Z16" s="12">
        <v>234</v>
      </c>
      <c r="AA16" s="39">
        <v>235.55672758178665</v>
      </c>
      <c r="AB16" s="57" t="s">
        <v>427</v>
      </c>
      <c r="AC16" s="57" t="s">
        <v>427</v>
      </c>
      <c r="AD16" s="57" t="s">
        <v>427</v>
      </c>
      <c r="AE16" s="57" t="s">
        <v>427</v>
      </c>
      <c r="AF16" s="57" t="s">
        <v>427</v>
      </c>
      <c r="AG16" s="103" t="s">
        <v>427</v>
      </c>
    </row>
    <row r="17" spans="1:33" ht="28.5" customHeight="1" x14ac:dyDescent="0.2">
      <c r="A17" s="6" t="s">
        <v>91</v>
      </c>
      <c r="B17" s="301">
        <f t="shared" ref="B17:T17" si="2">B8+B11+B16</f>
        <v>20085</v>
      </c>
      <c r="C17" s="301">
        <f t="shared" si="2"/>
        <v>23758</v>
      </c>
      <c r="D17" s="301">
        <f t="shared" si="2"/>
        <v>21830</v>
      </c>
      <c r="E17" s="301">
        <f t="shared" si="2"/>
        <v>20620</v>
      </c>
      <c r="F17" s="301">
        <f t="shared" si="2"/>
        <v>20550</v>
      </c>
      <c r="G17" s="301">
        <f t="shared" si="2"/>
        <v>25930</v>
      </c>
      <c r="H17" s="301">
        <f t="shared" si="2"/>
        <v>30160</v>
      </c>
      <c r="I17" s="301">
        <f t="shared" si="2"/>
        <v>27200</v>
      </c>
      <c r="J17" s="301">
        <f t="shared" si="2"/>
        <v>30400</v>
      </c>
      <c r="K17" s="301">
        <f t="shared" si="2"/>
        <v>27690</v>
      </c>
      <c r="L17" s="301">
        <f t="shared" si="2"/>
        <v>21920</v>
      </c>
      <c r="M17" s="301">
        <f t="shared" si="2"/>
        <v>17780</v>
      </c>
      <c r="N17" s="40">
        <f t="shared" si="2"/>
        <v>16590</v>
      </c>
      <c r="O17" s="40">
        <f t="shared" si="2"/>
        <v>16630</v>
      </c>
      <c r="P17" s="40">
        <f t="shared" si="2"/>
        <v>15570</v>
      </c>
      <c r="Q17" s="40">
        <f t="shared" si="2"/>
        <v>19470.422233659916</v>
      </c>
      <c r="R17" s="40">
        <f t="shared" si="2"/>
        <v>16222.315928887554</v>
      </c>
      <c r="S17" s="40">
        <f t="shared" si="2"/>
        <v>19008.518554832252</v>
      </c>
      <c r="T17" s="40">
        <f t="shared" si="2"/>
        <v>19947.693727485846</v>
      </c>
      <c r="U17" s="40">
        <v>17852</v>
      </c>
      <c r="V17" s="40">
        <f>V8+V11+V16</f>
        <v>15722.149736055053</v>
      </c>
      <c r="W17" s="40">
        <f>W8+W11+W16</f>
        <v>15471</v>
      </c>
      <c r="X17" s="40">
        <f>X8+X11+X16</f>
        <v>11890.540487821056</v>
      </c>
      <c r="Y17" s="40">
        <f>Y8+Y11+Y16</f>
        <v>9814</v>
      </c>
      <c r="Z17" s="40">
        <f>Z8+Z11+Z16</f>
        <v>10447</v>
      </c>
      <c r="AA17" s="302">
        <f>AA8+AA16</f>
        <v>11649.071347295036</v>
      </c>
      <c r="AB17" s="57" t="s">
        <v>427</v>
      </c>
      <c r="AC17" s="57" t="s">
        <v>427</v>
      </c>
      <c r="AD17" s="57" t="s">
        <v>427</v>
      </c>
      <c r="AE17" s="57" t="s">
        <v>427</v>
      </c>
      <c r="AF17" s="57" t="s">
        <v>427</v>
      </c>
      <c r="AG17" s="103" t="s">
        <v>427</v>
      </c>
    </row>
    <row r="18" spans="1:33" x14ac:dyDescent="0.2">
      <c r="A18" s="6" t="s">
        <v>92</v>
      </c>
      <c r="B18" s="57" t="s">
        <v>427</v>
      </c>
      <c r="C18" s="57" t="s">
        <v>427</v>
      </c>
      <c r="D18" s="57" t="s">
        <v>427</v>
      </c>
      <c r="E18" s="57" t="s">
        <v>427</v>
      </c>
      <c r="F18" s="57" t="s">
        <v>427</v>
      </c>
      <c r="G18" s="57" t="s">
        <v>427</v>
      </c>
      <c r="H18" s="57" t="s">
        <v>427</v>
      </c>
      <c r="I18" s="57" t="s">
        <v>427</v>
      </c>
      <c r="J18" s="57" t="s">
        <v>427</v>
      </c>
      <c r="K18" s="57" t="s">
        <v>427</v>
      </c>
      <c r="L18" s="57" t="s">
        <v>427</v>
      </c>
      <c r="M18" s="57" t="s">
        <v>427</v>
      </c>
      <c r="N18" s="57" t="s">
        <v>427</v>
      </c>
      <c r="O18" s="57" t="s">
        <v>427</v>
      </c>
      <c r="P18" s="57" t="s">
        <v>427</v>
      </c>
      <c r="Q18" s="57" t="s">
        <v>427</v>
      </c>
      <c r="R18" s="57" t="s">
        <v>427</v>
      </c>
      <c r="S18" s="57" t="s">
        <v>427</v>
      </c>
      <c r="T18" s="57" t="s">
        <v>427</v>
      </c>
      <c r="U18" s="57" t="s">
        <v>427</v>
      </c>
      <c r="V18" s="57" t="s">
        <v>427</v>
      </c>
      <c r="W18" s="57" t="s">
        <v>427</v>
      </c>
      <c r="X18" s="57" t="s">
        <v>427</v>
      </c>
      <c r="Y18" s="57" t="s">
        <v>427</v>
      </c>
      <c r="Z18" s="57" t="s">
        <v>427</v>
      </c>
      <c r="AA18" s="57" t="s">
        <v>427</v>
      </c>
      <c r="AB18" s="57" t="s">
        <v>427</v>
      </c>
      <c r="AC18" s="57" t="s">
        <v>427</v>
      </c>
      <c r="AD18" s="57" t="s">
        <v>427</v>
      </c>
      <c r="AE18" s="57" t="s">
        <v>427</v>
      </c>
      <c r="AF18" s="57" t="s">
        <v>427</v>
      </c>
      <c r="AG18" s="103" t="s">
        <v>427</v>
      </c>
    </row>
    <row r="19" spans="1:33" x14ac:dyDescent="0.2">
      <c r="A19" s="6" t="s">
        <v>93</v>
      </c>
      <c r="B19" s="57" t="s">
        <v>427</v>
      </c>
      <c r="C19" s="57" t="s">
        <v>427</v>
      </c>
      <c r="D19" s="57" t="s">
        <v>427</v>
      </c>
      <c r="E19" s="57" t="s">
        <v>427</v>
      </c>
      <c r="F19" s="57" t="s">
        <v>427</v>
      </c>
      <c r="G19" s="57" t="s">
        <v>427</v>
      </c>
      <c r="H19" s="57" t="s">
        <v>427</v>
      </c>
      <c r="I19" s="57" t="s">
        <v>427</v>
      </c>
      <c r="J19" s="57" t="s">
        <v>427</v>
      </c>
      <c r="K19" s="57" t="s">
        <v>427</v>
      </c>
      <c r="L19" s="57" t="s">
        <v>427</v>
      </c>
      <c r="M19" s="57" t="s">
        <v>427</v>
      </c>
      <c r="N19" s="57" t="s">
        <v>427</v>
      </c>
      <c r="O19" s="57" t="s">
        <v>427</v>
      </c>
      <c r="P19" s="57" t="s">
        <v>427</v>
      </c>
      <c r="Q19" s="57" t="s">
        <v>427</v>
      </c>
      <c r="R19" s="57" t="s">
        <v>427</v>
      </c>
      <c r="S19" s="57" t="s">
        <v>427</v>
      </c>
      <c r="T19" s="57" t="s">
        <v>427</v>
      </c>
      <c r="U19" s="57" t="s">
        <v>427</v>
      </c>
      <c r="V19" s="57" t="s">
        <v>427</v>
      </c>
      <c r="W19" s="57" t="s">
        <v>427</v>
      </c>
      <c r="X19" s="57" t="s">
        <v>427</v>
      </c>
      <c r="Y19" s="57" t="s">
        <v>427</v>
      </c>
      <c r="Z19" s="57" t="s">
        <v>427</v>
      </c>
      <c r="AA19" s="57" t="s">
        <v>427</v>
      </c>
      <c r="AB19" s="57" t="s">
        <v>427</v>
      </c>
      <c r="AC19" s="57" t="s">
        <v>427</v>
      </c>
      <c r="AD19" s="57" t="s">
        <v>427</v>
      </c>
      <c r="AE19" s="57" t="s">
        <v>427</v>
      </c>
      <c r="AF19" s="57" t="s">
        <v>427</v>
      </c>
      <c r="AG19" s="103" t="s">
        <v>427</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3"/>
  <sheetViews>
    <sheetView zoomScaleNormal="100" workbookViewId="0">
      <pane xSplit="1" topLeftCell="V1" activePane="topRight" state="frozen"/>
      <selection activeCell="B8" sqref="B8"/>
      <selection pane="topRight" activeCell="B8" sqref="B8"/>
    </sheetView>
  </sheetViews>
  <sheetFormatPr defaultRowHeight="15" x14ac:dyDescent="0.2"/>
  <cols>
    <col min="1" max="1" width="32.109375" style="6" customWidth="1"/>
    <col min="2" max="2" width="9.88671875" style="6" customWidth="1"/>
    <col min="3" max="3" width="9.33203125" style="6" customWidth="1"/>
    <col min="4" max="4" width="9.44140625" style="6" customWidth="1"/>
    <col min="5" max="5" width="7.88671875" style="6" customWidth="1"/>
    <col min="6" max="6" width="8.5546875" style="6" customWidth="1"/>
    <col min="7" max="7" width="8.88671875" style="6" customWidth="1"/>
    <col min="8" max="8" width="7.44140625" style="6" customWidth="1"/>
    <col min="9" max="9" width="7.33203125" style="6" customWidth="1"/>
    <col min="10" max="10" width="7.5546875" style="6" customWidth="1"/>
    <col min="11" max="11" width="7.44140625" style="6" customWidth="1"/>
    <col min="12" max="32" width="8.5546875" style="6" customWidth="1"/>
    <col min="33" max="16384" width="8.88671875" style="6"/>
  </cols>
  <sheetData>
    <row r="1" spans="1:33" s="5" customFormat="1" ht="15.75" x14ac:dyDescent="0.25">
      <c r="A1" s="1" t="s">
        <v>851</v>
      </c>
      <c r="B1" s="1"/>
      <c r="C1" s="1"/>
      <c r="D1" s="1"/>
      <c r="E1" s="1"/>
      <c r="F1" s="1"/>
      <c r="G1" s="1"/>
      <c r="H1" s="1"/>
      <c r="I1" s="1"/>
      <c r="J1" s="1"/>
      <c r="K1" s="1"/>
      <c r="L1" s="2"/>
      <c r="M1" s="3"/>
      <c r="N1" s="4"/>
      <c r="O1" s="4"/>
      <c r="P1" s="2"/>
    </row>
    <row r="2" spans="1:33" s="5" customFormat="1" ht="15.75" x14ac:dyDescent="0.25">
      <c r="A2" s="2" t="s">
        <v>5</v>
      </c>
      <c r="B2" s="2"/>
      <c r="C2" s="2"/>
      <c r="D2" s="2"/>
      <c r="E2" s="2"/>
      <c r="F2" s="2"/>
      <c r="G2" s="2"/>
      <c r="H2" s="2"/>
      <c r="I2" s="2"/>
      <c r="J2" s="2"/>
      <c r="K2" s="2"/>
      <c r="L2" s="2"/>
      <c r="M2" s="3"/>
      <c r="N2" s="4"/>
      <c r="O2" s="4"/>
      <c r="P2" s="2"/>
    </row>
    <row r="3" spans="1:33" s="5" customFormat="1" ht="15.75" x14ac:dyDescent="0.25">
      <c r="A3" s="5" t="s">
        <v>69</v>
      </c>
      <c r="L3" s="2"/>
      <c r="M3" s="3"/>
      <c r="N3" s="4"/>
      <c r="O3" s="4"/>
      <c r="P3" s="2"/>
    </row>
    <row r="4" spans="1:33" s="260" customFormat="1" ht="15.75" x14ac:dyDescent="0.25">
      <c r="A4" s="245" t="s">
        <v>6</v>
      </c>
      <c r="B4" s="260" t="s">
        <v>68</v>
      </c>
      <c r="C4" s="260" t="s">
        <v>62</v>
      </c>
      <c r="D4" s="260" t="s">
        <v>63</v>
      </c>
      <c r="E4" s="260" t="s">
        <v>54</v>
      </c>
      <c r="F4" s="260" t="s">
        <v>55</v>
      </c>
      <c r="G4" s="260" t="s">
        <v>56</v>
      </c>
      <c r="H4" s="260" t="s">
        <v>40</v>
      </c>
      <c r="I4" s="260" t="s">
        <v>41</v>
      </c>
      <c r="J4" s="260" t="s">
        <v>42</v>
      </c>
      <c r="K4" s="260" t="s">
        <v>43</v>
      </c>
      <c r="L4" s="260" t="s">
        <v>17</v>
      </c>
      <c r="M4" s="260" t="s">
        <v>18</v>
      </c>
      <c r="N4" s="260" t="s">
        <v>44</v>
      </c>
      <c r="O4" s="260" t="s">
        <v>19</v>
      </c>
      <c r="P4" s="260" t="s">
        <v>20</v>
      </c>
      <c r="Q4" s="260" t="s">
        <v>21</v>
      </c>
      <c r="R4" s="260" t="s">
        <v>22</v>
      </c>
      <c r="S4" s="260" t="s">
        <v>23</v>
      </c>
      <c r="T4" s="260" t="s">
        <v>24</v>
      </c>
      <c r="U4" s="260" t="s">
        <v>25</v>
      </c>
      <c r="V4" s="260" t="s">
        <v>26</v>
      </c>
      <c r="W4" s="260" t="s">
        <v>27</v>
      </c>
      <c r="X4" s="260" t="s">
        <v>28</v>
      </c>
      <c r="Y4" s="260" t="s">
        <v>29</v>
      </c>
      <c r="Z4" s="260" t="s">
        <v>30</v>
      </c>
      <c r="AA4" s="260" t="s">
        <v>31</v>
      </c>
      <c r="AB4" s="260" t="s">
        <v>32</v>
      </c>
      <c r="AC4" s="260" t="s">
        <v>33</v>
      </c>
      <c r="AD4" s="260" t="s">
        <v>34</v>
      </c>
      <c r="AE4" s="260" t="s">
        <v>35</v>
      </c>
      <c r="AF4" s="260" t="s">
        <v>36</v>
      </c>
      <c r="AG4" s="245" t="s">
        <v>857</v>
      </c>
    </row>
    <row r="5" spans="1:33" x14ac:dyDescent="0.2">
      <c r="A5" s="6" t="s">
        <v>94</v>
      </c>
      <c r="B5" s="17">
        <v>4.3</v>
      </c>
      <c r="C5" s="17">
        <v>4.5</v>
      </c>
      <c r="D5" s="17">
        <v>3.9</v>
      </c>
      <c r="E5" s="17">
        <v>3.9</v>
      </c>
      <c r="F5" s="17">
        <v>3.3</v>
      </c>
      <c r="G5" s="17">
        <v>3</v>
      </c>
      <c r="H5" s="17">
        <v>3.1</v>
      </c>
      <c r="I5" s="18">
        <v>3.5</v>
      </c>
      <c r="J5" s="9">
        <v>4.2</v>
      </c>
      <c r="K5" s="9">
        <v>4.2</v>
      </c>
      <c r="L5" s="9">
        <v>3.44</v>
      </c>
      <c r="M5" s="9">
        <v>4.08</v>
      </c>
      <c r="N5" s="9">
        <v>3.48</v>
      </c>
      <c r="O5" s="12">
        <v>3.19</v>
      </c>
      <c r="P5" s="12">
        <v>3.56</v>
      </c>
      <c r="Q5" s="9">
        <v>4.2928629212779637</v>
      </c>
      <c r="R5" s="9">
        <v>3.555011959796599</v>
      </c>
      <c r="S5" s="9">
        <v>3.6195147032489792</v>
      </c>
      <c r="T5" s="9">
        <v>2.790032149494325</v>
      </c>
      <c r="U5" s="9">
        <v>2.52</v>
      </c>
      <c r="V5" s="14">
        <v>3.01</v>
      </c>
      <c r="W5" s="13">
        <v>2.06</v>
      </c>
      <c r="X5" s="19">
        <v>2.14</v>
      </c>
      <c r="Y5" s="12">
        <v>1.91</v>
      </c>
      <c r="Z5" s="12">
        <v>1.74</v>
      </c>
      <c r="AA5" s="57" t="s">
        <v>427</v>
      </c>
      <c r="AB5" s="57" t="s">
        <v>427</v>
      </c>
      <c r="AC5" s="57" t="s">
        <v>427</v>
      </c>
      <c r="AD5" s="57" t="s">
        <v>427</v>
      </c>
      <c r="AE5" s="57" t="s">
        <v>427</v>
      </c>
      <c r="AF5" s="57" t="s">
        <v>427</v>
      </c>
      <c r="AG5" s="103" t="s">
        <v>427</v>
      </c>
    </row>
    <row r="6" spans="1:33" x14ac:dyDescent="0.2">
      <c r="A6" s="6" t="s">
        <v>95</v>
      </c>
      <c r="B6" s="17">
        <v>0.2</v>
      </c>
      <c r="C6" s="17">
        <v>0.1</v>
      </c>
      <c r="D6" s="17">
        <v>0.1</v>
      </c>
      <c r="E6" s="37">
        <v>0</v>
      </c>
      <c r="F6" s="37">
        <v>0</v>
      </c>
      <c r="G6" s="37">
        <v>0</v>
      </c>
      <c r="H6" s="37">
        <v>0</v>
      </c>
      <c r="I6" s="37">
        <v>0</v>
      </c>
      <c r="J6" s="37">
        <v>0</v>
      </c>
      <c r="K6" s="37">
        <v>0</v>
      </c>
      <c r="L6" s="37">
        <v>0</v>
      </c>
      <c r="M6" s="37">
        <v>0</v>
      </c>
      <c r="N6" s="37">
        <v>0</v>
      </c>
      <c r="O6" s="37">
        <v>0</v>
      </c>
      <c r="P6" s="37">
        <v>0</v>
      </c>
      <c r="Q6" s="37">
        <v>0</v>
      </c>
      <c r="R6" s="14">
        <v>8.5692105450102807E-3</v>
      </c>
      <c r="S6" s="14">
        <v>4.254461483775434E-2</v>
      </c>
      <c r="T6" s="14">
        <v>1.64336548510239E-2</v>
      </c>
      <c r="U6" s="37">
        <v>0</v>
      </c>
      <c r="V6" s="14">
        <v>0.01</v>
      </c>
      <c r="W6" s="13">
        <v>0.08</v>
      </c>
      <c r="X6" s="19">
        <v>0.01</v>
      </c>
      <c r="Y6" s="12">
        <v>0.02</v>
      </c>
      <c r="Z6" s="41">
        <v>0</v>
      </c>
      <c r="AA6" s="57" t="s">
        <v>427</v>
      </c>
      <c r="AB6" s="57" t="s">
        <v>427</v>
      </c>
      <c r="AC6" s="57" t="s">
        <v>427</v>
      </c>
      <c r="AD6" s="57" t="s">
        <v>427</v>
      </c>
      <c r="AE6" s="57" t="s">
        <v>427</v>
      </c>
      <c r="AF6" s="57" t="s">
        <v>427</v>
      </c>
      <c r="AG6" s="103" t="s">
        <v>427</v>
      </c>
    </row>
    <row r="7" spans="1:33" x14ac:dyDescent="0.2">
      <c r="A7" s="6" t="s">
        <v>96</v>
      </c>
      <c r="B7" s="17">
        <v>2.5</v>
      </c>
      <c r="C7" s="17">
        <v>2.4</v>
      </c>
      <c r="D7" s="17">
        <v>2.2999999999999998</v>
      </c>
      <c r="E7" s="17">
        <v>2.6</v>
      </c>
      <c r="F7" s="17">
        <v>3</v>
      </c>
      <c r="G7" s="17">
        <v>2.7</v>
      </c>
      <c r="H7" s="17">
        <v>3</v>
      </c>
      <c r="I7" s="18">
        <v>3.5</v>
      </c>
      <c r="J7" s="9">
        <v>4.0999999999999996</v>
      </c>
      <c r="K7" s="9">
        <v>4.0999999999999996</v>
      </c>
      <c r="L7" s="9">
        <v>3.46</v>
      </c>
      <c r="M7" s="9">
        <v>3.75</v>
      </c>
      <c r="N7" s="9">
        <v>3.49</v>
      </c>
      <c r="O7" s="12">
        <v>3.62</v>
      </c>
      <c r="P7" s="12">
        <v>3.34</v>
      </c>
      <c r="Q7" s="9">
        <v>4.1712830810425601</v>
      </c>
      <c r="R7" s="9">
        <v>4.2240341590251393</v>
      </c>
      <c r="S7" s="9">
        <v>4.1325357511235703</v>
      </c>
      <c r="T7" s="9">
        <v>4.2034475792841199</v>
      </c>
      <c r="U7" s="9">
        <v>3.77</v>
      </c>
      <c r="V7" s="14">
        <v>4.2533397158652928</v>
      </c>
      <c r="W7" s="14">
        <v>3.8288467759150446</v>
      </c>
      <c r="X7" s="19">
        <v>4.28</v>
      </c>
      <c r="Y7" s="12">
        <v>3.98</v>
      </c>
      <c r="Z7" s="12">
        <v>4.0599999999999996</v>
      </c>
      <c r="AA7" s="57" t="s">
        <v>427</v>
      </c>
      <c r="AB7" s="57" t="s">
        <v>427</v>
      </c>
      <c r="AC7" s="57" t="s">
        <v>427</v>
      </c>
      <c r="AD7" s="57" t="s">
        <v>427</v>
      </c>
      <c r="AE7" s="57" t="s">
        <v>427</v>
      </c>
      <c r="AF7" s="57" t="s">
        <v>427</v>
      </c>
      <c r="AG7" s="103" t="s">
        <v>427</v>
      </c>
    </row>
    <row r="8" spans="1:33" x14ac:dyDescent="0.2">
      <c r="A8" s="6" t="s">
        <v>97</v>
      </c>
      <c r="B8" s="17">
        <v>7</v>
      </c>
      <c r="C8" s="17">
        <v>7</v>
      </c>
      <c r="D8" s="17">
        <v>6.4</v>
      </c>
      <c r="E8" s="17">
        <v>6.5</v>
      </c>
      <c r="F8" s="17">
        <v>6.3</v>
      </c>
      <c r="G8" s="17">
        <v>5.8</v>
      </c>
      <c r="H8" s="17">
        <v>6.1</v>
      </c>
      <c r="I8" s="18">
        <v>7</v>
      </c>
      <c r="J8" s="9">
        <v>8.4</v>
      </c>
      <c r="K8" s="9">
        <v>8.3000000000000007</v>
      </c>
      <c r="L8" s="9">
        <v>6.9</v>
      </c>
      <c r="M8" s="9">
        <v>7.83</v>
      </c>
      <c r="N8" s="9">
        <v>6.98</v>
      </c>
      <c r="O8" s="15">
        <v>6.83</v>
      </c>
      <c r="P8" s="15">
        <v>6.9</v>
      </c>
      <c r="Q8" s="9">
        <v>8.4641460023205202</v>
      </c>
      <c r="R8" s="9">
        <v>7.7876153293667496</v>
      </c>
      <c r="S8" s="9">
        <v>7.7945950692103043</v>
      </c>
      <c r="T8" s="9">
        <v>7.0099133836294705</v>
      </c>
      <c r="U8" s="9">
        <v>6.29</v>
      </c>
      <c r="V8" s="14">
        <v>7.2633397158652926</v>
      </c>
      <c r="W8" s="14">
        <v>5.9688467759150452</v>
      </c>
      <c r="X8" s="19">
        <v>6.43</v>
      </c>
      <c r="Y8" s="12">
        <v>5.91</v>
      </c>
      <c r="Z8" s="12">
        <v>5.79</v>
      </c>
      <c r="AA8" s="15">
        <v>4.6164641250631036</v>
      </c>
      <c r="AB8" s="57" t="s">
        <v>427</v>
      </c>
      <c r="AC8" s="57" t="s">
        <v>427</v>
      </c>
      <c r="AD8" s="57" t="s">
        <v>427</v>
      </c>
      <c r="AE8" s="57" t="s">
        <v>427</v>
      </c>
      <c r="AF8" s="57" t="s">
        <v>427</v>
      </c>
      <c r="AG8" s="103" t="s">
        <v>427</v>
      </c>
    </row>
    <row r="9" spans="1:33" ht="34.5" customHeight="1" x14ac:dyDescent="0.2">
      <c r="A9" s="6" t="s">
        <v>98</v>
      </c>
      <c r="B9" s="17">
        <v>0.74</v>
      </c>
      <c r="C9" s="17">
        <v>0.34</v>
      </c>
      <c r="D9" s="17">
        <v>0</v>
      </c>
      <c r="E9" s="37">
        <v>0</v>
      </c>
      <c r="F9" s="37">
        <v>0</v>
      </c>
      <c r="G9" s="37">
        <v>0</v>
      </c>
      <c r="H9" s="20">
        <v>0</v>
      </c>
      <c r="I9" s="20">
        <v>0</v>
      </c>
      <c r="J9" s="9">
        <v>3.85</v>
      </c>
      <c r="K9" s="9">
        <v>3.51</v>
      </c>
      <c r="L9" s="9">
        <v>11.73</v>
      </c>
      <c r="M9" s="9">
        <v>7.48</v>
      </c>
      <c r="N9" s="9">
        <v>13.35</v>
      </c>
      <c r="O9" s="12">
        <v>12.74</v>
      </c>
      <c r="P9" s="12">
        <v>10.24</v>
      </c>
      <c r="Q9" s="9">
        <v>9.5649999999999995</v>
      </c>
      <c r="R9" s="9">
        <v>8.3131799999999991</v>
      </c>
      <c r="S9" s="9">
        <v>7.8568863222484797</v>
      </c>
      <c r="T9" s="9">
        <v>4.0560347010582056</v>
      </c>
      <c r="U9" s="9">
        <v>2.75</v>
      </c>
      <c r="V9" s="14">
        <v>3.12</v>
      </c>
      <c r="W9" s="13">
        <v>2.86</v>
      </c>
      <c r="X9" s="12">
        <v>3.89</v>
      </c>
      <c r="Y9" s="12">
        <v>2.23</v>
      </c>
      <c r="Z9" s="12">
        <v>2.0699999999999998</v>
      </c>
      <c r="AA9" s="57" t="s">
        <v>427</v>
      </c>
      <c r="AB9" s="57" t="s">
        <v>427</v>
      </c>
      <c r="AC9" s="57" t="s">
        <v>427</v>
      </c>
      <c r="AD9" s="57" t="s">
        <v>427</v>
      </c>
      <c r="AE9" s="57" t="s">
        <v>427</v>
      </c>
      <c r="AF9" s="57" t="s">
        <v>427</v>
      </c>
      <c r="AG9" s="103" t="s">
        <v>427</v>
      </c>
    </row>
    <row r="10" spans="1:33" x14ac:dyDescent="0.2">
      <c r="A10" s="6" t="s">
        <v>99</v>
      </c>
      <c r="B10" s="17">
        <v>0.14000000000000001</v>
      </c>
      <c r="C10" s="17">
        <v>0</v>
      </c>
      <c r="D10" s="17">
        <v>0.05</v>
      </c>
      <c r="E10" s="37">
        <v>0</v>
      </c>
      <c r="F10" s="37">
        <v>0</v>
      </c>
      <c r="G10" s="37">
        <v>0</v>
      </c>
      <c r="H10" s="17">
        <v>0.02</v>
      </c>
      <c r="I10" s="17">
        <v>0.04</v>
      </c>
      <c r="J10" s="9">
        <v>0.09</v>
      </c>
      <c r="K10" s="20">
        <v>0</v>
      </c>
      <c r="L10" s="20">
        <v>0</v>
      </c>
      <c r="M10" s="20">
        <v>0</v>
      </c>
      <c r="N10" s="23">
        <v>0.02</v>
      </c>
      <c r="O10" s="12">
        <v>0.02</v>
      </c>
      <c r="P10" s="12">
        <v>0.02</v>
      </c>
      <c r="Q10" s="9">
        <v>1.5800000000000002E-2</v>
      </c>
      <c r="R10" s="9">
        <v>1.7552000000000002E-2</v>
      </c>
      <c r="S10" s="9">
        <v>1.7162E-2</v>
      </c>
      <c r="T10" s="9">
        <v>1.6747999999999999E-2</v>
      </c>
      <c r="U10" s="9">
        <v>0.01</v>
      </c>
      <c r="V10" s="37">
        <v>0</v>
      </c>
      <c r="W10" s="37">
        <v>0</v>
      </c>
      <c r="X10" s="37">
        <v>0</v>
      </c>
      <c r="Y10" s="37">
        <v>0</v>
      </c>
      <c r="Z10" s="37">
        <v>0</v>
      </c>
      <c r="AA10" s="57" t="s">
        <v>427</v>
      </c>
      <c r="AB10" s="57" t="s">
        <v>427</v>
      </c>
      <c r="AC10" s="57" t="s">
        <v>427</v>
      </c>
      <c r="AD10" s="57" t="s">
        <v>427</v>
      </c>
      <c r="AE10" s="57" t="s">
        <v>427</v>
      </c>
      <c r="AF10" s="57" t="s">
        <v>427</v>
      </c>
      <c r="AG10" s="103" t="s">
        <v>427</v>
      </c>
    </row>
    <row r="11" spans="1:33" x14ac:dyDescent="0.2">
      <c r="A11" s="6" t="s">
        <v>100</v>
      </c>
      <c r="B11" s="17">
        <v>0.88</v>
      </c>
      <c r="C11" s="17">
        <v>0.34</v>
      </c>
      <c r="D11" s="17">
        <v>0.05</v>
      </c>
      <c r="E11" s="37">
        <v>0</v>
      </c>
      <c r="F11" s="37">
        <v>0</v>
      </c>
      <c r="G11" s="37">
        <v>0</v>
      </c>
      <c r="H11" s="17">
        <v>0.02</v>
      </c>
      <c r="I11" s="17">
        <v>0.04</v>
      </c>
      <c r="J11" s="17">
        <v>3.94</v>
      </c>
      <c r="K11" s="17">
        <v>3.51</v>
      </c>
      <c r="L11" s="17">
        <v>11.73</v>
      </c>
      <c r="M11" s="24">
        <v>7.48</v>
      </c>
      <c r="N11" s="24">
        <v>13.37</v>
      </c>
      <c r="O11" s="12">
        <v>12.75</v>
      </c>
      <c r="P11" s="12">
        <v>10.26</v>
      </c>
      <c r="Q11" s="9">
        <v>9.5809999999999995</v>
      </c>
      <c r="R11" s="9">
        <v>8.3307300000000009</v>
      </c>
      <c r="S11" s="9">
        <v>7.8740483222484769</v>
      </c>
      <c r="T11" s="9">
        <v>4.0727827010582054</v>
      </c>
      <c r="U11" s="9">
        <v>2.76</v>
      </c>
      <c r="V11" s="14">
        <v>3.12</v>
      </c>
      <c r="W11" s="13">
        <v>2.86</v>
      </c>
      <c r="X11" s="12">
        <v>3.89</v>
      </c>
      <c r="Y11" s="12">
        <v>2.23</v>
      </c>
      <c r="Z11" s="12">
        <v>2.0699999999999998</v>
      </c>
      <c r="AA11" s="57" t="s">
        <v>427</v>
      </c>
      <c r="AB11" s="57" t="s">
        <v>427</v>
      </c>
      <c r="AC11" s="57" t="s">
        <v>427</v>
      </c>
      <c r="AD11" s="57" t="s">
        <v>427</v>
      </c>
      <c r="AE11" s="57" t="s">
        <v>427</v>
      </c>
      <c r="AF11" s="57" t="s">
        <v>427</v>
      </c>
      <c r="AG11" s="103" t="s">
        <v>427</v>
      </c>
    </row>
    <row r="12" spans="1:33" ht="30" customHeight="1" x14ac:dyDescent="0.2">
      <c r="A12" s="6" t="s">
        <v>101</v>
      </c>
      <c r="B12" s="57" t="s">
        <v>427</v>
      </c>
      <c r="C12" s="57" t="s">
        <v>427</v>
      </c>
      <c r="D12" s="57" t="s">
        <v>427</v>
      </c>
      <c r="E12" s="57" t="s">
        <v>427</v>
      </c>
      <c r="F12" s="57" t="s">
        <v>427</v>
      </c>
      <c r="G12" s="57" t="s">
        <v>427</v>
      </c>
      <c r="H12" s="57" t="s">
        <v>427</v>
      </c>
      <c r="I12" s="57" t="s">
        <v>427</v>
      </c>
      <c r="J12" s="57" t="s">
        <v>427</v>
      </c>
      <c r="K12" s="57" t="s">
        <v>427</v>
      </c>
      <c r="L12" s="57" t="s">
        <v>427</v>
      </c>
      <c r="M12" s="57" t="s">
        <v>427</v>
      </c>
      <c r="N12" s="57" t="s">
        <v>427</v>
      </c>
      <c r="O12" s="57" t="s">
        <v>427</v>
      </c>
      <c r="P12" s="57" t="s">
        <v>427</v>
      </c>
      <c r="Q12" s="57" t="s">
        <v>427</v>
      </c>
      <c r="R12" s="57" t="s">
        <v>427</v>
      </c>
      <c r="S12" s="57" t="s">
        <v>427</v>
      </c>
      <c r="T12" s="57" t="s">
        <v>427</v>
      </c>
      <c r="U12" s="57" t="s">
        <v>427</v>
      </c>
      <c r="V12" s="57" t="s">
        <v>427</v>
      </c>
      <c r="W12" s="57" t="s">
        <v>427</v>
      </c>
      <c r="X12" s="57" t="s">
        <v>427</v>
      </c>
      <c r="Y12" s="57" t="s">
        <v>427</v>
      </c>
      <c r="Z12" s="57" t="s">
        <v>427</v>
      </c>
      <c r="AA12" s="57" t="s">
        <v>427</v>
      </c>
      <c r="AB12" s="57" t="s">
        <v>427</v>
      </c>
      <c r="AC12" s="57" t="s">
        <v>427</v>
      </c>
      <c r="AD12" s="57" t="s">
        <v>427</v>
      </c>
      <c r="AE12" s="57" t="s">
        <v>427</v>
      </c>
      <c r="AF12" s="57" t="s">
        <v>427</v>
      </c>
      <c r="AG12" s="103" t="s">
        <v>427</v>
      </c>
    </row>
    <row r="13" spans="1:33" ht="34.5" customHeight="1" x14ac:dyDescent="0.2">
      <c r="A13" s="6" t="s">
        <v>106</v>
      </c>
      <c r="B13" s="18">
        <v>10.364000000000001</v>
      </c>
      <c r="C13" s="18">
        <v>10.118</v>
      </c>
      <c r="D13" s="18">
        <v>7.8319999999999999</v>
      </c>
      <c r="E13" s="18">
        <v>6.649</v>
      </c>
      <c r="F13" s="18">
        <v>7.5949999999999998</v>
      </c>
      <c r="G13" s="18">
        <v>5.8440000000000003</v>
      </c>
      <c r="H13" s="18">
        <v>5.4889999999999999</v>
      </c>
      <c r="I13" s="18">
        <v>6.1239999999999997</v>
      </c>
      <c r="J13" s="9">
        <v>7.3140000000000001</v>
      </c>
      <c r="K13" s="9">
        <v>6.6230000000000002</v>
      </c>
      <c r="L13" s="9">
        <v>10.82</v>
      </c>
      <c r="M13" s="9">
        <v>17.47</v>
      </c>
      <c r="N13" s="9">
        <v>11.427</v>
      </c>
      <c r="O13" s="15">
        <v>9.5020000000000007</v>
      </c>
      <c r="P13" s="15">
        <v>15</v>
      </c>
      <c r="Q13" s="9">
        <v>17.024000000000001</v>
      </c>
      <c r="R13" s="9">
        <v>17.908615628761702</v>
      </c>
      <c r="S13" s="9">
        <v>14.612</v>
      </c>
      <c r="T13" s="9">
        <v>16.105726000000001</v>
      </c>
      <c r="U13" s="9">
        <v>13.53</v>
      </c>
      <c r="V13" s="14">
        <v>13.169</v>
      </c>
      <c r="W13" s="14">
        <v>14.215999999999999</v>
      </c>
      <c r="X13" s="19">
        <v>16.25</v>
      </c>
      <c r="Y13" s="15">
        <v>16.501182688900922</v>
      </c>
      <c r="Z13" s="15">
        <v>16.553999999999998</v>
      </c>
      <c r="AA13" s="15">
        <v>13.481</v>
      </c>
      <c r="AB13" s="15">
        <v>9.4860000000000007</v>
      </c>
      <c r="AC13" s="9">
        <v>10.648999999999999</v>
      </c>
      <c r="AD13" s="9">
        <v>11.461857697756701</v>
      </c>
      <c r="AE13" s="15">
        <v>11.932270000000001</v>
      </c>
      <c r="AF13" s="15">
        <v>8.9812700000000003</v>
      </c>
      <c r="AG13" s="15">
        <v>10.751749999999999</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3"/>
  <sheetViews>
    <sheetView zoomScaleNormal="100" workbookViewId="0">
      <pane xSplit="1" topLeftCell="V1" activePane="topRight" state="frozen"/>
      <selection activeCell="B8" sqref="B8"/>
      <selection pane="topRight" activeCell="B8" sqref="B8"/>
    </sheetView>
  </sheetViews>
  <sheetFormatPr defaultRowHeight="15" x14ac:dyDescent="0.2"/>
  <cols>
    <col min="1" max="1" width="32.109375" style="6" customWidth="1"/>
    <col min="2" max="2" width="9.88671875" style="6" customWidth="1"/>
    <col min="3" max="3" width="9.33203125" style="6" customWidth="1"/>
    <col min="4" max="4" width="9.44140625" style="6" customWidth="1"/>
    <col min="5" max="5" width="7.88671875" style="6" customWidth="1"/>
    <col min="6" max="6" width="8.5546875" style="6" customWidth="1"/>
    <col min="7" max="7" width="8.88671875" style="6" customWidth="1"/>
    <col min="8" max="8" width="7.44140625" style="6" customWidth="1"/>
    <col min="9" max="9" width="7.33203125" style="6" customWidth="1"/>
    <col min="10" max="10" width="7.5546875" style="6" customWidth="1"/>
    <col min="11" max="11" width="7.44140625" style="6" customWidth="1"/>
    <col min="12" max="32" width="8.5546875" style="6" customWidth="1"/>
    <col min="33" max="16384" width="8.88671875" style="6"/>
  </cols>
  <sheetData>
    <row r="1" spans="1:33" s="5" customFormat="1" ht="15.75" x14ac:dyDescent="0.25">
      <c r="A1" s="1" t="s">
        <v>850</v>
      </c>
      <c r="B1" s="1"/>
      <c r="C1" s="1"/>
      <c r="D1" s="1"/>
      <c r="E1" s="1"/>
      <c r="F1" s="1"/>
      <c r="G1" s="1"/>
      <c r="H1" s="1"/>
      <c r="I1" s="1"/>
      <c r="J1" s="1"/>
      <c r="K1" s="1"/>
      <c r="L1" s="2"/>
      <c r="M1" s="3"/>
      <c r="N1" s="4"/>
      <c r="O1" s="4"/>
      <c r="P1" s="2"/>
    </row>
    <row r="2" spans="1:33" s="5" customFormat="1" ht="15.75" x14ac:dyDescent="0.25">
      <c r="A2" s="2" t="s">
        <v>5</v>
      </c>
      <c r="B2" s="2"/>
      <c r="C2" s="2"/>
      <c r="D2" s="2"/>
      <c r="E2" s="2"/>
      <c r="F2" s="2"/>
      <c r="G2" s="2"/>
      <c r="H2" s="2"/>
      <c r="I2" s="2"/>
      <c r="J2" s="2"/>
      <c r="K2" s="2"/>
      <c r="L2" s="2"/>
      <c r="M2" s="3"/>
      <c r="N2" s="4"/>
      <c r="O2" s="4"/>
      <c r="P2" s="2"/>
    </row>
    <row r="3" spans="1:33" s="5" customFormat="1" ht="15.75" x14ac:dyDescent="0.25">
      <c r="A3" s="5" t="s">
        <v>69</v>
      </c>
      <c r="L3" s="2"/>
      <c r="M3" s="3"/>
      <c r="N3" s="4"/>
      <c r="O3" s="4"/>
      <c r="P3" s="2"/>
    </row>
    <row r="4" spans="1:33" s="260" customFormat="1" ht="15.75" x14ac:dyDescent="0.25">
      <c r="A4" s="245" t="s">
        <v>6</v>
      </c>
      <c r="B4" s="260" t="s">
        <v>68</v>
      </c>
      <c r="C4" s="260" t="s">
        <v>62</v>
      </c>
      <c r="D4" s="260" t="s">
        <v>63</v>
      </c>
      <c r="E4" s="260" t="s">
        <v>54</v>
      </c>
      <c r="F4" s="260" t="s">
        <v>55</v>
      </c>
      <c r="G4" s="260" t="s">
        <v>56</v>
      </c>
      <c r="H4" s="260" t="s">
        <v>40</v>
      </c>
      <c r="I4" s="260" t="s">
        <v>41</v>
      </c>
      <c r="J4" s="260" t="s">
        <v>42</v>
      </c>
      <c r="K4" s="260" t="s">
        <v>43</v>
      </c>
      <c r="L4" s="260" t="s">
        <v>17</v>
      </c>
      <c r="M4" s="260" t="s">
        <v>18</v>
      </c>
      <c r="N4" s="260" t="s">
        <v>44</v>
      </c>
      <c r="O4" s="260" t="s">
        <v>19</v>
      </c>
      <c r="P4" s="260" t="s">
        <v>20</v>
      </c>
      <c r="Q4" s="260" t="s">
        <v>21</v>
      </c>
      <c r="R4" s="260" t="s">
        <v>22</v>
      </c>
      <c r="S4" s="260" t="s">
        <v>23</v>
      </c>
      <c r="T4" s="260" t="s">
        <v>24</v>
      </c>
      <c r="U4" s="260" t="s">
        <v>25</v>
      </c>
      <c r="V4" s="260" t="s">
        <v>26</v>
      </c>
      <c r="W4" s="260" t="s">
        <v>27</v>
      </c>
      <c r="X4" s="260" t="s">
        <v>28</v>
      </c>
      <c r="Y4" s="260" t="s">
        <v>29</v>
      </c>
      <c r="Z4" s="260" t="s">
        <v>30</v>
      </c>
      <c r="AA4" s="260" t="s">
        <v>31</v>
      </c>
      <c r="AB4" s="260" t="s">
        <v>32</v>
      </c>
      <c r="AC4" s="260" t="s">
        <v>33</v>
      </c>
      <c r="AD4" s="260" t="s">
        <v>34</v>
      </c>
      <c r="AE4" s="260" t="s">
        <v>35</v>
      </c>
      <c r="AF4" s="260" t="s">
        <v>36</v>
      </c>
      <c r="AG4" s="245" t="s">
        <v>857</v>
      </c>
    </row>
    <row r="5" spans="1:33" x14ac:dyDescent="0.2">
      <c r="A5" s="6" t="s">
        <v>94</v>
      </c>
      <c r="B5" s="29">
        <v>2020</v>
      </c>
      <c r="C5" s="29">
        <v>2400</v>
      </c>
      <c r="D5" s="29">
        <v>2100</v>
      </c>
      <c r="E5" s="29">
        <v>1910</v>
      </c>
      <c r="F5" s="29">
        <v>1540</v>
      </c>
      <c r="G5" s="29">
        <v>1380</v>
      </c>
      <c r="H5" s="29">
        <v>1240</v>
      </c>
      <c r="I5" s="32">
        <v>1370</v>
      </c>
      <c r="J5" s="33">
        <v>1690</v>
      </c>
      <c r="K5" s="33">
        <v>1580</v>
      </c>
      <c r="L5" s="33">
        <v>1660</v>
      </c>
      <c r="M5" s="33">
        <v>2130</v>
      </c>
      <c r="N5" s="33">
        <v>1770</v>
      </c>
      <c r="O5" s="29">
        <v>1610</v>
      </c>
      <c r="P5" s="34">
        <v>2060</v>
      </c>
      <c r="Q5" s="34">
        <v>2120</v>
      </c>
      <c r="R5" s="34">
        <v>1810.8547773264099</v>
      </c>
      <c r="S5" s="34">
        <v>1907.4530375111829</v>
      </c>
      <c r="T5" s="33">
        <v>1443.7986489318419</v>
      </c>
      <c r="U5" s="33">
        <v>1445</v>
      </c>
      <c r="V5" s="33">
        <v>2070.3243466189901</v>
      </c>
      <c r="W5" s="33">
        <v>1459</v>
      </c>
      <c r="X5" s="33">
        <v>1529</v>
      </c>
      <c r="Y5" s="33">
        <v>1253</v>
      </c>
      <c r="Z5" s="33">
        <v>1126</v>
      </c>
      <c r="AA5" s="57" t="s">
        <v>427</v>
      </c>
      <c r="AB5" s="57" t="s">
        <v>427</v>
      </c>
      <c r="AC5" s="57" t="s">
        <v>427</v>
      </c>
      <c r="AD5" s="57" t="s">
        <v>427</v>
      </c>
      <c r="AE5" s="57" t="s">
        <v>427</v>
      </c>
      <c r="AF5" s="57" t="s">
        <v>427</v>
      </c>
      <c r="AG5" s="103" t="s">
        <v>427</v>
      </c>
    </row>
    <row r="6" spans="1:33" x14ac:dyDescent="0.2">
      <c r="A6" s="6" t="s">
        <v>95</v>
      </c>
      <c r="B6" s="29">
        <v>100</v>
      </c>
      <c r="C6" s="29">
        <v>40</v>
      </c>
      <c r="D6" s="29">
        <v>40</v>
      </c>
      <c r="E6" s="29">
        <v>20</v>
      </c>
      <c r="F6" s="29">
        <v>10</v>
      </c>
      <c r="G6" s="20">
        <v>0</v>
      </c>
      <c r="H6" s="29">
        <v>10</v>
      </c>
      <c r="I6" s="20">
        <v>0</v>
      </c>
      <c r="J6" s="33">
        <v>10</v>
      </c>
      <c r="K6" s="33">
        <v>10</v>
      </c>
      <c r="L6" s="41">
        <v>0</v>
      </c>
      <c r="M6" s="41">
        <v>0</v>
      </c>
      <c r="N6" s="41">
        <v>0</v>
      </c>
      <c r="O6" s="41">
        <v>0</v>
      </c>
      <c r="P6" s="41">
        <v>0</v>
      </c>
      <c r="Q6" s="41">
        <v>0</v>
      </c>
      <c r="R6" s="41">
        <v>0</v>
      </c>
      <c r="S6" s="36">
        <v>39.38120426235654</v>
      </c>
      <c r="T6" s="36">
        <v>12.2720636848863</v>
      </c>
      <c r="U6" s="41">
        <v>0</v>
      </c>
      <c r="V6" s="36">
        <v>12</v>
      </c>
      <c r="W6" s="13">
        <v>61</v>
      </c>
      <c r="X6" s="33">
        <v>9</v>
      </c>
      <c r="Y6" s="33">
        <v>12</v>
      </c>
      <c r="Z6" s="41">
        <v>0</v>
      </c>
      <c r="AA6" s="57" t="s">
        <v>427</v>
      </c>
      <c r="AB6" s="57" t="s">
        <v>427</v>
      </c>
      <c r="AC6" s="57" t="s">
        <v>427</v>
      </c>
      <c r="AD6" s="57" t="s">
        <v>427</v>
      </c>
      <c r="AE6" s="57" t="s">
        <v>427</v>
      </c>
      <c r="AF6" s="57" t="s">
        <v>427</v>
      </c>
      <c r="AG6" s="103" t="s">
        <v>427</v>
      </c>
    </row>
    <row r="7" spans="1:33" x14ac:dyDescent="0.2">
      <c r="A7" s="6" t="s">
        <v>96</v>
      </c>
      <c r="B7" s="29">
        <v>550</v>
      </c>
      <c r="C7" s="29">
        <v>440</v>
      </c>
      <c r="D7" s="29">
        <v>450</v>
      </c>
      <c r="E7" s="29">
        <v>500</v>
      </c>
      <c r="F7" s="29">
        <v>560</v>
      </c>
      <c r="G7" s="29">
        <v>510</v>
      </c>
      <c r="H7" s="29">
        <v>600</v>
      </c>
      <c r="I7" s="32">
        <v>680</v>
      </c>
      <c r="J7" s="33">
        <v>880</v>
      </c>
      <c r="K7" s="33">
        <v>960</v>
      </c>
      <c r="L7" s="33">
        <v>770</v>
      </c>
      <c r="M7" s="33">
        <v>940</v>
      </c>
      <c r="N7" s="33">
        <v>850</v>
      </c>
      <c r="O7" s="12">
        <v>900</v>
      </c>
      <c r="P7" s="12">
        <v>627.14275250493699</v>
      </c>
      <c r="Q7" s="42">
        <v>963.31833822413705</v>
      </c>
      <c r="R7" s="26">
        <v>1047.8430704840559</v>
      </c>
      <c r="S7" s="42">
        <v>943.26808798284185</v>
      </c>
      <c r="T7" s="26">
        <v>1030.563756551353</v>
      </c>
      <c r="U7" s="42">
        <v>953.279789715025</v>
      </c>
      <c r="V7" s="33">
        <v>1055.8872579755509</v>
      </c>
      <c r="W7" s="36">
        <v>957.68383190660268</v>
      </c>
      <c r="X7" s="33">
        <v>1092</v>
      </c>
      <c r="Y7" s="33">
        <v>986</v>
      </c>
      <c r="Z7" s="33">
        <v>1017</v>
      </c>
      <c r="AA7" s="57" t="s">
        <v>427</v>
      </c>
      <c r="AB7" s="57" t="s">
        <v>427</v>
      </c>
      <c r="AC7" s="57" t="s">
        <v>427</v>
      </c>
      <c r="AD7" s="57" t="s">
        <v>427</v>
      </c>
      <c r="AE7" s="57" t="s">
        <v>427</v>
      </c>
      <c r="AF7" s="57" t="s">
        <v>427</v>
      </c>
      <c r="AG7" s="103" t="s">
        <v>427</v>
      </c>
    </row>
    <row r="8" spans="1:33" x14ac:dyDescent="0.2">
      <c r="A8" s="6" t="s">
        <v>97</v>
      </c>
      <c r="B8" s="29">
        <v>2700</v>
      </c>
      <c r="C8" s="29">
        <v>2900</v>
      </c>
      <c r="D8" s="29">
        <v>2600</v>
      </c>
      <c r="E8" s="29">
        <v>2400</v>
      </c>
      <c r="F8" s="29">
        <v>2100</v>
      </c>
      <c r="G8" s="29">
        <v>1900</v>
      </c>
      <c r="H8" s="29">
        <v>1800</v>
      </c>
      <c r="I8" s="32">
        <v>2100</v>
      </c>
      <c r="J8" s="33">
        <v>2600</v>
      </c>
      <c r="K8" s="33">
        <v>2600</v>
      </c>
      <c r="L8" s="33">
        <v>2430</v>
      </c>
      <c r="M8" s="33">
        <v>3070</v>
      </c>
      <c r="N8" s="33">
        <v>2620</v>
      </c>
      <c r="O8" s="29">
        <v>2510</v>
      </c>
      <c r="P8" s="34">
        <v>2687.1427525049371</v>
      </c>
      <c r="Q8" s="34">
        <v>3083.3183382241368</v>
      </c>
      <c r="R8" s="34">
        <v>2858.6978478104656</v>
      </c>
      <c r="S8" s="34">
        <v>2890.1023297563811</v>
      </c>
      <c r="T8" s="33">
        <v>2486.6344691680811</v>
      </c>
      <c r="U8" s="33">
        <v>2398.2797897150249</v>
      </c>
      <c r="V8" s="33">
        <v>3138.2116045945413</v>
      </c>
      <c r="W8" s="33">
        <v>2477.6838319066028</v>
      </c>
      <c r="X8" s="33">
        <v>2626</v>
      </c>
      <c r="Y8" s="33">
        <v>2250</v>
      </c>
      <c r="Z8" s="33">
        <v>2143</v>
      </c>
      <c r="AA8" s="30">
        <v>1845.7576834812619</v>
      </c>
      <c r="AB8" s="57" t="s">
        <v>427</v>
      </c>
      <c r="AC8" s="57" t="s">
        <v>427</v>
      </c>
      <c r="AD8" s="57" t="s">
        <v>427</v>
      </c>
      <c r="AE8" s="57" t="s">
        <v>427</v>
      </c>
      <c r="AF8" s="57" t="s">
        <v>427</v>
      </c>
      <c r="AG8" s="103" t="s">
        <v>427</v>
      </c>
    </row>
    <row r="9" spans="1:33" ht="34.5" customHeight="1" x14ac:dyDescent="0.2">
      <c r="A9" s="6" t="s">
        <v>98</v>
      </c>
      <c r="B9" s="34">
        <v>0.73</v>
      </c>
      <c r="C9" s="20">
        <v>0</v>
      </c>
      <c r="D9" s="20">
        <v>0</v>
      </c>
      <c r="E9" s="20">
        <v>0</v>
      </c>
      <c r="F9" s="20">
        <v>0</v>
      </c>
      <c r="G9" s="20">
        <v>0</v>
      </c>
      <c r="H9" s="20">
        <v>0</v>
      </c>
      <c r="I9" s="20">
        <v>0</v>
      </c>
      <c r="J9" s="33">
        <v>2910</v>
      </c>
      <c r="K9" s="33">
        <v>3510</v>
      </c>
      <c r="L9" s="33">
        <v>11750</v>
      </c>
      <c r="M9" s="33">
        <v>7490</v>
      </c>
      <c r="N9" s="33">
        <v>13380</v>
      </c>
      <c r="O9" s="29">
        <v>12780</v>
      </c>
      <c r="P9" s="34">
        <v>10270</v>
      </c>
      <c r="Q9" s="34">
        <v>9580</v>
      </c>
      <c r="R9" s="34">
        <v>8324.82</v>
      </c>
      <c r="S9" s="34">
        <v>7869.8491047024027</v>
      </c>
      <c r="T9" s="33">
        <v>4067.2492460845742</v>
      </c>
      <c r="U9" s="33">
        <v>2762</v>
      </c>
      <c r="V9" s="33">
        <v>3146.12573020842</v>
      </c>
      <c r="W9" s="33">
        <v>2885</v>
      </c>
      <c r="X9" s="33">
        <v>3898</v>
      </c>
      <c r="Y9" s="30">
        <v>2241</v>
      </c>
      <c r="Z9" s="30">
        <v>2091</v>
      </c>
      <c r="AA9" s="57" t="s">
        <v>427</v>
      </c>
      <c r="AB9" s="57" t="s">
        <v>427</v>
      </c>
      <c r="AC9" s="57" t="s">
        <v>427</v>
      </c>
      <c r="AD9" s="57" t="s">
        <v>427</v>
      </c>
      <c r="AE9" s="57" t="s">
        <v>427</v>
      </c>
      <c r="AF9" s="57" t="s">
        <v>427</v>
      </c>
      <c r="AG9" s="103" t="s">
        <v>427</v>
      </c>
    </row>
    <row r="10" spans="1:33" x14ac:dyDescent="0.2">
      <c r="A10" s="6" t="s">
        <v>99</v>
      </c>
      <c r="B10" s="20">
        <v>0</v>
      </c>
      <c r="C10" s="20">
        <v>0</v>
      </c>
      <c r="D10" s="2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57" t="s">
        <v>427</v>
      </c>
      <c r="AB10" s="57" t="s">
        <v>427</v>
      </c>
      <c r="AC10" s="57" t="s">
        <v>427</v>
      </c>
      <c r="AD10" s="57" t="s">
        <v>427</v>
      </c>
      <c r="AE10" s="57" t="s">
        <v>427</v>
      </c>
      <c r="AF10" s="57" t="s">
        <v>427</v>
      </c>
      <c r="AG10" s="103" t="s">
        <v>427</v>
      </c>
    </row>
    <row r="11" spans="1:33" x14ac:dyDescent="0.2">
      <c r="A11" s="6" t="s">
        <v>100</v>
      </c>
      <c r="B11" s="34">
        <v>0.73</v>
      </c>
      <c r="C11" s="20">
        <v>0</v>
      </c>
      <c r="D11" s="20">
        <v>0</v>
      </c>
      <c r="E11" s="20">
        <v>0</v>
      </c>
      <c r="F11" s="20">
        <v>0</v>
      </c>
      <c r="G11" s="20">
        <v>0</v>
      </c>
      <c r="H11" s="20">
        <v>0</v>
      </c>
      <c r="I11" s="20">
        <v>0</v>
      </c>
      <c r="J11" s="34">
        <v>2910</v>
      </c>
      <c r="K11" s="34">
        <v>3510</v>
      </c>
      <c r="L11" s="34">
        <v>11750</v>
      </c>
      <c r="M11" s="33">
        <v>7490</v>
      </c>
      <c r="N11" s="33">
        <v>13380</v>
      </c>
      <c r="O11" s="29">
        <v>12780</v>
      </c>
      <c r="P11" s="34">
        <v>10270</v>
      </c>
      <c r="Q11" s="34">
        <v>9580</v>
      </c>
      <c r="R11" s="34">
        <v>8324.82</v>
      </c>
      <c r="S11" s="34">
        <v>7869.8491047024027</v>
      </c>
      <c r="T11" s="33">
        <v>4067.2492460845742</v>
      </c>
      <c r="U11" s="33">
        <v>2762</v>
      </c>
      <c r="V11" s="33">
        <v>3146.12573020842</v>
      </c>
      <c r="W11" s="33">
        <v>2885</v>
      </c>
      <c r="X11" s="33">
        <v>3898</v>
      </c>
      <c r="Y11" s="30">
        <v>2241</v>
      </c>
      <c r="Z11" s="30">
        <v>2091</v>
      </c>
      <c r="AA11" s="57" t="s">
        <v>427</v>
      </c>
      <c r="AB11" s="57" t="s">
        <v>427</v>
      </c>
      <c r="AC11" s="57" t="s">
        <v>427</v>
      </c>
      <c r="AD11" s="57" t="s">
        <v>427</v>
      </c>
      <c r="AE11" s="57" t="s">
        <v>427</v>
      </c>
      <c r="AF11" s="57" t="s">
        <v>427</v>
      </c>
      <c r="AG11" s="103" t="s">
        <v>427</v>
      </c>
    </row>
    <row r="12" spans="1:33" ht="30" customHeight="1" x14ac:dyDescent="0.2">
      <c r="A12" s="6" t="s">
        <v>101</v>
      </c>
      <c r="B12" s="57" t="s">
        <v>427</v>
      </c>
      <c r="C12" s="57" t="s">
        <v>427</v>
      </c>
      <c r="D12" s="57" t="s">
        <v>427</v>
      </c>
      <c r="E12" s="57" t="s">
        <v>427</v>
      </c>
      <c r="F12" s="57" t="s">
        <v>427</v>
      </c>
      <c r="G12" s="57" t="s">
        <v>427</v>
      </c>
      <c r="H12" s="57" t="s">
        <v>427</v>
      </c>
      <c r="I12" s="57" t="s">
        <v>427</v>
      </c>
      <c r="J12" s="57" t="s">
        <v>427</v>
      </c>
      <c r="K12" s="57" t="s">
        <v>427</v>
      </c>
      <c r="L12" s="57" t="s">
        <v>427</v>
      </c>
      <c r="M12" s="57" t="s">
        <v>427</v>
      </c>
      <c r="N12" s="57" t="s">
        <v>427</v>
      </c>
      <c r="O12" s="57" t="s">
        <v>427</v>
      </c>
      <c r="P12" s="57" t="s">
        <v>427</v>
      </c>
      <c r="Q12" s="57" t="s">
        <v>427</v>
      </c>
      <c r="R12" s="57" t="s">
        <v>427</v>
      </c>
      <c r="S12" s="57" t="s">
        <v>427</v>
      </c>
      <c r="T12" s="57" t="s">
        <v>427</v>
      </c>
      <c r="U12" s="57" t="s">
        <v>427</v>
      </c>
      <c r="V12" s="57" t="s">
        <v>427</v>
      </c>
      <c r="W12" s="57" t="s">
        <v>427</v>
      </c>
      <c r="X12" s="57" t="s">
        <v>427</v>
      </c>
      <c r="Y12" s="57" t="s">
        <v>427</v>
      </c>
      <c r="Z12" s="57" t="s">
        <v>427</v>
      </c>
      <c r="AA12" s="57" t="s">
        <v>427</v>
      </c>
      <c r="AB12" s="57" t="s">
        <v>427</v>
      </c>
      <c r="AC12" s="57" t="s">
        <v>427</v>
      </c>
      <c r="AD12" s="57" t="s">
        <v>427</v>
      </c>
      <c r="AE12" s="57" t="s">
        <v>427</v>
      </c>
      <c r="AF12" s="57" t="s">
        <v>427</v>
      </c>
      <c r="AG12" s="103" t="s">
        <v>427</v>
      </c>
    </row>
    <row r="13" spans="1:33" ht="34.5" customHeight="1" x14ac:dyDescent="0.2">
      <c r="A13" s="6" t="s">
        <v>107</v>
      </c>
      <c r="B13" s="57" t="s">
        <v>427</v>
      </c>
      <c r="C13" s="57" t="s">
        <v>427</v>
      </c>
      <c r="D13" s="57" t="s">
        <v>427</v>
      </c>
      <c r="E13" s="57" t="s">
        <v>427</v>
      </c>
      <c r="F13" s="57" t="s">
        <v>427</v>
      </c>
      <c r="G13" s="57" t="s">
        <v>427</v>
      </c>
      <c r="H13" s="57" t="s">
        <v>427</v>
      </c>
      <c r="I13" s="57" t="s">
        <v>427</v>
      </c>
      <c r="J13" s="57" t="s">
        <v>427</v>
      </c>
      <c r="K13" s="57" t="s">
        <v>427</v>
      </c>
      <c r="L13" s="57" t="s">
        <v>427</v>
      </c>
      <c r="M13" s="57" t="s">
        <v>427</v>
      </c>
      <c r="N13" s="57" t="s">
        <v>427</v>
      </c>
      <c r="O13" s="57" t="s">
        <v>427</v>
      </c>
      <c r="P13" s="57" t="s">
        <v>427</v>
      </c>
      <c r="Q13" s="57" t="s">
        <v>427</v>
      </c>
      <c r="R13" s="57" t="s">
        <v>427</v>
      </c>
      <c r="S13" s="57" t="s">
        <v>427</v>
      </c>
      <c r="T13" s="57" t="s">
        <v>427</v>
      </c>
      <c r="U13" s="57" t="s">
        <v>427</v>
      </c>
      <c r="V13" s="57" t="s">
        <v>427</v>
      </c>
      <c r="W13" s="57" t="s">
        <v>427</v>
      </c>
      <c r="X13" s="57" t="s">
        <v>427</v>
      </c>
      <c r="Y13" s="57" t="s">
        <v>427</v>
      </c>
      <c r="Z13" s="57" t="s">
        <v>427</v>
      </c>
      <c r="AA13" s="57" t="s">
        <v>427</v>
      </c>
      <c r="AB13" s="57" t="s">
        <v>427</v>
      </c>
      <c r="AC13" s="57" t="s">
        <v>427</v>
      </c>
      <c r="AD13" s="57" t="s">
        <v>427</v>
      </c>
      <c r="AE13" s="57" t="s">
        <v>427</v>
      </c>
      <c r="AF13" s="57" t="s">
        <v>427</v>
      </c>
      <c r="AG13" s="103" t="s">
        <v>427</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
  <sheetViews>
    <sheetView zoomScaleNormal="100" workbookViewId="0">
      <pane xSplit="1" topLeftCell="L1" activePane="topRight" state="frozen"/>
      <selection activeCell="B8" sqref="B8"/>
      <selection pane="topRight" activeCell="B8" sqref="B8"/>
    </sheetView>
  </sheetViews>
  <sheetFormatPr defaultRowHeight="15" x14ac:dyDescent="0.2"/>
  <cols>
    <col min="1" max="1" width="32.109375" style="6" customWidth="1"/>
    <col min="2" max="22" width="8.5546875" style="6" customWidth="1"/>
    <col min="23" max="16384" width="8.88671875" style="6"/>
  </cols>
  <sheetData>
    <row r="1" spans="1:23" s="5" customFormat="1" ht="15.75" x14ac:dyDescent="0.25">
      <c r="A1" s="1" t="s">
        <v>849</v>
      </c>
      <c r="B1" s="2"/>
      <c r="C1" s="3"/>
      <c r="D1" s="4"/>
      <c r="E1" s="4"/>
      <c r="F1" s="2"/>
    </row>
    <row r="2" spans="1:23" s="5" customFormat="1" ht="15.75" x14ac:dyDescent="0.25">
      <c r="A2" s="2" t="s">
        <v>5</v>
      </c>
      <c r="B2" s="2"/>
      <c r="C2" s="3"/>
      <c r="D2" s="4"/>
      <c r="E2" s="4"/>
      <c r="F2" s="2"/>
    </row>
    <row r="3" spans="1:23" s="5" customFormat="1" ht="15.75" x14ac:dyDescent="0.25">
      <c r="A3" s="5" t="s">
        <v>69</v>
      </c>
      <c r="B3" s="2"/>
      <c r="C3" s="3"/>
      <c r="D3" s="4"/>
      <c r="E3" s="4"/>
      <c r="F3" s="2"/>
    </row>
    <row r="4" spans="1:23" s="260" customFormat="1" ht="15.75" x14ac:dyDescent="0.25">
      <c r="A4" s="259" t="s">
        <v>6</v>
      </c>
      <c r="B4" s="260" t="s">
        <v>17</v>
      </c>
      <c r="C4" s="260" t="s">
        <v>18</v>
      </c>
      <c r="D4" s="260" t="s">
        <v>44</v>
      </c>
      <c r="E4" s="260" t="s">
        <v>19</v>
      </c>
      <c r="F4" s="260" t="s">
        <v>20</v>
      </c>
      <c r="G4" s="260" t="s">
        <v>21</v>
      </c>
      <c r="H4" s="260" t="s">
        <v>22</v>
      </c>
      <c r="I4" s="260" t="s">
        <v>23</v>
      </c>
      <c r="J4" s="260" t="s">
        <v>24</v>
      </c>
      <c r="K4" s="260" t="s">
        <v>25</v>
      </c>
      <c r="L4" s="260" t="s">
        <v>26</v>
      </c>
      <c r="M4" s="260" t="s">
        <v>27</v>
      </c>
      <c r="N4" s="260" t="s">
        <v>28</v>
      </c>
      <c r="O4" s="260" t="s">
        <v>29</v>
      </c>
      <c r="P4" s="260" t="s">
        <v>30</v>
      </c>
      <c r="Q4" s="260" t="s">
        <v>31</v>
      </c>
      <c r="R4" s="260" t="s">
        <v>32</v>
      </c>
      <c r="S4" s="260" t="s">
        <v>33</v>
      </c>
      <c r="T4" s="260" t="s">
        <v>34</v>
      </c>
      <c r="U4" s="260" t="s">
        <v>35</v>
      </c>
      <c r="V4" s="260" t="s">
        <v>36</v>
      </c>
      <c r="W4" s="245" t="s">
        <v>857</v>
      </c>
    </row>
    <row r="5" spans="1:23" x14ac:dyDescent="0.2">
      <c r="A5" s="6" t="s">
        <v>117</v>
      </c>
      <c r="B5" s="33">
        <v>10822</v>
      </c>
      <c r="C5" s="33">
        <v>17467</v>
      </c>
      <c r="D5" s="33">
        <v>11427</v>
      </c>
      <c r="E5" s="33">
        <v>9501</v>
      </c>
      <c r="F5" s="27">
        <v>14995</v>
      </c>
      <c r="G5" s="27">
        <v>17024</v>
      </c>
      <c r="H5" s="27">
        <v>17908.615628761701</v>
      </c>
      <c r="I5" s="27">
        <v>14612</v>
      </c>
      <c r="J5" s="27">
        <v>16106</v>
      </c>
      <c r="K5" s="25">
        <v>13532</v>
      </c>
      <c r="L5" s="25">
        <v>13169</v>
      </c>
      <c r="M5" s="25">
        <v>14216</v>
      </c>
      <c r="N5" s="25">
        <v>16253.6</v>
      </c>
      <c r="O5" s="25">
        <v>16501.182688900921</v>
      </c>
      <c r="P5" s="25">
        <v>16554.21</v>
      </c>
      <c r="Q5" s="25">
        <v>13481</v>
      </c>
      <c r="R5" s="25">
        <v>9486</v>
      </c>
      <c r="S5" s="25">
        <v>10649</v>
      </c>
      <c r="T5" s="25">
        <v>11461.857697756688</v>
      </c>
      <c r="U5" s="25">
        <v>11932.269999999999</v>
      </c>
      <c r="V5" s="25">
        <v>8981.27</v>
      </c>
      <c r="W5" s="56">
        <v>10751.75</v>
      </c>
    </row>
    <row r="6" spans="1:23" x14ac:dyDescent="0.2">
      <c r="A6" s="6" t="s">
        <v>112</v>
      </c>
      <c r="B6" s="33">
        <v>73194</v>
      </c>
      <c r="C6" s="33">
        <v>67003</v>
      </c>
      <c r="D6" s="33">
        <v>67783</v>
      </c>
      <c r="E6" s="33">
        <v>58903</v>
      </c>
      <c r="F6" s="27">
        <v>54454</v>
      </c>
      <c r="G6" s="27">
        <v>45002</v>
      </c>
      <c r="H6" s="27">
        <v>43994.314849790724</v>
      </c>
      <c r="I6" s="27">
        <v>45581</v>
      </c>
      <c r="J6" s="27">
        <v>42416</v>
      </c>
      <c r="K6" s="25">
        <v>38321</v>
      </c>
      <c r="L6" s="25">
        <v>39891</v>
      </c>
      <c r="M6" s="25">
        <v>33358</v>
      </c>
      <c r="N6" s="25">
        <v>32059.600000000002</v>
      </c>
      <c r="O6" s="25">
        <v>31582.877305720511</v>
      </c>
      <c r="P6" s="25">
        <v>30841.701999999997</v>
      </c>
      <c r="Q6" s="25">
        <v>30259</v>
      </c>
      <c r="R6" s="25">
        <v>32974</v>
      </c>
      <c r="S6" s="25">
        <v>30886</v>
      </c>
      <c r="T6" s="25">
        <v>33329.873484793017</v>
      </c>
      <c r="U6" s="25">
        <v>33434.54</v>
      </c>
      <c r="V6" s="25">
        <v>29917.250000000004</v>
      </c>
      <c r="W6" s="56">
        <v>26068</v>
      </c>
    </row>
    <row r="7" spans="1:23" x14ac:dyDescent="0.2">
      <c r="A7" s="6" t="s">
        <v>113</v>
      </c>
      <c r="B7" s="33">
        <v>84016</v>
      </c>
      <c r="C7" s="33">
        <v>84470</v>
      </c>
      <c r="D7" s="33">
        <v>79208</v>
      </c>
      <c r="E7" s="33">
        <v>68404</v>
      </c>
      <c r="F7" s="27">
        <v>69447</v>
      </c>
      <c r="G7" s="27">
        <v>62025</v>
      </c>
      <c r="H7" s="27">
        <v>61902.930478552429</v>
      </c>
      <c r="I7" s="27">
        <v>60193</v>
      </c>
      <c r="J7" s="27">
        <v>58521</v>
      </c>
      <c r="K7" s="25">
        <v>51853</v>
      </c>
      <c r="L7" s="25">
        <v>53060</v>
      </c>
      <c r="M7" s="25">
        <v>47573</v>
      </c>
      <c r="N7" s="25">
        <v>48313.299999999996</v>
      </c>
      <c r="O7" s="25">
        <v>48084.059994621435</v>
      </c>
      <c r="P7" s="25">
        <v>47395.912999999993</v>
      </c>
      <c r="Q7" s="25">
        <v>43740</v>
      </c>
      <c r="R7" s="25">
        <v>42458</v>
      </c>
      <c r="S7" s="25">
        <v>41538</v>
      </c>
      <c r="T7" s="25">
        <v>44791.731182549709</v>
      </c>
      <c r="U7" s="25">
        <v>45366.83</v>
      </c>
      <c r="V7" s="25">
        <v>38898.53</v>
      </c>
      <c r="W7" s="56">
        <v>36819.72</v>
      </c>
    </row>
    <row r="8" spans="1:23" ht="30" customHeight="1" x14ac:dyDescent="0.2">
      <c r="A8" s="6" t="s">
        <v>114</v>
      </c>
      <c r="B8" s="33">
        <v>17276</v>
      </c>
      <c r="C8" s="33">
        <v>13510</v>
      </c>
      <c r="D8" s="33">
        <v>18795</v>
      </c>
      <c r="E8" s="33">
        <v>18068</v>
      </c>
      <c r="F8" s="27">
        <v>15947</v>
      </c>
      <c r="G8" s="27">
        <v>16572</v>
      </c>
      <c r="H8" s="27">
        <v>14679.600371238292</v>
      </c>
      <c r="I8" s="27">
        <v>14138</v>
      </c>
      <c r="J8" s="27">
        <v>9611</v>
      </c>
      <c r="K8" s="25">
        <v>7670</v>
      </c>
      <c r="L8" s="25">
        <v>8722</v>
      </c>
      <c r="M8" s="25">
        <v>7999</v>
      </c>
      <c r="N8" s="25">
        <v>9446.7000000000007</v>
      </c>
      <c r="O8" s="25">
        <v>7159.7893110990517</v>
      </c>
      <c r="P8" s="25">
        <v>7052.5670000000009</v>
      </c>
      <c r="Q8" s="25">
        <v>6281</v>
      </c>
      <c r="R8" s="25">
        <v>6643</v>
      </c>
      <c r="S8" s="25">
        <v>6343</v>
      </c>
      <c r="T8" s="25">
        <v>6268.256302243316</v>
      </c>
      <c r="U8" s="25">
        <v>6638.57</v>
      </c>
      <c r="V8" s="25">
        <v>6071.2800000000007</v>
      </c>
      <c r="W8" s="56">
        <v>6454.4500000000007</v>
      </c>
    </row>
    <row r="9" spans="1:23" x14ac:dyDescent="0.2">
      <c r="A9" s="6" t="s">
        <v>115</v>
      </c>
      <c r="B9" s="33">
        <v>25640</v>
      </c>
      <c r="C9" s="33">
        <v>21588</v>
      </c>
      <c r="D9" s="33">
        <v>20088</v>
      </c>
      <c r="E9" s="33">
        <v>19998</v>
      </c>
      <c r="F9" s="27">
        <v>21023</v>
      </c>
      <c r="G9" s="27">
        <v>26395</v>
      </c>
      <c r="H9" s="27">
        <v>21038.897150209286</v>
      </c>
      <c r="I9" s="27">
        <v>23482</v>
      </c>
      <c r="J9" s="27">
        <v>23975</v>
      </c>
      <c r="K9" s="25">
        <v>22558</v>
      </c>
      <c r="L9" s="25">
        <v>18745</v>
      </c>
      <c r="M9" s="25">
        <v>18378</v>
      </c>
      <c r="N9" s="25">
        <v>15072.1</v>
      </c>
      <c r="O9" s="25">
        <v>12673.001694279499</v>
      </c>
      <c r="P9" s="25">
        <v>13166.723999999998</v>
      </c>
      <c r="Q9" s="25">
        <v>16531</v>
      </c>
      <c r="R9" s="25">
        <v>14308</v>
      </c>
      <c r="S9" s="25">
        <v>15467</v>
      </c>
      <c r="T9" s="25">
        <v>10909.35851520697</v>
      </c>
      <c r="U9" s="25">
        <v>11155.03</v>
      </c>
      <c r="V9" s="25">
        <v>10477.23</v>
      </c>
      <c r="W9" s="56">
        <v>11270.060000000001</v>
      </c>
    </row>
    <row r="10" spans="1:23" x14ac:dyDescent="0.2">
      <c r="A10" s="6" t="s">
        <v>116</v>
      </c>
      <c r="B10" s="33">
        <v>42916</v>
      </c>
      <c r="C10" s="33">
        <v>35098</v>
      </c>
      <c r="D10" s="33">
        <v>38882</v>
      </c>
      <c r="E10" s="33">
        <v>38068</v>
      </c>
      <c r="F10" s="27">
        <v>36970</v>
      </c>
      <c r="G10" s="27">
        <v>42967</v>
      </c>
      <c r="H10" s="27">
        <v>35718.497521447578</v>
      </c>
      <c r="I10" s="27">
        <v>37619</v>
      </c>
      <c r="J10" s="27">
        <v>33586</v>
      </c>
      <c r="K10" s="25">
        <v>30228</v>
      </c>
      <c r="L10" s="25">
        <v>27468</v>
      </c>
      <c r="M10" s="25">
        <v>26379</v>
      </c>
      <c r="N10" s="25">
        <v>24519.100000000006</v>
      </c>
      <c r="O10" s="25">
        <v>19832.791005378553</v>
      </c>
      <c r="P10" s="25">
        <v>20219.290000000005</v>
      </c>
      <c r="Q10" s="25">
        <v>22813</v>
      </c>
      <c r="R10" s="25">
        <v>20950</v>
      </c>
      <c r="S10" s="25">
        <v>21811</v>
      </c>
      <c r="T10" s="25">
        <v>17177.614817450289</v>
      </c>
      <c r="U10" s="25">
        <v>17793.600000000002</v>
      </c>
      <c r="V10" s="25">
        <v>16548.53</v>
      </c>
      <c r="W10" s="56">
        <v>17724.52</v>
      </c>
    </row>
    <row r="11" spans="1:23" ht="34.5" customHeight="1" x14ac:dyDescent="0.2">
      <c r="A11" s="6" t="s">
        <v>111</v>
      </c>
      <c r="B11" s="34">
        <v>126933</v>
      </c>
      <c r="C11" s="34">
        <v>119568</v>
      </c>
      <c r="D11" s="34">
        <v>118090</v>
      </c>
      <c r="E11" s="34">
        <v>106472</v>
      </c>
      <c r="F11" s="27">
        <v>106417</v>
      </c>
      <c r="G11" s="27">
        <v>104992</v>
      </c>
      <c r="H11" s="27">
        <v>97621.428000000014</v>
      </c>
      <c r="I11" s="27">
        <v>97812</v>
      </c>
      <c r="J11" s="27">
        <v>92108</v>
      </c>
      <c r="K11" s="25">
        <v>82081</v>
      </c>
      <c r="L11" s="25">
        <v>80525</v>
      </c>
      <c r="M11" s="25">
        <v>73952</v>
      </c>
      <c r="N11" s="25">
        <v>72832.100000000006</v>
      </c>
      <c r="O11" s="25">
        <v>67916.899999999994</v>
      </c>
      <c r="P11" s="25">
        <v>67615.202999999994</v>
      </c>
      <c r="Q11" s="25">
        <v>66552</v>
      </c>
      <c r="R11" s="25">
        <v>63409</v>
      </c>
      <c r="S11" s="25">
        <v>63952</v>
      </c>
      <c r="T11" s="25">
        <v>61969.346000000005</v>
      </c>
      <c r="U11" s="25">
        <v>63160.430000000008</v>
      </c>
      <c r="V11" s="25">
        <v>55447.06</v>
      </c>
      <c r="W11" s="56">
        <v>54544.24</v>
      </c>
    </row>
    <row r="12" spans="1:23" x14ac:dyDescent="0.2">
      <c r="A12" s="7" t="s">
        <v>110</v>
      </c>
      <c r="B12" s="44">
        <v>130512</v>
      </c>
      <c r="C12" s="44">
        <v>123820</v>
      </c>
      <c r="D12" s="44">
        <v>122156</v>
      </c>
      <c r="E12" s="44">
        <v>110535</v>
      </c>
      <c r="F12" s="44">
        <v>110444</v>
      </c>
      <c r="G12" s="44">
        <v>108890</v>
      </c>
      <c r="H12" s="44">
        <v>101586.999</v>
      </c>
      <c r="I12" s="44">
        <v>101952</v>
      </c>
      <c r="J12" s="44">
        <v>96346</v>
      </c>
      <c r="K12" s="44">
        <v>85547</v>
      </c>
      <c r="L12" s="44">
        <v>84817</v>
      </c>
      <c r="M12" s="44">
        <v>77413.758000000002</v>
      </c>
      <c r="N12" s="44">
        <v>76139.399999999994</v>
      </c>
      <c r="O12" s="44">
        <v>71638.899999999994</v>
      </c>
      <c r="P12" s="44">
        <v>71381.006999999998</v>
      </c>
      <c r="Q12" s="44">
        <v>69968</v>
      </c>
      <c r="R12" s="44">
        <v>66692</v>
      </c>
      <c r="S12" s="44">
        <v>66984.599999999991</v>
      </c>
      <c r="T12" s="44">
        <v>65082.600000000006</v>
      </c>
      <c r="U12" s="44">
        <v>66760.800000000003</v>
      </c>
      <c r="V12" s="44">
        <v>58961.909999999996</v>
      </c>
      <c r="W12" s="56">
        <v>58078.19</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5"/>
  <sheetViews>
    <sheetView zoomScaleNormal="100" workbookViewId="0">
      <pane xSplit="1" topLeftCell="U1" activePane="topRight" state="frozen"/>
      <selection activeCell="B8" sqref="B8"/>
      <selection pane="topRight" activeCell="B8" sqref="B8"/>
    </sheetView>
  </sheetViews>
  <sheetFormatPr defaultRowHeight="15" x14ac:dyDescent="0.2"/>
  <cols>
    <col min="1" max="1" width="35.21875" style="6" customWidth="1"/>
    <col min="2" max="2" width="9.33203125" style="6" customWidth="1"/>
    <col min="3" max="3" width="9.44140625" style="6" customWidth="1"/>
    <col min="4" max="4" width="7.88671875" style="6" customWidth="1"/>
    <col min="5" max="5" width="8.5546875" style="6" customWidth="1"/>
    <col min="6" max="6" width="8.88671875" style="6" customWidth="1"/>
    <col min="7" max="7" width="7.44140625" style="6" customWidth="1"/>
    <col min="8" max="8" width="7.33203125" style="6" customWidth="1"/>
    <col min="9" max="9" width="7.5546875" style="6" customWidth="1"/>
    <col min="10" max="10" width="7.44140625" style="6" customWidth="1"/>
    <col min="11" max="31" width="8.5546875" style="6" customWidth="1"/>
    <col min="32" max="16384" width="8.88671875" style="6"/>
  </cols>
  <sheetData>
    <row r="1" spans="1:32" s="5" customFormat="1" ht="15.75" x14ac:dyDescent="0.25">
      <c r="A1" s="1" t="s">
        <v>848</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69</v>
      </c>
      <c r="K3" s="2"/>
      <c r="L3" s="3"/>
      <c r="M3" s="4"/>
      <c r="N3" s="4"/>
      <c r="O3" s="2"/>
    </row>
    <row r="4" spans="1:32" s="260" customFormat="1" ht="15.75" x14ac:dyDescent="0.25">
      <c r="A4" s="259" t="s">
        <v>335</v>
      </c>
      <c r="B4" s="260" t="s">
        <v>62</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36</v>
      </c>
      <c r="AF4" s="245" t="s">
        <v>857</v>
      </c>
    </row>
    <row r="5" spans="1:32" x14ac:dyDescent="0.2">
      <c r="A5" s="6" t="s">
        <v>163</v>
      </c>
      <c r="B5" s="46">
        <v>844382</v>
      </c>
      <c r="C5" s="46">
        <v>767946</v>
      </c>
      <c r="D5" s="46">
        <v>825392</v>
      </c>
      <c r="E5" s="46">
        <v>875886</v>
      </c>
      <c r="F5" s="46">
        <v>877997</v>
      </c>
      <c r="G5" s="46">
        <v>774393</v>
      </c>
      <c r="H5" s="46">
        <v>861120</v>
      </c>
      <c r="I5" s="46">
        <v>847349</v>
      </c>
      <c r="J5" s="46">
        <v>813455</v>
      </c>
      <c r="K5" s="46">
        <v>764415</v>
      </c>
      <c r="L5" s="46">
        <v>733116</v>
      </c>
      <c r="M5" s="46">
        <v>694255</v>
      </c>
      <c r="N5" s="47">
        <v>684</v>
      </c>
      <c r="O5" s="10">
        <v>690</v>
      </c>
      <c r="P5" s="27">
        <v>630</v>
      </c>
      <c r="Q5" s="27">
        <v>644</v>
      </c>
      <c r="R5" s="27">
        <v>647</v>
      </c>
      <c r="S5" s="27">
        <v>634</v>
      </c>
      <c r="T5" s="25">
        <v>646</v>
      </c>
      <c r="U5" s="25">
        <v>553</v>
      </c>
      <c r="V5" s="25">
        <v>543</v>
      </c>
      <c r="W5" s="48">
        <v>0</v>
      </c>
      <c r="X5" s="48">
        <v>0</v>
      </c>
      <c r="Y5" s="48">
        <v>0</v>
      </c>
      <c r="Z5" s="48">
        <v>0</v>
      </c>
      <c r="AA5" s="48">
        <v>0</v>
      </c>
      <c r="AB5" s="48">
        <v>0</v>
      </c>
      <c r="AC5" s="48">
        <v>0</v>
      </c>
      <c r="AD5" s="48">
        <v>0</v>
      </c>
      <c r="AE5" s="48">
        <v>0</v>
      </c>
      <c r="AF5" s="48">
        <v>0</v>
      </c>
    </row>
    <row r="6" spans="1:32" x14ac:dyDescent="0.2">
      <c r="A6" s="6" t="s">
        <v>164</v>
      </c>
      <c r="B6" s="46">
        <v>906481</v>
      </c>
      <c r="C6" s="46">
        <v>822812</v>
      </c>
      <c r="D6" s="46">
        <v>891568</v>
      </c>
      <c r="E6" s="46">
        <v>937568</v>
      </c>
      <c r="F6" s="46">
        <v>990082</v>
      </c>
      <c r="G6" s="46">
        <v>871272</v>
      </c>
      <c r="H6" s="46">
        <v>932880</v>
      </c>
      <c r="I6" s="46">
        <v>932951</v>
      </c>
      <c r="J6" s="46">
        <v>876973</v>
      </c>
      <c r="K6" s="46">
        <v>741522</v>
      </c>
      <c r="L6" s="46">
        <v>671263</v>
      </c>
      <c r="M6" s="46">
        <v>578944</v>
      </c>
      <c r="N6" s="47">
        <v>590</v>
      </c>
      <c r="O6" s="10">
        <v>587</v>
      </c>
      <c r="P6" s="27">
        <v>535</v>
      </c>
      <c r="Q6" s="27">
        <v>578</v>
      </c>
      <c r="R6" s="27">
        <v>584</v>
      </c>
      <c r="S6" s="27">
        <v>556</v>
      </c>
      <c r="T6" s="25">
        <v>531</v>
      </c>
      <c r="U6" s="25">
        <v>465</v>
      </c>
      <c r="V6" s="25">
        <v>442</v>
      </c>
      <c r="W6" s="48">
        <v>0</v>
      </c>
      <c r="X6" s="48">
        <v>0</v>
      </c>
      <c r="Y6" s="48">
        <v>0</v>
      </c>
      <c r="Z6" s="48">
        <v>0</v>
      </c>
      <c r="AA6" s="48">
        <v>0</v>
      </c>
      <c r="AB6" s="48">
        <v>0</v>
      </c>
      <c r="AC6" s="48">
        <v>0</v>
      </c>
      <c r="AD6" s="48">
        <v>0</v>
      </c>
      <c r="AE6" s="48">
        <v>0</v>
      </c>
      <c r="AF6" s="48">
        <v>0</v>
      </c>
    </row>
    <row r="7" spans="1:32" x14ac:dyDescent="0.2">
      <c r="A7" s="6" t="s">
        <v>165</v>
      </c>
      <c r="B7" s="46">
        <v>1750863</v>
      </c>
      <c r="C7" s="46">
        <v>1590758</v>
      </c>
      <c r="D7" s="46">
        <v>1716960</v>
      </c>
      <c r="E7" s="46">
        <v>1813454</v>
      </c>
      <c r="F7" s="46">
        <v>1868079</v>
      </c>
      <c r="G7" s="46">
        <v>1645665</v>
      </c>
      <c r="H7" s="46">
        <v>1794000</v>
      </c>
      <c r="I7" s="46">
        <v>1780300</v>
      </c>
      <c r="J7" s="46">
        <v>1690428</v>
      </c>
      <c r="K7" s="46">
        <v>1505937</v>
      </c>
      <c r="L7" s="46">
        <v>1404379</v>
      </c>
      <c r="M7" s="46">
        <v>1273199</v>
      </c>
      <c r="N7" s="47">
        <v>1274</v>
      </c>
      <c r="O7" s="27">
        <v>1277</v>
      </c>
      <c r="P7" s="27">
        <v>1165</v>
      </c>
      <c r="Q7" s="27">
        <v>1222</v>
      </c>
      <c r="R7" s="27">
        <v>1231</v>
      </c>
      <c r="S7" s="27">
        <v>1190</v>
      </c>
      <c r="T7" s="25">
        <v>1177</v>
      </c>
      <c r="U7" s="25">
        <v>1017</v>
      </c>
      <c r="V7" s="25">
        <v>986</v>
      </c>
      <c r="W7" s="48">
        <v>0</v>
      </c>
      <c r="X7" s="48">
        <v>0</v>
      </c>
      <c r="Y7" s="48">
        <v>0</v>
      </c>
      <c r="Z7" s="48">
        <v>0</v>
      </c>
      <c r="AA7" s="48">
        <v>0</v>
      </c>
      <c r="AB7" s="48">
        <v>0</v>
      </c>
      <c r="AC7" s="48">
        <v>0</v>
      </c>
      <c r="AD7" s="48">
        <v>0</v>
      </c>
      <c r="AE7" s="48">
        <v>0</v>
      </c>
      <c r="AF7" s="48">
        <v>0</v>
      </c>
    </row>
    <row r="8" spans="1:32" ht="33" customHeight="1" x14ac:dyDescent="0.2">
      <c r="A8" s="6" t="s">
        <v>166</v>
      </c>
      <c r="B8" s="49">
        <v>0</v>
      </c>
      <c r="C8" s="49">
        <v>0</v>
      </c>
      <c r="D8" s="49">
        <v>0</v>
      </c>
      <c r="E8" s="49">
        <v>0</v>
      </c>
      <c r="F8" s="49">
        <v>0</v>
      </c>
      <c r="G8" s="49">
        <v>0</v>
      </c>
      <c r="H8" s="49">
        <v>0</v>
      </c>
      <c r="I8" s="49">
        <v>0</v>
      </c>
      <c r="J8" s="49">
        <v>0</v>
      </c>
      <c r="K8" s="49">
        <v>0</v>
      </c>
      <c r="L8" s="49">
        <v>0</v>
      </c>
      <c r="M8" s="49">
        <v>0</v>
      </c>
      <c r="N8" s="49">
        <v>0</v>
      </c>
      <c r="O8" s="49">
        <v>0</v>
      </c>
      <c r="P8" s="49">
        <v>0</v>
      </c>
      <c r="Q8" s="49">
        <v>0</v>
      </c>
      <c r="R8" s="49">
        <v>0</v>
      </c>
      <c r="S8" s="49">
        <v>0</v>
      </c>
      <c r="T8" s="49">
        <v>0</v>
      </c>
      <c r="U8" s="49">
        <v>0</v>
      </c>
      <c r="V8" s="48">
        <v>0</v>
      </c>
      <c r="W8" s="25">
        <v>943.4</v>
      </c>
      <c r="X8" s="50">
        <v>898.3</v>
      </c>
      <c r="Y8" s="51">
        <v>1022.096</v>
      </c>
      <c r="Z8" s="51">
        <v>1076</v>
      </c>
      <c r="AA8" s="51">
        <v>1166</v>
      </c>
      <c r="AB8" s="51">
        <v>1154.5999999999999</v>
      </c>
      <c r="AC8" s="51">
        <v>1262.8</v>
      </c>
      <c r="AD8" s="52">
        <v>1366.6</v>
      </c>
      <c r="AE8" s="52">
        <v>1357.5</v>
      </c>
      <c r="AF8" s="52">
        <v>1398.5</v>
      </c>
    </row>
    <row r="9" spans="1:32" x14ac:dyDescent="0.2">
      <c r="A9" s="6" t="s">
        <v>167</v>
      </c>
      <c r="B9" s="49">
        <v>0</v>
      </c>
      <c r="C9" s="49">
        <v>0</v>
      </c>
      <c r="D9" s="49">
        <v>0</v>
      </c>
      <c r="E9" s="49">
        <v>0</v>
      </c>
      <c r="F9" s="49">
        <v>0</v>
      </c>
      <c r="G9" s="49">
        <v>0</v>
      </c>
      <c r="H9" s="49">
        <v>0</v>
      </c>
      <c r="I9" s="49">
        <v>0</v>
      </c>
      <c r="J9" s="49">
        <v>0</v>
      </c>
      <c r="K9" s="49">
        <v>0</v>
      </c>
      <c r="L9" s="49">
        <v>0</v>
      </c>
      <c r="M9" s="49">
        <v>0</v>
      </c>
      <c r="N9" s="49">
        <v>0</v>
      </c>
      <c r="O9" s="49">
        <v>0</v>
      </c>
      <c r="P9" s="49">
        <v>0</v>
      </c>
      <c r="Q9" s="49">
        <v>0</v>
      </c>
      <c r="R9" s="49">
        <v>0</v>
      </c>
      <c r="S9" s="49">
        <v>0</v>
      </c>
      <c r="T9" s="49">
        <v>0</v>
      </c>
      <c r="U9" s="49">
        <v>0</v>
      </c>
      <c r="V9" s="48">
        <v>0</v>
      </c>
      <c r="W9" s="25">
        <v>871.5</v>
      </c>
      <c r="X9" s="50">
        <v>884.8</v>
      </c>
      <c r="Y9" s="51">
        <v>1016.3869999999999</v>
      </c>
      <c r="Z9" s="51">
        <v>1087</v>
      </c>
      <c r="AA9" s="51">
        <v>1190</v>
      </c>
      <c r="AB9" s="51">
        <v>1233.0999999999999</v>
      </c>
      <c r="AC9" s="51">
        <v>1283.0999999999999</v>
      </c>
      <c r="AD9" s="52">
        <v>1283.0999999999999</v>
      </c>
      <c r="AE9" s="52">
        <v>1258</v>
      </c>
      <c r="AF9" s="52">
        <v>1330</v>
      </c>
    </row>
    <row r="10" spans="1:32" x14ac:dyDescent="0.2">
      <c r="A10" s="6" t="s">
        <v>168</v>
      </c>
      <c r="B10" s="49">
        <v>0</v>
      </c>
      <c r="C10" s="49">
        <v>0</v>
      </c>
      <c r="D10" s="49">
        <v>0</v>
      </c>
      <c r="E10" s="49">
        <v>0</v>
      </c>
      <c r="F10" s="49">
        <v>0</v>
      </c>
      <c r="G10" s="49">
        <v>0</v>
      </c>
      <c r="H10" s="49">
        <v>0</v>
      </c>
      <c r="I10" s="49">
        <v>0</v>
      </c>
      <c r="J10" s="49">
        <v>0</v>
      </c>
      <c r="K10" s="49">
        <v>0</v>
      </c>
      <c r="L10" s="49">
        <v>0</v>
      </c>
      <c r="M10" s="49">
        <v>0</v>
      </c>
      <c r="N10" s="49">
        <v>0</v>
      </c>
      <c r="O10" s="49">
        <v>0</v>
      </c>
      <c r="P10" s="49">
        <v>0</v>
      </c>
      <c r="Q10" s="49">
        <v>0</v>
      </c>
      <c r="R10" s="49">
        <v>0</v>
      </c>
      <c r="S10" s="49">
        <v>0</v>
      </c>
      <c r="T10" s="49">
        <v>0</v>
      </c>
      <c r="U10" s="49">
        <v>0</v>
      </c>
      <c r="V10" s="48">
        <v>0</v>
      </c>
      <c r="W10" s="25">
        <v>1814.9</v>
      </c>
      <c r="X10" s="50">
        <v>1783.1</v>
      </c>
      <c r="Y10" s="51">
        <v>2038.4829999999999</v>
      </c>
      <c r="Z10" s="51">
        <v>2163</v>
      </c>
      <c r="AA10" s="51">
        <v>2356</v>
      </c>
      <c r="AB10" s="51">
        <v>2387.6999999999998</v>
      </c>
      <c r="AC10" s="51">
        <v>2545.8999999999996</v>
      </c>
      <c r="AD10" s="52">
        <v>2649.7</v>
      </c>
      <c r="AE10" s="52">
        <v>2615.6</v>
      </c>
      <c r="AF10" s="52">
        <v>2728.5</v>
      </c>
    </row>
    <row r="11" spans="1:32" ht="33.75" customHeight="1" x14ac:dyDescent="0.2">
      <c r="A11" s="6" t="s">
        <v>136</v>
      </c>
      <c r="B11" s="46">
        <v>413141</v>
      </c>
      <c r="C11" s="46">
        <v>458944</v>
      </c>
      <c r="D11" s="46">
        <v>527790</v>
      </c>
      <c r="E11" s="46">
        <v>539732</v>
      </c>
      <c r="F11" s="46">
        <v>943168</v>
      </c>
      <c r="G11" s="46">
        <v>959201</v>
      </c>
      <c r="H11" s="46">
        <v>1055120</v>
      </c>
      <c r="I11" s="46">
        <v>1272397</v>
      </c>
      <c r="J11" s="46">
        <v>1244452</v>
      </c>
      <c r="K11" s="46">
        <v>1135728</v>
      </c>
      <c r="L11" s="46">
        <v>953364</v>
      </c>
      <c r="M11" s="46">
        <v>1014591</v>
      </c>
      <c r="N11" s="47">
        <v>1113</v>
      </c>
      <c r="O11" s="27">
        <v>1270</v>
      </c>
      <c r="P11" s="27">
        <v>1479</v>
      </c>
      <c r="Q11" s="27">
        <v>1446</v>
      </c>
      <c r="R11" s="27">
        <v>1440</v>
      </c>
      <c r="S11" s="27">
        <v>1294</v>
      </c>
      <c r="T11" s="25">
        <v>1123</v>
      </c>
      <c r="U11" s="25">
        <v>1150</v>
      </c>
      <c r="V11" s="25">
        <v>1340</v>
      </c>
      <c r="W11" s="25">
        <v>1245.7</v>
      </c>
      <c r="X11" s="25">
        <v>1103.3</v>
      </c>
      <c r="Y11" s="51">
        <v>1096.03</v>
      </c>
      <c r="Z11" s="51">
        <v>1179</v>
      </c>
      <c r="AA11" s="51">
        <v>1290</v>
      </c>
      <c r="AB11" s="51">
        <v>1399.1</v>
      </c>
      <c r="AC11" s="51">
        <v>1323.3</v>
      </c>
      <c r="AD11" s="52">
        <v>1223.5999999999999</v>
      </c>
      <c r="AE11" s="52">
        <v>1208.9000000000001</v>
      </c>
      <c r="AF11" s="52">
        <v>1474.1</v>
      </c>
    </row>
    <row r="12" spans="1:32" x14ac:dyDescent="0.2">
      <c r="A12" s="6" t="s">
        <v>137</v>
      </c>
      <c r="B12" s="46">
        <v>536182</v>
      </c>
      <c r="C12" s="46">
        <v>613773</v>
      </c>
      <c r="D12" s="46">
        <v>705834</v>
      </c>
      <c r="E12" s="46">
        <v>693173</v>
      </c>
      <c r="F12" s="46">
        <v>1047963</v>
      </c>
      <c r="G12" s="46">
        <v>1065778</v>
      </c>
      <c r="H12" s="46">
        <v>1172355</v>
      </c>
      <c r="I12" s="46">
        <v>1231300</v>
      </c>
      <c r="J12" s="46">
        <v>1192824</v>
      </c>
      <c r="K12" s="46">
        <v>1147037</v>
      </c>
      <c r="L12" s="46">
        <v>1060864</v>
      </c>
      <c r="M12" s="46">
        <v>1084502</v>
      </c>
      <c r="N12" s="47">
        <v>1214</v>
      </c>
      <c r="O12" s="27">
        <v>1579</v>
      </c>
      <c r="P12" s="27">
        <v>1795</v>
      </c>
      <c r="Q12" s="27">
        <v>1699</v>
      </c>
      <c r="R12" s="27">
        <v>1723</v>
      </c>
      <c r="S12" s="27">
        <v>1633</v>
      </c>
      <c r="T12" s="25">
        <v>1448</v>
      </c>
      <c r="U12" s="25">
        <v>1484</v>
      </c>
      <c r="V12" s="25">
        <v>1592</v>
      </c>
      <c r="W12" s="25">
        <v>1364.1</v>
      </c>
      <c r="X12" s="25">
        <v>1261.2</v>
      </c>
      <c r="Y12" s="51">
        <v>1272.3409999999999</v>
      </c>
      <c r="Z12" s="51">
        <v>1370</v>
      </c>
      <c r="AA12" s="51">
        <v>1450</v>
      </c>
      <c r="AB12" s="51">
        <v>1448.4</v>
      </c>
      <c r="AC12" s="51">
        <v>1533.6</v>
      </c>
      <c r="AD12" s="52">
        <v>1481.2</v>
      </c>
      <c r="AE12" s="52">
        <v>1486.2</v>
      </c>
      <c r="AF12" s="52">
        <v>1654.9</v>
      </c>
    </row>
    <row r="13" spans="1:32" x14ac:dyDescent="0.2">
      <c r="A13" s="6" t="s">
        <v>138</v>
      </c>
      <c r="B13" s="46">
        <v>949323</v>
      </c>
      <c r="C13" s="46">
        <v>1072717</v>
      </c>
      <c r="D13" s="46">
        <v>1233624</v>
      </c>
      <c r="E13" s="46">
        <v>1232905</v>
      </c>
      <c r="F13" s="46">
        <v>1991131</v>
      </c>
      <c r="G13" s="46">
        <v>2024979</v>
      </c>
      <c r="H13" s="46">
        <v>2227475</v>
      </c>
      <c r="I13" s="46">
        <v>2503697</v>
      </c>
      <c r="J13" s="46">
        <v>2437276</v>
      </c>
      <c r="K13" s="46">
        <v>2282765</v>
      </c>
      <c r="L13" s="46">
        <v>2014228</v>
      </c>
      <c r="M13" s="46">
        <v>2099093</v>
      </c>
      <c r="N13" s="47">
        <v>2328</v>
      </c>
      <c r="O13" s="27">
        <v>2849</v>
      </c>
      <c r="P13" s="27">
        <v>3274</v>
      </c>
      <c r="Q13" s="27">
        <v>3145</v>
      </c>
      <c r="R13" s="27">
        <v>3163</v>
      </c>
      <c r="S13" s="27">
        <v>2928</v>
      </c>
      <c r="T13" s="25">
        <v>2572</v>
      </c>
      <c r="U13" s="25">
        <v>2634</v>
      </c>
      <c r="V13" s="25">
        <v>2932</v>
      </c>
      <c r="W13" s="25">
        <v>2609.9</v>
      </c>
      <c r="X13" s="25">
        <v>2364.5</v>
      </c>
      <c r="Y13" s="51">
        <v>2368.3710000000001</v>
      </c>
      <c r="Z13" s="51">
        <v>2548</v>
      </c>
      <c r="AA13" s="51">
        <v>2740</v>
      </c>
      <c r="AB13" s="51">
        <v>2847.5</v>
      </c>
      <c r="AC13" s="51">
        <v>2856.8999999999996</v>
      </c>
      <c r="AD13" s="52">
        <v>2704.8</v>
      </c>
      <c r="AE13" s="52">
        <v>2695.1</v>
      </c>
      <c r="AF13" s="52">
        <v>3129</v>
      </c>
    </row>
    <row r="14" spans="1:32" ht="41.25" customHeight="1" x14ac:dyDescent="0.2">
      <c r="A14" s="7" t="s">
        <v>139</v>
      </c>
      <c r="B14" s="46">
        <v>81223</v>
      </c>
      <c r="C14" s="46">
        <v>81275</v>
      </c>
      <c r="D14" s="46">
        <v>125206</v>
      </c>
      <c r="E14" s="46">
        <v>141666</v>
      </c>
      <c r="F14" s="46">
        <v>109166</v>
      </c>
      <c r="G14" s="46">
        <v>124210</v>
      </c>
      <c r="H14" s="46">
        <v>76475</v>
      </c>
      <c r="I14" s="46">
        <v>86190</v>
      </c>
      <c r="J14" s="46">
        <v>81603</v>
      </c>
      <c r="K14" s="46">
        <v>154270</v>
      </c>
      <c r="L14" s="46">
        <v>220053</v>
      </c>
      <c r="M14" s="46">
        <v>158015</v>
      </c>
      <c r="N14" s="47">
        <v>156</v>
      </c>
      <c r="O14" s="10">
        <v>162</v>
      </c>
      <c r="P14" s="27">
        <v>185</v>
      </c>
      <c r="Q14" s="27">
        <v>172</v>
      </c>
      <c r="R14" s="27">
        <v>174</v>
      </c>
      <c r="S14" s="27">
        <v>182</v>
      </c>
      <c r="T14" s="25">
        <v>182</v>
      </c>
      <c r="U14" s="25">
        <v>276</v>
      </c>
      <c r="V14" s="25">
        <v>212</v>
      </c>
      <c r="W14" s="25">
        <v>205</v>
      </c>
      <c r="X14" s="25">
        <v>347</v>
      </c>
      <c r="Y14" s="51">
        <v>284</v>
      </c>
      <c r="Z14" s="51">
        <v>217</v>
      </c>
      <c r="AA14" s="51">
        <v>256</v>
      </c>
      <c r="AB14" s="51">
        <v>209</v>
      </c>
      <c r="AC14" s="51">
        <v>214.5</v>
      </c>
      <c r="AD14" s="52">
        <v>235.47</v>
      </c>
      <c r="AE14" s="52">
        <v>214.15</v>
      </c>
      <c r="AF14" s="52">
        <v>214.15</v>
      </c>
    </row>
    <row r="15" spans="1:32" x14ac:dyDescent="0.2">
      <c r="A15" s="7" t="s">
        <v>140</v>
      </c>
      <c r="B15" s="46">
        <v>1118524</v>
      </c>
      <c r="C15" s="46">
        <v>611638</v>
      </c>
      <c r="D15" s="46">
        <v>342059</v>
      </c>
      <c r="E15" s="46">
        <v>345987</v>
      </c>
      <c r="F15" s="46">
        <v>484887</v>
      </c>
      <c r="G15" s="46">
        <v>511518</v>
      </c>
      <c r="H15" s="46">
        <v>422035</v>
      </c>
      <c r="I15" s="46">
        <v>260011</v>
      </c>
      <c r="J15" s="46">
        <v>147793</v>
      </c>
      <c r="K15" s="46">
        <v>128901</v>
      </c>
      <c r="L15" s="46">
        <v>53468</v>
      </c>
      <c r="M15" s="46">
        <v>82610</v>
      </c>
      <c r="N15" s="47">
        <v>134</v>
      </c>
      <c r="O15" s="10">
        <v>239</v>
      </c>
      <c r="P15" s="27">
        <v>233</v>
      </c>
      <c r="Q15" s="27">
        <v>247</v>
      </c>
      <c r="R15" s="27">
        <v>379</v>
      </c>
      <c r="S15" s="27">
        <v>375</v>
      </c>
      <c r="T15" s="25">
        <v>153</v>
      </c>
      <c r="U15" s="25">
        <v>282</v>
      </c>
      <c r="V15" s="25">
        <v>190</v>
      </c>
      <c r="W15" s="25">
        <v>99</v>
      </c>
      <c r="X15" s="25">
        <v>123</v>
      </c>
      <c r="Y15" s="51">
        <v>71</v>
      </c>
      <c r="Z15" s="51">
        <v>63</v>
      </c>
      <c r="AA15" s="51">
        <v>50</v>
      </c>
      <c r="AB15" s="51">
        <v>31</v>
      </c>
      <c r="AC15" s="51">
        <v>55.3</v>
      </c>
      <c r="AD15" s="52">
        <v>103.65</v>
      </c>
      <c r="AE15" s="52">
        <v>67.17</v>
      </c>
      <c r="AF15" s="52">
        <v>67.17</v>
      </c>
    </row>
    <row r="16" spans="1:32" x14ac:dyDescent="0.2">
      <c r="A16" s="7" t="s">
        <v>141</v>
      </c>
      <c r="B16" s="46">
        <v>1199747</v>
      </c>
      <c r="C16" s="46">
        <v>692913</v>
      </c>
      <c r="D16" s="46">
        <v>467265</v>
      </c>
      <c r="E16" s="46">
        <v>487653</v>
      </c>
      <c r="F16" s="46">
        <v>594053</v>
      </c>
      <c r="G16" s="46">
        <v>635728</v>
      </c>
      <c r="H16" s="46">
        <v>498510</v>
      </c>
      <c r="I16" s="46">
        <v>346201</v>
      </c>
      <c r="J16" s="46">
        <v>229396</v>
      </c>
      <c r="K16" s="46">
        <v>283171</v>
      </c>
      <c r="L16" s="46">
        <v>273521</v>
      </c>
      <c r="M16" s="46">
        <v>240625</v>
      </c>
      <c r="N16" s="47">
        <v>291</v>
      </c>
      <c r="O16" s="10">
        <v>401</v>
      </c>
      <c r="P16" s="27">
        <v>418</v>
      </c>
      <c r="Q16" s="27">
        <v>419</v>
      </c>
      <c r="R16" s="27">
        <v>553</v>
      </c>
      <c r="S16" s="27">
        <v>557</v>
      </c>
      <c r="T16" s="25">
        <v>335</v>
      </c>
      <c r="U16" s="25">
        <v>558</v>
      </c>
      <c r="V16" s="25">
        <f>SUM(V14:V15)</f>
        <v>402</v>
      </c>
      <c r="W16" s="25">
        <v>304</v>
      </c>
      <c r="X16" s="25">
        <v>470</v>
      </c>
      <c r="Y16" s="51">
        <v>355</v>
      </c>
      <c r="Z16" s="51">
        <v>280</v>
      </c>
      <c r="AA16" s="51">
        <v>306</v>
      </c>
      <c r="AB16" s="51">
        <v>240</v>
      </c>
      <c r="AC16" s="51">
        <v>269.8</v>
      </c>
      <c r="AD16" s="52">
        <v>339.12</v>
      </c>
      <c r="AE16" s="52">
        <v>281.32</v>
      </c>
      <c r="AF16" s="52">
        <v>281.32</v>
      </c>
    </row>
    <row r="17" spans="1:32" ht="30.75" customHeight="1" x14ac:dyDescent="0.2">
      <c r="A17" s="7" t="s">
        <v>142</v>
      </c>
      <c r="B17" s="46">
        <v>4900434</v>
      </c>
      <c r="C17" s="46">
        <v>2685454</v>
      </c>
      <c r="D17" s="46">
        <v>1458651</v>
      </c>
      <c r="E17" s="46">
        <v>2341994</v>
      </c>
      <c r="F17" s="46">
        <v>2380303</v>
      </c>
      <c r="G17" s="46">
        <v>2235885</v>
      </c>
      <c r="H17" s="46">
        <v>2792698</v>
      </c>
      <c r="I17" s="46">
        <v>4323857</v>
      </c>
      <c r="J17" s="46">
        <v>4862195</v>
      </c>
      <c r="K17" s="46">
        <v>4435780</v>
      </c>
      <c r="L17" s="46">
        <v>7880232</v>
      </c>
      <c r="M17" s="46">
        <v>6539741</v>
      </c>
      <c r="N17" s="47">
        <v>6056</v>
      </c>
      <c r="O17" s="27">
        <v>8173</v>
      </c>
      <c r="P17" s="27">
        <v>11868</v>
      </c>
      <c r="Q17" s="27">
        <v>11702</v>
      </c>
      <c r="R17" s="27">
        <v>9323</v>
      </c>
      <c r="S17" s="27">
        <v>10885</v>
      </c>
      <c r="T17" s="25">
        <v>9474</v>
      </c>
      <c r="U17" s="25">
        <v>8982</v>
      </c>
      <c r="V17" s="25">
        <v>9981</v>
      </c>
      <c r="W17" s="25">
        <v>12026.2</v>
      </c>
      <c r="X17" s="25">
        <v>12147.7</v>
      </c>
      <c r="Y17" s="51">
        <v>13220.82</v>
      </c>
      <c r="Z17" s="51">
        <v>9678</v>
      </c>
      <c r="AA17" s="51">
        <v>6273</v>
      </c>
      <c r="AB17" s="51">
        <v>6499.6</v>
      </c>
      <c r="AC17" s="51">
        <v>6825</v>
      </c>
      <c r="AD17" s="52">
        <v>6699.9</v>
      </c>
      <c r="AE17" s="52">
        <v>5119.3</v>
      </c>
      <c r="AF17" s="52">
        <v>6594.8</v>
      </c>
    </row>
    <row r="18" spans="1:32" x14ac:dyDescent="0.2">
      <c r="A18" s="7" t="s">
        <v>143</v>
      </c>
      <c r="B18" s="46">
        <v>3290538</v>
      </c>
      <c r="C18" s="46">
        <v>3507361</v>
      </c>
      <c r="D18" s="46">
        <v>3068263</v>
      </c>
      <c r="E18" s="46">
        <v>4439414</v>
      </c>
      <c r="F18" s="46">
        <v>5193161</v>
      </c>
      <c r="G18" s="46">
        <v>4965014</v>
      </c>
      <c r="H18" s="46">
        <v>4701120</v>
      </c>
      <c r="I18" s="46">
        <v>3803358</v>
      </c>
      <c r="J18" s="46">
        <v>3632905</v>
      </c>
      <c r="K18" s="46">
        <v>2787867</v>
      </c>
      <c r="L18" s="46">
        <v>3188594</v>
      </c>
      <c r="M18" s="46">
        <v>3193353</v>
      </c>
      <c r="N18" s="47">
        <v>3158</v>
      </c>
      <c r="O18" s="27">
        <v>3334</v>
      </c>
      <c r="P18" s="27">
        <v>3870</v>
      </c>
      <c r="Q18" s="27">
        <v>3279</v>
      </c>
      <c r="R18" s="27">
        <v>2740</v>
      </c>
      <c r="S18" s="27">
        <v>3453</v>
      </c>
      <c r="T18" s="25">
        <v>3078</v>
      </c>
      <c r="U18" s="25">
        <v>3301</v>
      </c>
      <c r="V18" s="25">
        <v>3450</v>
      </c>
      <c r="W18" s="25">
        <v>3394.3999999999996</v>
      </c>
      <c r="X18" s="25">
        <v>2634.8</v>
      </c>
      <c r="Y18" s="51">
        <v>2980.1309999999999</v>
      </c>
      <c r="Z18" s="51">
        <v>2806</v>
      </c>
      <c r="AA18" s="51">
        <v>2469</v>
      </c>
      <c r="AB18" s="51">
        <v>2365.5</v>
      </c>
      <c r="AC18" s="51">
        <v>2261.6</v>
      </c>
      <c r="AD18" s="52">
        <v>2100.9</v>
      </c>
      <c r="AE18" s="52">
        <v>1814</v>
      </c>
      <c r="AF18" s="52">
        <v>1814.7</v>
      </c>
    </row>
    <row r="19" spans="1:32" x14ac:dyDescent="0.2">
      <c r="A19" s="7" t="s">
        <v>144</v>
      </c>
      <c r="B19" s="46">
        <v>8190972</v>
      </c>
      <c r="C19" s="46">
        <v>6192815</v>
      </c>
      <c r="D19" s="46">
        <v>4526914</v>
      </c>
      <c r="E19" s="46">
        <v>6781408</v>
      </c>
      <c r="F19" s="46">
        <v>7573464</v>
      </c>
      <c r="G19" s="46">
        <v>7200899</v>
      </c>
      <c r="H19" s="46">
        <v>7493818</v>
      </c>
      <c r="I19" s="46">
        <v>8127215</v>
      </c>
      <c r="J19" s="46">
        <v>8495100</v>
      </c>
      <c r="K19" s="46">
        <v>7223647</v>
      </c>
      <c r="L19" s="46">
        <v>11068826</v>
      </c>
      <c r="M19" s="46">
        <v>9733094</v>
      </c>
      <c r="N19" s="47">
        <v>9214</v>
      </c>
      <c r="O19" s="27">
        <v>11507</v>
      </c>
      <c r="P19" s="27">
        <v>15737</v>
      </c>
      <c r="Q19" s="27">
        <v>14981</v>
      </c>
      <c r="R19" s="27">
        <v>12063</v>
      </c>
      <c r="S19" s="27">
        <v>14338</v>
      </c>
      <c r="T19" s="25">
        <v>12552</v>
      </c>
      <c r="U19" s="25">
        <v>12283</v>
      </c>
      <c r="V19" s="25">
        <v>13431</v>
      </c>
      <c r="W19" s="25">
        <v>15420.599999999999</v>
      </c>
      <c r="X19" s="25">
        <v>14782.5</v>
      </c>
      <c r="Y19" s="51">
        <v>16200.95</v>
      </c>
      <c r="Z19" s="51">
        <v>12484</v>
      </c>
      <c r="AA19" s="51">
        <v>8742</v>
      </c>
      <c r="AB19" s="51">
        <v>8865.1</v>
      </c>
      <c r="AC19" s="51">
        <v>9086.6</v>
      </c>
      <c r="AD19" s="52">
        <v>8800.7999999999993</v>
      </c>
      <c r="AE19" s="52">
        <v>6933.3</v>
      </c>
      <c r="AF19" s="52">
        <v>8409.5</v>
      </c>
    </row>
    <row r="20" spans="1:32" ht="35.25" customHeight="1" x14ac:dyDescent="0.2">
      <c r="A20" s="7" t="s">
        <v>145</v>
      </c>
      <c r="B20" s="46" t="s">
        <v>37</v>
      </c>
      <c r="C20" s="46" t="s">
        <v>37</v>
      </c>
      <c r="D20" s="46" t="s">
        <v>37</v>
      </c>
      <c r="E20" s="46" t="s">
        <v>37</v>
      </c>
      <c r="F20" s="46" t="s">
        <v>37</v>
      </c>
      <c r="G20" s="46" t="s">
        <v>37</v>
      </c>
      <c r="H20" s="46" t="s">
        <v>37</v>
      </c>
      <c r="I20" s="46" t="s">
        <v>37</v>
      </c>
      <c r="J20" s="46" t="s">
        <v>37</v>
      </c>
      <c r="K20" s="53" t="s">
        <v>37</v>
      </c>
      <c r="L20" s="46">
        <v>2613</v>
      </c>
      <c r="M20" s="46">
        <v>3618</v>
      </c>
      <c r="N20" s="47">
        <v>3</v>
      </c>
      <c r="O20" s="10">
        <v>1</v>
      </c>
      <c r="P20" s="54">
        <v>0</v>
      </c>
      <c r="Q20" s="54">
        <v>0</v>
      </c>
      <c r="R20" s="54">
        <v>0</v>
      </c>
      <c r="S20" s="54">
        <v>0</v>
      </c>
      <c r="T20" s="54">
        <v>0</v>
      </c>
      <c r="U20" s="54">
        <v>0</v>
      </c>
      <c r="V20" s="55">
        <v>0</v>
      </c>
      <c r="W20" s="55">
        <v>0</v>
      </c>
      <c r="X20" s="55">
        <v>0</v>
      </c>
      <c r="Y20" s="8">
        <v>0</v>
      </c>
      <c r="Z20" s="8">
        <v>0</v>
      </c>
      <c r="AA20" s="8">
        <v>0</v>
      </c>
      <c r="AB20" s="8">
        <v>0</v>
      </c>
      <c r="AC20" s="8">
        <v>0</v>
      </c>
      <c r="AD20" s="52">
        <v>0</v>
      </c>
      <c r="AE20" s="52">
        <v>0</v>
      </c>
      <c r="AF20" s="52">
        <v>0</v>
      </c>
    </row>
    <row r="21" spans="1:32" x14ac:dyDescent="0.2">
      <c r="A21" s="7" t="s">
        <v>146</v>
      </c>
      <c r="B21" s="46">
        <v>4399240</v>
      </c>
      <c r="C21" s="46">
        <v>4735654</v>
      </c>
      <c r="D21" s="46">
        <v>4855171</v>
      </c>
      <c r="E21" s="46">
        <v>4692938</v>
      </c>
      <c r="F21" s="46">
        <v>4859058</v>
      </c>
      <c r="G21" s="46">
        <v>4486207</v>
      </c>
      <c r="H21" s="46">
        <v>4401181</v>
      </c>
      <c r="I21" s="46">
        <v>5140122</v>
      </c>
      <c r="J21" s="46">
        <v>5216894</v>
      </c>
      <c r="K21" s="46">
        <v>5898967</v>
      </c>
      <c r="L21" s="46">
        <v>5468241</v>
      </c>
      <c r="M21" s="46">
        <v>5841968</v>
      </c>
      <c r="N21" s="47">
        <v>5319</v>
      </c>
      <c r="O21" s="27">
        <v>5188</v>
      </c>
      <c r="P21" s="27">
        <v>5439</v>
      </c>
      <c r="Q21" s="27">
        <v>6004</v>
      </c>
      <c r="R21" s="27">
        <v>7050</v>
      </c>
      <c r="S21" s="27">
        <v>6336</v>
      </c>
      <c r="T21" s="25">
        <v>5591</v>
      </c>
      <c r="U21" s="25">
        <v>5846</v>
      </c>
      <c r="V21" s="25">
        <v>6060</v>
      </c>
      <c r="W21" s="25">
        <v>5541.2000000000007</v>
      </c>
      <c r="X21" s="25">
        <v>5746</v>
      </c>
      <c r="Y21" s="51">
        <v>6347.39</v>
      </c>
      <c r="Z21" s="51">
        <v>5597</v>
      </c>
      <c r="AA21" s="51">
        <v>5487</v>
      </c>
      <c r="AB21" s="51">
        <v>6138.1</v>
      </c>
      <c r="AC21" s="51">
        <v>5942.6</v>
      </c>
      <c r="AD21" s="52">
        <v>6646</v>
      </c>
      <c r="AE21" s="52">
        <v>5458.3</v>
      </c>
      <c r="AF21" s="52">
        <v>6122.7</v>
      </c>
    </row>
    <row r="22" spans="1:32" x14ac:dyDescent="0.2">
      <c r="A22" s="7" t="s">
        <v>147</v>
      </c>
      <c r="B22" s="46">
        <v>4399240</v>
      </c>
      <c r="C22" s="46">
        <v>4735654</v>
      </c>
      <c r="D22" s="46">
        <v>4855171</v>
      </c>
      <c r="E22" s="46">
        <v>4692938</v>
      </c>
      <c r="F22" s="46">
        <v>4859058</v>
      </c>
      <c r="G22" s="46">
        <v>4486207</v>
      </c>
      <c r="H22" s="46">
        <v>4401181</v>
      </c>
      <c r="I22" s="46">
        <v>5140122</v>
      </c>
      <c r="J22" s="46">
        <v>5216894</v>
      </c>
      <c r="K22" s="46">
        <v>5898967</v>
      </c>
      <c r="L22" s="46">
        <v>5470854</v>
      </c>
      <c r="M22" s="46">
        <v>5845586</v>
      </c>
      <c r="N22" s="47">
        <v>5322</v>
      </c>
      <c r="O22" s="27">
        <v>5189</v>
      </c>
      <c r="P22" s="27">
        <v>5439</v>
      </c>
      <c r="Q22" s="27">
        <v>6004</v>
      </c>
      <c r="R22" s="27">
        <v>7050</v>
      </c>
      <c r="S22" s="27">
        <v>6336</v>
      </c>
      <c r="T22" s="25">
        <v>5591</v>
      </c>
      <c r="U22" s="25">
        <v>5846</v>
      </c>
      <c r="V22" s="25">
        <v>6060</v>
      </c>
      <c r="W22" s="25">
        <v>5541.2000000000007</v>
      </c>
      <c r="X22" s="25">
        <v>5746</v>
      </c>
      <c r="Y22" s="51">
        <v>6347.39</v>
      </c>
      <c r="Z22" s="51">
        <v>5597</v>
      </c>
      <c r="AA22" s="51">
        <v>5487</v>
      </c>
      <c r="AB22" s="51">
        <v>6138.1</v>
      </c>
      <c r="AC22" s="51">
        <v>5942.6</v>
      </c>
      <c r="AD22" s="52">
        <v>6646</v>
      </c>
      <c r="AE22" s="52">
        <v>5458.3</v>
      </c>
      <c r="AF22" s="52">
        <v>6122.7</v>
      </c>
    </row>
    <row r="23" spans="1:32" ht="35.25" customHeight="1" x14ac:dyDescent="0.2">
      <c r="A23" s="7" t="s">
        <v>169</v>
      </c>
      <c r="B23" s="46">
        <v>146663</v>
      </c>
      <c r="C23" s="46">
        <v>137397</v>
      </c>
      <c r="D23" s="46">
        <v>150149</v>
      </c>
      <c r="E23" s="46">
        <v>146130</v>
      </c>
      <c r="F23" s="46">
        <v>103606</v>
      </c>
      <c r="G23" s="46">
        <v>67152</v>
      </c>
      <c r="H23" s="46">
        <v>115856</v>
      </c>
      <c r="I23" s="46">
        <v>163389</v>
      </c>
      <c r="J23" s="46">
        <v>160582</v>
      </c>
      <c r="K23" s="46">
        <v>232028</v>
      </c>
      <c r="L23" s="46">
        <v>410975</v>
      </c>
      <c r="M23" s="46">
        <v>463343</v>
      </c>
      <c r="N23" s="47">
        <v>445</v>
      </c>
      <c r="O23" s="10">
        <v>375</v>
      </c>
      <c r="P23" s="27">
        <v>371</v>
      </c>
      <c r="Q23" s="27">
        <v>408</v>
      </c>
      <c r="R23" s="27">
        <v>448</v>
      </c>
      <c r="S23" s="27">
        <v>489</v>
      </c>
      <c r="T23" s="25">
        <v>368</v>
      </c>
      <c r="U23" s="25">
        <f>11610-10961</f>
        <v>649</v>
      </c>
      <c r="V23" s="25">
        <v>346.649</v>
      </c>
      <c r="W23" s="25">
        <v>337</v>
      </c>
      <c r="X23" s="25">
        <v>283.5</v>
      </c>
      <c r="Y23" s="51">
        <v>336.971</v>
      </c>
      <c r="Z23" s="51">
        <v>271</v>
      </c>
      <c r="AA23" s="51">
        <v>303.339</v>
      </c>
      <c r="AB23" s="51">
        <v>320.3</v>
      </c>
      <c r="AC23" s="51">
        <v>306.8</v>
      </c>
      <c r="AD23" s="52">
        <v>488.31</v>
      </c>
      <c r="AE23" s="52">
        <v>412.63</v>
      </c>
      <c r="AF23" s="52">
        <v>463.17</v>
      </c>
    </row>
    <row r="24" spans="1:32" x14ac:dyDescent="0.2">
      <c r="A24" s="7" t="s">
        <v>170</v>
      </c>
      <c r="B24" s="46">
        <v>155698</v>
      </c>
      <c r="C24" s="46">
        <v>150463</v>
      </c>
      <c r="D24" s="46">
        <v>156535</v>
      </c>
      <c r="E24" s="46">
        <v>176749</v>
      </c>
      <c r="F24" s="46">
        <v>176837</v>
      </c>
      <c r="G24" s="46">
        <v>149196</v>
      </c>
      <c r="H24" s="46">
        <v>176923</v>
      </c>
      <c r="I24" s="46">
        <v>229186</v>
      </c>
      <c r="J24" s="46">
        <v>204362</v>
      </c>
      <c r="K24" s="46">
        <v>196390</v>
      </c>
      <c r="L24" s="46">
        <v>382470</v>
      </c>
      <c r="M24" s="46">
        <v>428482</v>
      </c>
      <c r="N24" s="47">
        <v>441</v>
      </c>
      <c r="O24" s="10">
        <v>411</v>
      </c>
      <c r="P24" s="27">
        <v>381</v>
      </c>
      <c r="Q24" s="27">
        <v>536</v>
      </c>
      <c r="R24" s="27">
        <v>518</v>
      </c>
      <c r="S24" s="27">
        <v>538</v>
      </c>
      <c r="T24" s="25">
        <v>530</v>
      </c>
      <c r="U24" s="25">
        <f>12029-11378</f>
        <v>651</v>
      </c>
      <c r="V24" s="25">
        <v>362.39499999999998</v>
      </c>
      <c r="W24" s="25">
        <v>342</v>
      </c>
      <c r="X24" s="25">
        <v>369.2</v>
      </c>
      <c r="Y24" s="51">
        <v>466.28100000000001</v>
      </c>
      <c r="Z24" s="51">
        <v>386</v>
      </c>
      <c r="AA24" s="51">
        <v>242.73200000000003</v>
      </c>
      <c r="AB24" s="51">
        <v>242.9</v>
      </c>
      <c r="AC24" s="51">
        <v>247.1</v>
      </c>
      <c r="AD24" s="52">
        <v>457.99</v>
      </c>
      <c r="AE24" s="52">
        <v>380.19</v>
      </c>
      <c r="AF24" s="52">
        <v>367.32</v>
      </c>
    </row>
    <row r="25" spans="1:32" x14ac:dyDescent="0.2">
      <c r="A25" s="7" t="s">
        <v>171</v>
      </c>
      <c r="B25" s="46">
        <v>302361</v>
      </c>
      <c r="C25" s="46">
        <v>287860</v>
      </c>
      <c r="D25" s="46">
        <v>306684</v>
      </c>
      <c r="E25" s="46">
        <v>322879</v>
      </c>
      <c r="F25" s="46">
        <v>280443</v>
      </c>
      <c r="G25" s="46">
        <v>216348</v>
      </c>
      <c r="H25" s="46">
        <v>292779</v>
      </c>
      <c r="I25" s="46">
        <v>392575</v>
      </c>
      <c r="J25" s="46">
        <v>364944</v>
      </c>
      <c r="K25" s="46">
        <v>428418</v>
      </c>
      <c r="L25" s="46">
        <v>793445</v>
      </c>
      <c r="M25" s="46">
        <v>891825</v>
      </c>
      <c r="N25" s="47">
        <v>887</v>
      </c>
      <c r="O25" s="10">
        <v>786</v>
      </c>
      <c r="P25" s="27">
        <v>752</v>
      </c>
      <c r="Q25" s="27">
        <v>944</v>
      </c>
      <c r="R25" s="27">
        <v>967</v>
      </c>
      <c r="S25" s="27">
        <v>1028</v>
      </c>
      <c r="T25" s="25">
        <v>896</v>
      </c>
      <c r="U25" s="25">
        <f>SUM(U23:U24)</f>
        <v>1300</v>
      </c>
      <c r="V25" s="25">
        <v>709.04399999999998</v>
      </c>
      <c r="W25" s="25">
        <v>680</v>
      </c>
      <c r="X25" s="25">
        <v>652.5</v>
      </c>
      <c r="Y25" s="51">
        <v>803.25199999999995</v>
      </c>
      <c r="Z25" s="51">
        <v>656</v>
      </c>
      <c r="AA25" s="51">
        <v>546.07099999999991</v>
      </c>
      <c r="AB25" s="51">
        <v>563.20000000000005</v>
      </c>
      <c r="AC25" s="51">
        <v>553.9</v>
      </c>
      <c r="AD25" s="52">
        <v>946.3</v>
      </c>
      <c r="AE25" s="52">
        <v>792.82</v>
      </c>
      <c r="AF25" s="52">
        <v>830.47</v>
      </c>
    </row>
    <row r="26" spans="1:32" ht="31.5" customHeight="1" x14ac:dyDescent="0.2">
      <c r="A26" s="7" t="s">
        <v>148</v>
      </c>
      <c r="B26" s="46">
        <v>157653</v>
      </c>
      <c r="C26" s="46">
        <v>163430</v>
      </c>
      <c r="D26" s="46">
        <v>164366</v>
      </c>
      <c r="E26" s="46">
        <v>161052</v>
      </c>
      <c r="F26" s="46">
        <v>156774</v>
      </c>
      <c r="G26" s="46">
        <v>164652</v>
      </c>
      <c r="H26" s="46">
        <v>366006</v>
      </c>
      <c r="I26" s="46">
        <v>2859784</v>
      </c>
      <c r="J26" s="46">
        <v>3683452</v>
      </c>
      <c r="K26" s="46">
        <v>7182461</v>
      </c>
      <c r="L26" s="46">
        <v>5755087</v>
      </c>
      <c r="M26" s="46">
        <v>6114835</v>
      </c>
      <c r="N26" s="47">
        <v>4471</v>
      </c>
      <c r="O26" s="27">
        <v>6656</v>
      </c>
      <c r="P26" s="27">
        <v>5344</v>
      </c>
      <c r="Q26" s="27">
        <v>4158</v>
      </c>
      <c r="R26" s="27">
        <v>3655</v>
      </c>
      <c r="S26" s="27">
        <v>776</v>
      </c>
      <c r="T26" s="25">
        <v>169</v>
      </c>
      <c r="U26" s="25">
        <v>184</v>
      </c>
      <c r="V26" s="25">
        <v>186</v>
      </c>
      <c r="W26" s="25">
        <v>199.6</v>
      </c>
      <c r="X26" s="25">
        <v>179.9</v>
      </c>
      <c r="Y26" s="51">
        <v>182.233</v>
      </c>
      <c r="Z26" s="51">
        <v>195</v>
      </c>
      <c r="AA26" s="51">
        <v>204</v>
      </c>
      <c r="AB26" s="51">
        <v>209.5</v>
      </c>
      <c r="AC26" s="51">
        <v>209.8</v>
      </c>
      <c r="AD26" s="52">
        <v>204.61</v>
      </c>
      <c r="AE26" s="52">
        <v>193.79</v>
      </c>
      <c r="AF26" s="52">
        <v>249.83</v>
      </c>
    </row>
    <row r="27" spans="1:32" x14ac:dyDescent="0.2">
      <c r="A27" s="7" t="s">
        <v>149</v>
      </c>
      <c r="B27" s="46">
        <v>9006079</v>
      </c>
      <c r="C27" s="46">
        <v>8356899</v>
      </c>
      <c r="D27" s="46">
        <v>11687329</v>
      </c>
      <c r="E27" s="46">
        <v>13936380</v>
      </c>
      <c r="F27" s="46">
        <v>12722123</v>
      </c>
      <c r="G27" s="46">
        <v>11282856</v>
      </c>
      <c r="H27" s="46">
        <v>10117476</v>
      </c>
      <c r="I27" s="46">
        <v>13296702</v>
      </c>
      <c r="J27" s="46">
        <v>13314934</v>
      </c>
      <c r="K27" s="46">
        <v>15615238</v>
      </c>
      <c r="L27" s="46">
        <v>12651652</v>
      </c>
      <c r="M27" s="46">
        <v>12697397</v>
      </c>
      <c r="N27" s="47">
        <v>9951</v>
      </c>
      <c r="O27" s="27">
        <v>11278</v>
      </c>
      <c r="P27" s="27">
        <v>9190</v>
      </c>
      <c r="Q27" s="27">
        <v>7091</v>
      </c>
      <c r="R27" s="27">
        <v>6937</v>
      </c>
      <c r="S27" s="27">
        <v>4014</v>
      </c>
      <c r="T27" s="25">
        <v>3073</v>
      </c>
      <c r="U27" s="25">
        <v>3059</v>
      </c>
      <c r="V27" s="25">
        <v>2158</v>
      </c>
      <c r="W27" s="25">
        <v>1529.1000000000001</v>
      </c>
      <c r="X27" s="25">
        <v>874</v>
      </c>
      <c r="Y27" s="51">
        <v>968.66700000000003</v>
      </c>
      <c r="Z27" s="51">
        <v>3750</v>
      </c>
      <c r="AA27" s="51">
        <v>4411</v>
      </c>
      <c r="AB27" s="51">
        <v>4642.6000000000004</v>
      </c>
      <c r="AC27" s="51">
        <v>3260.2</v>
      </c>
      <c r="AD27" s="52">
        <v>2845.4</v>
      </c>
      <c r="AE27" s="52">
        <v>2475.8000000000002</v>
      </c>
      <c r="AF27" s="52">
        <v>2528.3000000000002</v>
      </c>
    </row>
    <row r="28" spans="1:32" x14ac:dyDescent="0.2">
      <c r="A28" s="7" t="s">
        <v>150</v>
      </c>
      <c r="B28" s="46">
        <v>9163732</v>
      </c>
      <c r="C28" s="46">
        <v>8520329</v>
      </c>
      <c r="D28" s="46">
        <v>11851695</v>
      </c>
      <c r="E28" s="46">
        <v>14097432</v>
      </c>
      <c r="F28" s="46">
        <v>12878897</v>
      </c>
      <c r="G28" s="46">
        <v>11447508</v>
      </c>
      <c r="H28" s="46">
        <v>10483482</v>
      </c>
      <c r="I28" s="46">
        <v>16156486</v>
      </c>
      <c r="J28" s="46">
        <v>16998386</v>
      </c>
      <c r="K28" s="46">
        <v>22797699</v>
      </c>
      <c r="L28" s="46">
        <v>18406739</v>
      </c>
      <c r="M28" s="46">
        <v>18812232</v>
      </c>
      <c r="N28" s="47">
        <v>14422</v>
      </c>
      <c r="O28" s="27">
        <v>17934</v>
      </c>
      <c r="P28" s="27">
        <v>14534</v>
      </c>
      <c r="Q28" s="27">
        <v>11249</v>
      </c>
      <c r="R28" s="27">
        <v>10592</v>
      </c>
      <c r="S28" s="27">
        <v>4789</v>
      </c>
      <c r="T28" s="25">
        <v>3241</v>
      </c>
      <c r="U28" s="25">
        <v>3244</v>
      </c>
      <c r="V28" s="25">
        <v>2344</v>
      </c>
      <c r="W28" s="25">
        <v>1728.6999999999998</v>
      </c>
      <c r="X28" s="25">
        <v>1053.9000000000001</v>
      </c>
      <c r="Y28" s="51">
        <v>1150.9000000000001</v>
      </c>
      <c r="Z28" s="51">
        <v>3945</v>
      </c>
      <c r="AA28" s="51">
        <v>4615</v>
      </c>
      <c r="AB28" s="51">
        <v>4852.1000000000004</v>
      </c>
      <c r="AC28" s="51">
        <v>3470</v>
      </c>
      <c r="AD28" s="52">
        <v>3050</v>
      </c>
      <c r="AE28" s="52">
        <v>2669.6</v>
      </c>
      <c r="AF28" s="52">
        <v>2778.1</v>
      </c>
    </row>
    <row r="29" spans="1:32" ht="36" customHeight="1" x14ac:dyDescent="0.2">
      <c r="A29" s="7" t="s">
        <v>151</v>
      </c>
      <c r="B29" s="46">
        <v>436434</v>
      </c>
      <c r="C29" s="46">
        <v>430976</v>
      </c>
      <c r="D29" s="46">
        <v>489251</v>
      </c>
      <c r="E29" s="46">
        <v>467106</v>
      </c>
      <c r="F29" s="46">
        <v>441536</v>
      </c>
      <c r="G29" s="46">
        <v>453144</v>
      </c>
      <c r="H29" s="46">
        <v>403614</v>
      </c>
      <c r="I29" s="46">
        <v>362691</v>
      </c>
      <c r="J29" s="46">
        <v>297265</v>
      </c>
      <c r="K29" s="46">
        <v>309940</v>
      </c>
      <c r="L29" s="46">
        <v>553386</v>
      </c>
      <c r="M29" s="46">
        <v>342997</v>
      </c>
      <c r="N29" s="47">
        <v>312</v>
      </c>
      <c r="O29" s="10">
        <v>299</v>
      </c>
      <c r="P29" s="27">
        <v>342</v>
      </c>
      <c r="Q29" s="27">
        <v>311</v>
      </c>
      <c r="R29" s="27">
        <v>352</v>
      </c>
      <c r="S29" s="27">
        <v>372</v>
      </c>
      <c r="T29" s="25">
        <v>309</v>
      </c>
      <c r="U29" s="25">
        <v>323</v>
      </c>
      <c r="V29" s="25">
        <v>343.71699999999998</v>
      </c>
      <c r="W29" s="25">
        <v>407</v>
      </c>
      <c r="X29" s="25">
        <v>495.4</v>
      </c>
      <c r="Y29" s="51">
        <v>437.24700000000001</v>
      </c>
      <c r="Z29" s="51">
        <v>410</v>
      </c>
      <c r="AA29" s="51">
        <v>359</v>
      </c>
      <c r="AB29" s="51">
        <v>324.7</v>
      </c>
      <c r="AC29" s="51">
        <v>275.8</v>
      </c>
      <c r="AD29" s="52">
        <v>278.69</v>
      </c>
      <c r="AE29" s="52">
        <v>363.78</v>
      </c>
      <c r="AF29" s="52">
        <v>303.08999999999997</v>
      </c>
    </row>
    <row r="30" spans="1:32" x14ac:dyDescent="0.2">
      <c r="A30" s="7" t="s">
        <v>152</v>
      </c>
      <c r="B30" s="46">
        <v>292792</v>
      </c>
      <c r="C30" s="46">
        <v>341507</v>
      </c>
      <c r="D30" s="46">
        <v>419625</v>
      </c>
      <c r="E30" s="46">
        <v>415601</v>
      </c>
      <c r="F30" s="46">
        <v>459333</v>
      </c>
      <c r="G30" s="46">
        <v>346856</v>
      </c>
      <c r="H30" s="46">
        <v>283114</v>
      </c>
      <c r="I30" s="46">
        <v>196125</v>
      </c>
      <c r="J30" s="46">
        <v>188335</v>
      </c>
      <c r="K30" s="46">
        <v>210701</v>
      </c>
      <c r="L30" s="46">
        <v>425498</v>
      </c>
      <c r="M30" s="46">
        <v>309954</v>
      </c>
      <c r="N30" s="47">
        <v>304</v>
      </c>
      <c r="O30" s="10">
        <v>291</v>
      </c>
      <c r="P30" s="27">
        <v>280</v>
      </c>
      <c r="Q30" s="27">
        <v>230</v>
      </c>
      <c r="R30" s="27">
        <v>263</v>
      </c>
      <c r="S30" s="27">
        <v>287</v>
      </c>
      <c r="T30" s="25">
        <v>250</v>
      </c>
      <c r="U30" s="25">
        <v>245</v>
      </c>
      <c r="V30" s="25">
        <v>240.84700000000001</v>
      </c>
      <c r="W30" s="25">
        <v>263</v>
      </c>
      <c r="X30" s="25">
        <v>328.1</v>
      </c>
      <c r="Y30" s="51">
        <v>400.91399999999999</v>
      </c>
      <c r="Z30" s="51">
        <v>336</v>
      </c>
      <c r="AA30" s="51">
        <v>269</v>
      </c>
      <c r="AB30" s="51">
        <v>279.39999999999998</v>
      </c>
      <c r="AC30" s="51">
        <v>236.8</v>
      </c>
      <c r="AD30" s="52">
        <v>269.02999999999997</v>
      </c>
      <c r="AE30" s="52">
        <v>392.22</v>
      </c>
      <c r="AF30" s="52">
        <v>255.6</v>
      </c>
    </row>
    <row r="31" spans="1:32" x14ac:dyDescent="0.2">
      <c r="A31" s="7" t="s">
        <v>153</v>
      </c>
      <c r="B31" s="46">
        <v>729226</v>
      </c>
      <c r="C31" s="46">
        <v>772483</v>
      </c>
      <c r="D31" s="46">
        <v>908876</v>
      </c>
      <c r="E31" s="46">
        <v>882707</v>
      </c>
      <c r="F31" s="46">
        <v>900869</v>
      </c>
      <c r="G31" s="46">
        <v>800000</v>
      </c>
      <c r="H31" s="46">
        <v>686728</v>
      </c>
      <c r="I31" s="46">
        <v>558816</v>
      </c>
      <c r="J31" s="46">
        <v>485600</v>
      </c>
      <c r="K31" s="46">
        <v>520641</v>
      </c>
      <c r="L31" s="46">
        <v>978884</v>
      </c>
      <c r="M31" s="46">
        <v>652951</v>
      </c>
      <c r="N31" s="47">
        <v>616</v>
      </c>
      <c r="O31" s="10">
        <v>590</v>
      </c>
      <c r="P31" s="27">
        <v>622</v>
      </c>
      <c r="Q31" s="27">
        <v>541</v>
      </c>
      <c r="R31" s="27">
        <v>615</v>
      </c>
      <c r="S31" s="27">
        <v>658</v>
      </c>
      <c r="T31" s="25">
        <v>560</v>
      </c>
      <c r="U31" s="25">
        <v>568</v>
      </c>
      <c r="V31" s="25">
        <v>584.56399999999996</v>
      </c>
      <c r="W31" s="25">
        <v>670</v>
      </c>
      <c r="X31" s="25">
        <v>823.5</v>
      </c>
      <c r="Y31" s="51">
        <v>838.16099999999994</v>
      </c>
      <c r="Z31" s="51">
        <v>746</v>
      </c>
      <c r="AA31" s="51">
        <v>629</v>
      </c>
      <c r="AB31" s="51">
        <v>604</v>
      </c>
      <c r="AC31" s="51">
        <v>512.6</v>
      </c>
      <c r="AD31" s="52">
        <v>547.72</v>
      </c>
      <c r="AE31" s="52">
        <v>756</v>
      </c>
      <c r="AF31" s="52">
        <v>558.69000000000005</v>
      </c>
    </row>
    <row r="32" spans="1:32" ht="36" customHeight="1" x14ac:dyDescent="0.2">
      <c r="A32" s="7" t="s">
        <v>154</v>
      </c>
      <c r="B32" s="46">
        <v>6615</v>
      </c>
      <c r="C32" s="46">
        <v>11367</v>
      </c>
      <c r="D32" s="46">
        <v>19064</v>
      </c>
      <c r="E32" s="46">
        <v>15015</v>
      </c>
      <c r="F32" s="46">
        <v>15250</v>
      </c>
      <c r="G32" s="46">
        <v>11533</v>
      </c>
      <c r="H32" s="46">
        <v>16176</v>
      </c>
      <c r="I32" s="46">
        <v>1167289</v>
      </c>
      <c r="J32" s="46">
        <v>5146832</v>
      </c>
      <c r="K32" s="46">
        <v>6151175</v>
      </c>
      <c r="L32" s="46">
        <v>5780798</v>
      </c>
      <c r="M32" s="46">
        <v>6156305</v>
      </c>
      <c r="N32" s="47">
        <v>6000</v>
      </c>
      <c r="O32" s="27">
        <v>5382</v>
      </c>
      <c r="P32" s="27">
        <v>3937</v>
      </c>
      <c r="Q32" s="27">
        <v>3705</v>
      </c>
      <c r="R32" s="27">
        <v>2747</v>
      </c>
      <c r="S32" s="27">
        <v>2379</v>
      </c>
      <c r="T32" s="25">
        <v>840</v>
      </c>
      <c r="U32" s="25">
        <v>1021</v>
      </c>
      <c r="V32" s="25">
        <v>748</v>
      </c>
      <c r="W32" s="25">
        <v>2196.4</v>
      </c>
      <c r="X32" s="25">
        <v>201.2</v>
      </c>
      <c r="Y32" s="51">
        <v>1.498</v>
      </c>
      <c r="Z32" s="51">
        <v>6</v>
      </c>
      <c r="AA32" s="51">
        <v>0</v>
      </c>
      <c r="AB32" s="51">
        <v>0</v>
      </c>
      <c r="AC32" s="51">
        <v>0</v>
      </c>
      <c r="AD32" s="51">
        <v>0</v>
      </c>
      <c r="AE32" s="51">
        <v>2.14</v>
      </c>
      <c r="AF32" s="51">
        <v>2.2999999999999998</v>
      </c>
    </row>
    <row r="33" spans="1:32" x14ac:dyDescent="0.2">
      <c r="A33" s="7" t="s">
        <v>155</v>
      </c>
      <c r="B33" s="46">
        <v>35912332</v>
      </c>
      <c r="C33" s="46">
        <v>41418660</v>
      </c>
      <c r="D33" s="46">
        <v>39354956</v>
      </c>
      <c r="E33" s="46">
        <v>38577060</v>
      </c>
      <c r="F33" s="46">
        <v>38319472</v>
      </c>
      <c r="G33" s="46">
        <v>38150300</v>
      </c>
      <c r="H33" s="46">
        <v>32065590</v>
      </c>
      <c r="I33" s="46">
        <v>29941706</v>
      </c>
      <c r="J33" s="46">
        <v>32533476</v>
      </c>
      <c r="K33" s="46">
        <v>32052890</v>
      </c>
      <c r="L33" s="46">
        <v>25384853</v>
      </c>
      <c r="M33" s="46">
        <v>23219401</v>
      </c>
      <c r="N33" s="47">
        <v>20360</v>
      </c>
      <c r="O33" s="27">
        <v>18557</v>
      </c>
      <c r="P33" s="27">
        <v>16603</v>
      </c>
      <c r="Q33" s="27">
        <v>15743</v>
      </c>
      <c r="R33" s="27">
        <v>13826</v>
      </c>
      <c r="S33" s="27">
        <v>12160</v>
      </c>
      <c r="T33" s="25">
        <v>10377</v>
      </c>
      <c r="U33" s="25">
        <v>10250</v>
      </c>
      <c r="V33" s="25">
        <v>9405</v>
      </c>
      <c r="W33" s="25">
        <v>9201.7000000000007</v>
      </c>
      <c r="X33" s="25">
        <v>6192.4</v>
      </c>
      <c r="Y33" s="51">
        <v>7183.4650000000001</v>
      </c>
      <c r="Z33" s="51">
        <v>6114</v>
      </c>
      <c r="AA33" s="51">
        <v>6183</v>
      </c>
      <c r="AB33" s="51">
        <v>5178.7</v>
      </c>
      <c r="AC33" s="51">
        <v>5328.9</v>
      </c>
      <c r="AD33" s="52">
        <v>7371.1</v>
      </c>
      <c r="AE33" s="52">
        <v>6827.1</v>
      </c>
      <c r="AF33" s="52">
        <v>6192.1</v>
      </c>
    </row>
    <row r="34" spans="1:32" x14ac:dyDescent="0.2">
      <c r="A34" s="7" t="s">
        <v>156</v>
      </c>
      <c r="B34" s="46">
        <v>35918944</v>
      </c>
      <c r="C34" s="46">
        <v>41430028</v>
      </c>
      <c r="D34" s="46">
        <v>39374020</v>
      </c>
      <c r="E34" s="46">
        <v>38592076</v>
      </c>
      <c r="F34" s="46">
        <v>38334720</v>
      </c>
      <c r="G34" s="46">
        <v>38161832</v>
      </c>
      <c r="H34" s="46">
        <v>32081766</v>
      </c>
      <c r="I34" s="46">
        <v>31108996</v>
      </c>
      <c r="J34" s="46">
        <v>37680308</v>
      </c>
      <c r="K34" s="46">
        <v>38204065</v>
      </c>
      <c r="L34" s="46">
        <v>31165651</v>
      </c>
      <c r="M34" s="46">
        <v>29375706</v>
      </c>
      <c r="N34" s="47">
        <v>26360</v>
      </c>
      <c r="O34" s="27">
        <v>23939</v>
      </c>
      <c r="P34" s="27">
        <v>20541</v>
      </c>
      <c r="Q34" s="27">
        <v>19447</v>
      </c>
      <c r="R34" s="27">
        <v>16573</v>
      </c>
      <c r="S34" s="27">
        <v>14539</v>
      </c>
      <c r="T34" s="25">
        <v>11217</v>
      </c>
      <c r="U34" s="25">
        <v>11270</v>
      </c>
      <c r="V34" s="25">
        <v>10153</v>
      </c>
      <c r="W34" s="25">
        <v>11398.2</v>
      </c>
      <c r="X34" s="25">
        <v>6393.6</v>
      </c>
      <c r="Y34" s="51">
        <v>7184.9629999999997</v>
      </c>
      <c r="Z34" s="51">
        <v>6120</v>
      </c>
      <c r="AA34" s="51">
        <v>6183</v>
      </c>
      <c r="AB34" s="51">
        <v>5178.8999999999996</v>
      </c>
      <c r="AC34" s="51">
        <v>5328.9</v>
      </c>
      <c r="AD34" s="52">
        <v>7371.2</v>
      </c>
      <c r="AE34" s="52">
        <v>6829.2</v>
      </c>
      <c r="AF34" s="52">
        <v>6194.4</v>
      </c>
    </row>
    <row r="35" spans="1:32" ht="28.5" customHeight="1" x14ac:dyDescent="0.2">
      <c r="A35" s="7" t="s">
        <v>157</v>
      </c>
      <c r="B35" s="46">
        <v>193253</v>
      </c>
      <c r="C35" s="46">
        <v>143967</v>
      </c>
      <c r="D35" s="46">
        <v>363769</v>
      </c>
      <c r="E35" s="46">
        <v>995741</v>
      </c>
      <c r="F35" s="46">
        <v>944987</v>
      </c>
      <c r="G35" s="46">
        <v>1993203</v>
      </c>
      <c r="H35" s="46">
        <v>1761762</v>
      </c>
      <c r="I35" s="46">
        <v>2141468</v>
      </c>
      <c r="J35" s="46">
        <v>1190526</v>
      </c>
      <c r="K35" s="46">
        <v>1113685</v>
      </c>
      <c r="L35" s="46">
        <v>1152373</v>
      </c>
      <c r="M35" s="46">
        <v>1179242</v>
      </c>
      <c r="N35" s="47">
        <v>1650</v>
      </c>
      <c r="O35" s="27">
        <v>1552</v>
      </c>
      <c r="P35" s="27">
        <v>1648</v>
      </c>
      <c r="Q35" s="27">
        <v>1608</v>
      </c>
      <c r="R35" s="27">
        <v>1688</v>
      </c>
      <c r="S35" s="27">
        <v>1174</v>
      </c>
      <c r="T35" s="25">
        <v>1300</v>
      </c>
      <c r="U35" s="25">
        <v>1659</v>
      </c>
      <c r="V35" s="25">
        <v>1882</v>
      </c>
      <c r="W35" s="25">
        <v>1313.3</v>
      </c>
      <c r="X35" s="25">
        <v>1605.2</v>
      </c>
      <c r="Y35" s="51">
        <v>809.75900000000001</v>
      </c>
      <c r="Z35" s="51">
        <v>145</v>
      </c>
      <c r="AA35" s="51">
        <v>242</v>
      </c>
      <c r="AB35" s="51">
        <v>158.1</v>
      </c>
      <c r="AC35" s="51">
        <v>188.8</v>
      </c>
      <c r="AD35" s="52">
        <v>819</v>
      </c>
      <c r="AE35" s="52">
        <v>253.56</v>
      </c>
      <c r="AF35" s="52">
        <v>243.27</v>
      </c>
    </row>
    <row r="36" spans="1:32" x14ac:dyDescent="0.2">
      <c r="A36" s="7" t="s">
        <v>158</v>
      </c>
      <c r="B36" s="46">
        <v>1117455</v>
      </c>
      <c r="C36" s="46">
        <v>848387</v>
      </c>
      <c r="D36" s="46">
        <v>823672</v>
      </c>
      <c r="E36" s="46">
        <v>1474743</v>
      </c>
      <c r="F36" s="46">
        <v>1319403</v>
      </c>
      <c r="G36" s="46">
        <v>2335040</v>
      </c>
      <c r="H36" s="46">
        <v>2209245</v>
      </c>
      <c r="I36" s="46">
        <v>2314390</v>
      </c>
      <c r="J36" s="46">
        <v>1145895</v>
      </c>
      <c r="K36" s="46">
        <v>1215423</v>
      </c>
      <c r="L36" s="46">
        <v>992319</v>
      </c>
      <c r="M36" s="46">
        <v>1479196</v>
      </c>
      <c r="N36" s="47">
        <v>1851</v>
      </c>
      <c r="O36" s="27">
        <v>1656</v>
      </c>
      <c r="P36" s="27">
        <v>1677</v>
      </c>
      <c r="Q36" s="27">
        <v>1598</v>
      </c>
      <c r="R36" s="27">
        <v>1814</v>
      </c>
      <c r="S36" s="27">
        <v>1078</v>
      </c>
      <c r="T36" s="25">
        <v>1565</v>
      </c>
      <c r="U36" s="25">
        <v>2004</v>
      </c>
      <c r="V36" s="25">
        <v>2138</v>
      </c>
      <c r="W36" s="25">
        <v>1314.1</v>
      </c>
      <c r="X36" s="25">
        <v>1773</v>
      </c>
      <c r="Y36" s="51">
        <v>781.23099999999999</v>
      </c>
      <c r="Z36" s="51">
        <v>117</v>
      </c>
      <c r="AA36" s="51">
        <v>153</v>
      </c>
      <c r="AB36" s="51">
        <v>68.599999999999994</v>
      </c>
      <c r="AC36" s="51">
        <v>85.9</v>
      </c>
      <c r="AD36" s="52">
        <v>110.06</v>
      </c>
      <c r="AE36" s="52">
        <v>167.84</v>
      </c>
      <c r="AF36" s="52">
        <v>180.65</v>
      </c>
    </row>
    <row r="37" spans="1:32" x14ac:dyDescent="0.2">
      <c r="A37" s="7" t="s">
        <v>159</v>
      </c>
      <c r="B37" s="46">
        <v>1310708</v>
      </c>
      <c r="C37" s="46">
        <v>992354</v>
      </c>
      <c r="D37" s="46">
        <v>1187441</v>
      </c>
      <c r="E37" s="46">
        <v>2470484</v>
      </c>
      <c r="F37" s="46">
        <v>2264390</v>
      </c>
      <c r="G37" s="46">
        <v>4328243</v>
      </c>
      <c r="H37" s="46">
        <v>3971007</v>
      </c>
      <c r="I37" s="46">
        <v>4455858</v>
      </c>
      <c r="J37" s="46">
        <v>2336421</v>
      </c>
      <c r="K37" s="46">
        <v>2329108</v>
      </c>
      <c r="L37" s="46">
        <v>2144692</v>
      </c>
      <c r="M37" s="46">
        <v>2658438</v>
      </c>
      <c r="N37" s="47">
        <v>3501</v>
      </c>
      <c r="O37" s="27">
        <v>3208</v>
      </c>
      <c r="P37" s="27">
        <v>3325</v>
      </c>
      <c r="Q37" s="27">
        <v>3206</v>
      </c>
      <c r="R37" s="27">
        <v>3502</v>
      </c>
      <c r="S37" s="27">
        <v>2252</v>
      </c>
      <c r="T37" s="25">
        <v>2864</v>
      </c>
      <c r="U37" s="25">
        <v>3663</v>
      </c>
      <c r="V37" s="25">
        <v>4020</v>
      </c>
      <c r="W37" s="25">
        <v>2627.6</v>
      </c>
      <c r="X37" s="25">
        <v>3378.2</v>
      </c>
      <c r="Y37" s="51">
        <v>1590.99</v>
      </c>
      <c r="Z37" s="51">
        <v>262</v>
      </c>
      <c r="AA37" s="51">
        <v>395</v>
      </c>
      <c r="AB37" s="51">
        <v>226.7</v>
      </c>
      <c r="AC37" s="51">
        <v>274.70000000000005</v>
      </c>
      <c r="AD37" s="52">
        <v>929.06</v>
      </c>
      <c r="AE37" s="52">
        <v>421.4</v>
      </c>
      <c r="AF37" s="52">
        <v>423.92</v>
      </c>
    </row>
    <row r="38" spans="1:32" ht="34.5" customHeight="1" x14ac:dyDescent="0.2">
      <c r="A38" s="7" t="s">
        <v>118</v>
      </c>
      <c r="B38" s="46">
        <v>619205</v>
      </c>
      <c r="C38" s="46">
        <v>685283</v>
      </c>
      <c r="D38" s="46">
        <v>679153</v>
      </c>
      <c r="E38" s="46">
        <v>702508</v>
      </c>
      <c r="F38" s="46">
        <v>637483</v>
      </c>
      <c r="G38" s="46">
        <v>659325</v>
      </c>
      <c r="H38" s="46">
        <v>677070</v>
      </c>
      <c r="I38" s="46">
        <v>671704</v>
      </c>
      <c r="J38" s="46">
        <v>683175</v>
      </c>
      <c r="K38" s="46">
        <v>621524</v>
      </c>
      <c r="L38" s="46">
        <v>602748</v>
      </c>
      <c r="M38" s="46">
        <v>551314</v>
      </c>
      <c r="N38" s="47">
        <v>605</v>
      </c>
      <c r="O38" s="10">
        <v>599</v>
      </c>
      <c r="P38" s="27">
        <v>568</v>
      </c>
      <c r="Q38" s="27">
        <v>549</v>
      </c>
      <c r="R38" s="27">
        <v>562</v>
      </c>
      <c r="S38" s="27">
        <v>551</v>
      </c>
      <c r="T38" s="25">
        <v>524</v>
      </c>
      <c r="U38" s="25">
        <v>520</v>
      </c>
      <c r="V38" s="25">
        <v>437.21899999999999</v>
      </c>
      <c r="W38" s="25">
        <v>368</v>
      </c>
      <c r="X38" s="25">
        <v>408.5</v>
      </c>
      <c r="Y38" s="51">
        <v>321.18400000000003</v>
      </c>
      <c r="Z38" s="51">
        <v>394</v>
      </c>
      <c r="AA38" s="51">
        <v>510</v>
      </c>
      <c r="AB38" s="51">
        <v>421.4</v>
      </c>
      <c r="AC38" s="51">
        <v>521.5</v>
      </c>
      <c r="AD38" s="52">
        <v>460.05</v>
      </c>
      <c r="AE38" s="52">
        <v>402.74</v>
      </c>
      <c r="AF38" s="52">
        <v>585.97</v>
      </c>
    </row>
    <row r="39" spans="1:32" x14ac:dyDescent="0.2">
      <c r="A39" s="7" t="s">
        <v>120</v>
      </c>
      <c r="B39" s="46">
        <v>39293</v>
      </c>
      <c r="C39" s="46">
        <v>51554</v>
      </c>
      <c r="D39" s="46">
        <v>44817</v>
      </c>
      <c r="E39" s="46">
        <v>75666</v>
      </c>
      <c r="F39" s="46">
        <v>87892</v>
      </c>
      <c r="G39" s="46">
        <v>85275</v>
      </c>
      <c r="H39" s="46">
        <v>92299</v>
      </c>
      <c r="I39" s="46">
        <v>90991</v>
      </c>
      <c r="J39" s="46">
        <v>100290</v>
      </c>
      <c r="K39" s="46">
        <v>102487</v>
      </c>
      <c r="L39" s="46">
        <v>111452</v>
      </c>
      <c r="M39" s="46">
        <v>134304</v>
      </c>
      <c r="N39" s="47">
        <v>122</v>
      </c>
      <c r="O39" s="10">
        <v>127</v>
      </c>
      <c r="P39" s="27">
        <v>97</v>
      </c>
      <c r="Q39" s="27">
        <v>122</v>
      </c>
      <c r="R39" s="27">
        <v>123</v>
      </c>
      <c r="S39" s="27">
        <v>146</v>
      </c>
      <c r="T39" s="25">
        <v>127</v>
      </c>
      <c r="U39" s="25">
        <v>151</v>
      </c>
      <c r="V39" s="25">
        <v>162.203</v>
      </c>
      <c r="W39" s="25">
        <v>154</v>
      </c>
      <c r="X39" s="25">
        <v>154.5</v>
      </c>
      <c r="Y39" s="51">
        <v>153.625</v>
      </c>
      <c r="Z39" s="51">
        <v>172</v>
      </c>
      <c r="AA39" s="51">
        <v>154</v>
      </c>
      <c r="AB39" s="51">
        <v>143.9</v>
      </c>
      <c r="AC39" s="51">
        <v>150.30000000000001</v>
      </c>
      <c r="AD39" s="52">
        <v>185.44</v>
      </c>
      <c r="AE39" s="52">
        <v>169.02</v>
      </c>
      <c r="AF39" s="52">
        <v>180.63</v>
      </c>
    </row>
    <row r="40" spans="1:32" x14ac:dyDescent="0.2">
      <c r="A40" s="7" t="s">
        <v>119</v>
      </c>
      <c r="B40" s="46">
        <v>658498</v>
      </c>
      <c r="C40" s="46">
        <v>736837</v>
      </c>
      <c r="D40" s="46">
        <v>723970</v>
      </c>
      <c r="E40" s="46">
        <v>778174</v>
      </c>
      <c r="F40" s="46">
        <v>725375</v>
      </c>
      <c r="G40" s="46">
        <v>744600</v>
      </c>
      <c r="H40" s="46">
        <v>769369</v>
      </c>
      <c r="I40" s="46">
        <v>762695</v>
      </c>
      <c r="J40" s="46">
        <v>783465</v>
      </c>
      <c r="K40" s="46">
        <v>724011</v>
      </c>
      <c r="L40" s="46">
        <v>714200</v>
      </c>
      <c r="M40" s="46">
        <v>685618</v>
      </c>
      <c r="N40" s="47">
        <v>727</v>
      </c>
      <c r="O40" s="10">
        <v>726</v>
      </c>
      <c r="P40" s="27">
        <v>665</v>
      </c>
      <c r="Q40" s="27">
        <v>671</v>
      </c>
      <c r="R40" s="27">
        <v>684</v>
      </c>
      <c r="S40" s="27">
        <v>697</v>
      </c>
      <c r="T40" s="25">
        <v>651</v>
      </c>
      <c r="U40" s="25">
        <v>671</v>
      </c>
      <c r="V40" s="25">
        <v>599.42200000000003</v>
      </c>
      <c r="W40" s="25">
        <v>521</v>
      </c>
      <c r="X40" s="25">
        <v>562.9</v>
      </c>
      <c r="Y40" s="51">
        <v>474.80900000000003</v>
      </c>
      <c r="Z40" s="51">
        <v>566</v>
      </c>
      <c r="AA40" s="51">
        <v>664</v>
      </c>
      <c r="AB40" s="51">
        <v>565.29999999999995</v>
      </c>
      <c r="AC40" s="51">
        <v>671.8</v>
      </c>
      <c r="AD40" s="52">
        <v>645.49</v>
      </c>
      <c r="AE40" s="52">
        <v>571.76</v>
      </c>
      <c r="AF40" s="52">
        <v>766.6</v>
      </c>
    </row>
    <row r="41" spans="1:32" ht="27.75" customHeight="1" x14ac:dyDescent="0.2">
      <c r="A41" s="7" t="s">
        <v>121</v>
      </c>
      <c r="B41" s="46">
        <v>1712882</v>
      </c>
      <c r="C41" s="46">
        <v>1296660</v>
      </c>
      <c r="D41" s="46">
        <v>906946</v>
      </c>
      <c r="E41" s="46">
        <v>808572</v>
      </c>
      <c r="F41" s="46">
        <v>732920</v>
      </c>
      <c r="G41" s="46">
        <v>763241</v>
      </c>
      <c r="H41" s="46">
        <v>390166</v>
      </c>
      <c r="I41" s="46">
        <v>1111914</v>
      </c>
      <c r="J41" s="46">
        <v>894416</v>
      </c>
      <c r="K41" s="46">
        <v>729967</v>
      </c>
      <c r="L41" s="46">
        <v>799453</v>
      </c>
      <c r="M41" s="46">
        <v>844874</v>
      </c>
      <c r="N41" s="47">
        <v>600</v>
      </c>
      <c r="O41" s="10">
        <v>390</v>
      </c>
      <c r="P41" s="27">
        <v>606</v>
      </c>
      <c r="Q41" s="27">
        <v>647</v>
      </c>
      <c r="R41" s="27">
        <v>468</v>
      </c>
      <c r="S41" s="27">
        <v>524</v>
      </c>
      <c r="T41" s="25">
        <v>482</v>
      </c>
      <c r="U41" s="25">
        <v>538</v>
      </c>
      <c r="V41" s="25">
        <v>541</v>
      </c>
      <c r="W41" s="25">
        <v>583.6</v>
      </c>
      <c r="X41" s="25">
        <v>589.4</v>
      </c>
      <c r="Y41" s="51">
        <v>768.41499999999996</v>
      </c>
      <c r="Z41" s="51">
        <v>950</v>
      </c>
      <c r="AA41" s="51">
        <v>695</v>
      </c>
      <c r="AB41" s="51">
        <v>841.6</v>
      </c>
      <c r="AC41" s="51">
        <v>732</v>
      </c>
      <c r="AD41" s="52">
        <v>712.63</v>
      </c>
      <c r="AE41" s="52">
        <v>582.4</v>
      </c>
      <c r="AF41" s="52">
        <v>637.29</v>
      </c>
    </row>
    <row r="42" spans="1:32" x14ac:dyDescent="0.2">
      <c r="A42" s="7" t="s">
        <v>122</v>
      </c>
      <c r="B42" s="46">
        <v>310620</v>
      </c>
      <c r="C42" s="46">
        <v>536029</v>
      </c>
      <c r="D42" s="46">
        <v>560262</v>
      </c>
      <c r="E42" s="46">
        <v>615133</v>
      </c>
      <c r="F42" s="46">
        <v>570873</v>
      </c>
      <c r="G42" s="46">
        <v>694386</v>
      </c>
      <c r="H42" s="46">
        <v>428577</v>
      </c>
      <c r="I42" s="46">
        <v>1706186</v>
      </c>
      <c r="J42" s="46">
        <v>1315053</v>
      </c>
      <c r="K42" s="46">
        <v>393082</v>
      </c>
      <c r="L42" s="46">
        <v>539805</v>
      </c>
      <c r="M42" s="46">
        <v>497831</v>
      </c>
      <c r="N42" s="47">
        <v>451</v>
      </c>
      <c r="O42" s="10">
        <v>286</v>
      </c>
      <c r="P42" s="27">
        <v>322</v>
      </c>
      <c r="Q42" s="27">
        <v>300</v>
      </c>
      <c r="R42" s="27">
        <v>321</v>
      </c>
      <c r="S42" s="27">
        <v>347</v>
      </c>
      <c r="T42" s="25">
        <v>315</v>
      </c>
      <c r="U42" s="25">
        <v>568</v>
      </c>
      <c r="V42" s="25">
        <v>513</v>
      </c>
      <c r="W42" s="25">
        <v>440.1</v>
      </c>
      <c r="X42" s="25">
        <v>381.7</v>
      </c>
      <c r="Y42" s="51">
        <v>608.41200000000003</v>
      </c>
      <c r="Z42" s="51">
        <v>518</v>
      </c>
      <c r="AA42" s="51">
        <v>453</v>
      </c>
      <c r="AB42" s="51">
        <v>446.7</v>
      </c>
      <c r="AC42" s="51">
        <v>399.2</v>
      </c>
      <c r="AD42" s="52">
        <v>377.2</v>
      </c>
      <c r="AE42" s="52">
        <v>393.42</v>
      </c>
      <c r="AF42" s="52">
        <v>328.69</v>
      </c>
    </row>
    <row r="43" spans="1:32" x14ac:dyDescent="0.2">
      <c r="A43" s="7" t="s">
        <v>123</v>
      </c>
      <c r="B43" s="46">
        <v>2023502</v>
      </c>
      <c r="C43" s="46">
        <v>1832689</v>
      </c>
      <c r="D43" s="46">
        <v>1467208</v>
      </c>
      <c r="E43" s="46">
        <v>1423705</v>
      </c>
      <c r="F43" s="46">
        <v>1303793</v>
      </c>
      <c r="G43" s="46">
        <v>1457627</v>
      </c>
      <c r="H43" s="46">
        <v>818743</v>
      </c>
      <c r="I43" s="46">
        <v>2818100</v>
      </c>
      <c r="J43" s="46">
        <v>2209469</v>
      </c>
      <c r="K43" s="46">
        <v>1123049</v>
      </c>
      <c r="L43" s="46">
        <v>1339258</v>
      </c>
      <c r="M43" s="46">
        <v>1342705</v>
      </c>
      <c r="N43" s="47">
        <v>1051</v>
      </c>
      <c r="O43" s="10">
        <v>676</v>
      </c>
      <c r="P43" s="27">
        <v>928</v>
      </c>
      <c r="Q43" s="27">
        <v>947</v>
      </c>
      <c r="R43" s="27">
        <v>790</v>
      </c>
      <c r="S43" s="27">
        <v>871</v>
      </c>
      <c r="T43" s="25">
        <v>797</v>
      </c>
      <c r="U43" s="25">
        <v>1107</v>
      </c>
      <c r="V43" s="25">
        <v>1054</v>
      </c>
      <c r="W43" s="25">
        <v>1023.7</v>
      </c>
      <c r="X43" s="25">
        <v>971.1</v>
      </c>
      <c r="Y43" s="51">
        <v>1376.827</v>
      </c>
      <c r="Z43" s="51">
        <v>1468</v>
      </c>
      <c r="AA43" s="51">
        <v>1148</v>
      </c>
      <c r="AB43" s="51">
        <v>1288.2</v>
      </c>
      <c r="AC43" s="51">
        <v>1131.2</v>
      </c>
      <c r="AD43" s="52">
        <v>1089.8</v>
      </c>
      <c r="AE43" s="52">
        <v>975.82</v>
      </c>
      <c r="AF43" s="52">
        <v>965.98</v>
      </c>
    </row>
    <row r="44" spans="1:32" ht="28.5" customHeight="1" x14ac:dyDescent="0.2">
      <c r="A44" s="7" t="s">
        <v>124</v>
      </c>
      <c r="B44" s="46">
        <v>2096266</v>
      </c>
      <c r="C44" s="46">
        <v>2094377</v>
      </c>
      <c r="D44" s="46">
        <v>2064458</v>
      </c>
      <c r="E44" s="46">
        <v>2007592</v>
      </c>
      <c r="F44" s="46">
        <v>2062830</v>
      </c>
      <c r="G44" s="46">
        <v>2203422</v>
      </c>
      <c r="H44" s="46">
        <v>2195231</v>
      </c>
      <c r="I44" s="46">
        <v>2111020</v>
      </c>
      <c r="J44" s="46">
        <v>1989425</v>
      </c>
      <c r="K44" s="46">
        <v>1898293</v>
      </c>
      <c r="L44" s="46">
        <v>2118314</v>
      </c>
      <c r="M44" s="46">
        <v>1980245</v>
      </c>
      <c r="N44" s="47">
        <v>1794</v>
      </c>
      <c r="O44" s="27">
        <v>2095</v>
      </c>
      <c r="P44" s="27">
        <v>2401</v>
      </c>
      <c r="Q44" s="27">
        <v>2407</v>
      </c>
      <c r="R44" s="27">
        <v>2541</v>
      </c>
      <c r="S44" s="27">
        <v>2407</v>
      </c>
      <c r="T44" s="25">
        <v>2227</v>
      </c>
      <c r="U44" s="25">
        <v>2035</v>
      </c>
      <c r="V44" s="25">
        <v>1966</v>
      </c>
      <c r="W44" s="25">
        <v>2084</v>
      </c>
      <c r="X44" s="25">
        <v>2054.6999999999998</v>
      </c>
      <c r="Y44" s="51">
        <v>1986.2460000000001</v>
      </c>
      <c r="Z44" s="51">
        <v>2031</v>
      </c>
      <c r="AA44" s="51">
        <v>1728</v>
      </c>
      <c r="AB44" s="51">
        <v>1947.7</v>
      </c>
      <c r="AC44" s="51">
        <v>2021.5</v>
      </c>
      <c r="AD44" s="51">
        <v>2059.5</v>
      </c>
      <c r="AE44" s="51">
        <v>1660.9</v>
      </c>
      <c r="AF44" s="51">
        <v>1702.5</v>
      </c>
    </row>
    <row r="45" spans="1:32" x14ac:dyDescent="0.2">
      <c r="A45" s="7" t="s">
        <v>125</v>
      </c>
      <c r="B45" s="46">
        <v>1960654</v>
      </c>
      <c r="C45" s="46">
        <v>1884249</v>
      </c>
      <c r="D45" s="46">
        <v>1735215</v>
      </c>
      <c r="E45" s="46">
        <v>1471166</v>
      </c>
      <c r="F45" s="46">
        <v>1580763</v>
      </c>
      <c r="G45" s="46">
        <v>1788763</v>
      </c>
      <c r="H45" s="46">
        <v>1817596</v>
      </c>
      <c r="I45" s="46">
        <v>1675271</v>
      </c>
      <c r="J45" s="46">
        <v>1378692</v>
      </c>
      <c r="K45" s="46">
        <v>1479126</v>
      </c>
      <c r="L45" s="46">
        <v>1727104</v>
      </c>
      <c r="M45" s="46">
        <v>1664795</v>
      </c>
      <c r="N45" s="47">
        <v>1438</v>
      </c>
      <c r="O45" s="27">
        <v>1793</v>
      </c>
      <c r="P45" s="27">
        <v>2208</v>
      </c>
      <c r="Q45" s="27">
        <v>2256</v>
      </c>
      <c r="R45" s="27">
        <v>2591</v>
      </c>
      <c r="S45" s="27">
        <v>2426</v>
      </c>
      <c r="T45" s="25">
        <v>1343</v>
      </c>
      <c r="U45" s="25">
        <v>2129</v>
      </c>
      <c r="V45" s="25">
        <v>2198</v>
      </c>
      <c r="W45" s="25">
        <v>2409.1999999999998</v>
      </c>
      <c r="X45" s="25">
        <v>2208.8000000000002</v>
      </c>
      <c r="Y45" s="51">
        <v>2244.9070000000002</v>
      </c>
      <c r="Z45" s="51">
        <v>2345</v>
      </c>
      <c r="AA45" s="51">
        <v>2042</v>
      </c>
      <c r="AB45" s="51">
        <v>2110.6999999999998</v>
      </c>
      <c r="AC45" s="51">
        <v>2116.3000000000002</v>
      </c>
      <c r="AD45" s="51">
        <v>2135</v>
      </c>
      <c r="AE45" s="51">
        <v>1725.6</v>
      </c>
      <c r="AF45" s="51">
        <v>1860.6</v>
      </c>
    </row>
    <row r="46" spans="1:32" ht="15.75" customHeight="1" x14ac:dyDescent="0.2">
      <c r="A46" s="7" t="s">
        <v>126</v>
      </c>
      <c r="B46" s="46">
        <v>4056920</v>
      </c>
      <c r="C46" s="46">
        <v>3978626</v>
      </c>
      <c r="D46" s="46">
        <v>3799673</v>
      </c>
      <c r="E46" s="46">
        <v>3478758</v>
      </c>
      <c r="F46" s="46">
        <v>3643593</v>
      </c>
      <c r="G46" s="46">
        <v>3992185</v>
      </c>
      <c r="H46" s="46">
        <v>4012827</v>
      </c>
      <c r="I46" s="46">
        <v>3786291</v>
      </c>
      <c r="J46" s="46">
        <v>3368117</v>
      </c>
      <c r="K46" s="46">
        <v>3377419</v>
      </c>
      <c r="L46" s="46">
        <v>3845418</v>
      </c>
      <c r="M46" s="46">
        <v>3645040</v>
      </c>
      <c r="N46" s="47">
        <v>3233</v>
      </c>
      <c r="O46" s="27">
        <v>3888</v>
      </c>
      <c r="P46" s="27">
        <v>4609</v>
      </c>
      <c r="Q46" s="27">
        <v>4663</v>
      </c>
      <c r="R46" s="27">
        <v>5131</v>
      </c>
      <c r="S46" s="27">
        <v>4833</v>
      </c>
      <c r="T46" s="25">
        <v>4570</v>
      </c>
      <c r="U46" s="25">
        <v>4164</v>
      </c>
      <c r="V46" s="25">
        <v>4165</v>
      </c>
      <c r="W46" s="25">
        <v>4493.2</v>
      </c>
      <c r="X46" s="25">
        <v>4263.5</v>
      </c>
      <c r="Y46" s="51">
        <v>4231.1530000000002</v>
      </c>
      <c r="Z46" s="51">
        <v>4376</v>
      </c>
      <c r="AA46" s="51">
        <v>3770</v>
      </c>
      <c r="AB46" s="51">
        <v>4058.4</v>
      </c>
      <c r="AC46" s="51">
        <v>4137.8</v>
      </c>
      <c r="AD46" s="51">
        <v>4194.5</v>
      </c>
      <c r="AE46" s="51">
        <v>3386.5</v>
      </c>
      <c r="AF46" s="51">
        <v>3563.1</v>
      </c>
    </row>
    <row r="47" spans="1:32" ht="33" customHeight="1" x14ac:dyDescent="0.2">
      <c r="A47" s="7" t="s">
        <v>127</v>
      </c>
      <c r="B47" s="46">
        <v>392212</v>
      </c>
      <c r="C47" s="46">
        <v>466155</v>
      </c>
      <c r="D47" s="46">
        <v>439553</v>
      </c>
      <c r="E47" s="46">
        <v>451843</v>
      </c>
      <c r="F47" s="46">
        <v>488337</v>
      </c>
      <c r="G47" s="46">
        <v>432986</v>
      </c>
      <c r="H47" s="46">
        <v>412200</v>
      </c>
      <c r="I47" s="46">
        <v>402267</v>
      </c>
      <c r="J47" s="46">
        <v>446884</v>
      </c>
      <c r="K47" s="46">
        <v>515381</v>
      </c>
      <c r="L47" s="46">
        <v>467850</v>
      </c>
      <c r="M47" s="46">
        <v>486122</v>
      </c>
      <c r="N47" s="47">
        <v>578</v>
      </c>
      <c r="O47" s="10">
        <v>585</v>
      </c>
      <c r="P47" s="27">
        <v>466</v>
      </c>
      <c r="Q47" s="27">
        <v>397</v>
      </c>
      <c r="R47" s="27">
        <v>366</v>
      </c>
      <c r="S47" s="27">
        <v>413</v>
      </c>
      <c r="T47" s="25">
        <v>283</v>
      </c>
      <c r="U47" s="25">
        <v>395</v>
      </c>
      <c r="V47" s="25">
        <v>359.14</v>
      </c>
      <c r="W47" s="25">
        <v>336</v>
      </c>
      <c r="X47" s="25">
        <v>417.3</v>
      </c>
      <c r="Y47" s="51">
        <v>451.58199999999999</v>
      </c>
      <c r="Z47" s="51">
        <v>387</v>
      </c>
      <c r="AA47" s="51">
        <v>362</v>
      </c>
      <c r="AB47" s="51">
        <v>347.8</v>
      </c>
      <c r="AC47" s="51">
        <v>402.2</v>
      </c>
      <c r="AD47" s="52">
        <v>361.86</v>
      </c>
      <c r="AE47" s="52">
        <v>322.39</v>
      </c>
      <c r="AF47" s="52">
        <v>356.21</v>
      </c>
    </row>
    <row r="48" spans="1:32" x14ac:dyDescent="0.2">
      <c r="A48" s="7" t="s">
        <v>128</v>
      </c>
      <c r="B48" s="46">
        <v>221972</v>
      </c>
      <c r="C48" s="46">
        <v>207534</v>
      </c>
      <c r="D48" s="46">
        <v>166283</v>
      </c>
      <c r="E48" s="46">
        <v>157474</v>
      </c>
      <c r="F48" s="46">
        <v>190416</v>
      </c>
      <c r="G48" s="46">
        <v>219107</v>
      </c>
      <c r="H48" s="46">
        <v>203345</v>
      </c>
      <c r="I48" s="46">
        <v>158260</v>
      </c>
      <c r="J48" s="46">
        <v>167421</v>
      </c>
      <c r="K48" s="46">
        <v>206079</v>
      </c>
      <c r="L48" s="46">
        <v>207203</v>
      </c>
      <c r="M48" s="46">
        <v>241733</v>
      </c>
      <c r="N48" s="47">
        <v>220</v>
      </c>
      <c r="O48" s="10">
        <v>192</v>
      </c>
      <c r="P48" s="27">
        <v>232</v>
      </c>
      <c r="Q48" s="27">
        <v>244</v>
      </c>
      <c r="R48" s="27">
        <v>216</v>
      </c>
      <c r="S48" s="27">
        <v>196</v>
      </c>
      <c r="T48" s="25">
        <v>140</v>
      </c>
      <c r="U48" s="25">
        <v>116</v>
      </c>
      <c r="V48" s="25">
        <v>128.685</v>
      </c>
      <c r="W48" s="25">
        <v>182</v>
      </c>
      <c r="X48" s="25">
        <v>170.7</v>
      </c>
      <c r="Y48" s="51">
        <v>149.684</v>
      </c>
      <c r="Z48" s="51">
        <v>106</v>
      </c>
      <c r="AA48" s="51">
        <v>142</v>
      </c>
      <c r="AB48" s="51">
        <v>96</v>
      </c>
      <c r="AC48" s="51">
        <v>132.1</v>
      </c>
      <c r="AD48" s="52">
        <v>172.1</v>
      </c>
      <c r="AE48" s="52">
        <v>236.63</v>
      </c>
      <c r="AF48" s="52">
        <v>233.01</v>
      </c>
    </row>
    <row r="49" spans="1:32" ht="15.75" customHeight="1" x14ac:dyDescent="0.2">
      <c r="A49" s="7" t="s">
        <v>129</v>
      </c>
      <c r="B49" s="46">
        <v>614184</v>
      </c>
      <c r="C49" s="46">
        <v>673689</v>
      </c>
      <c r="D49" s="46">
        <v>605836</v>
      </c>
      <c r="E49" s="46">
        <v>609317</v>
      </c>
      <c r="F49" s="46">
        <v>678753</v>
      </c>
      <c r="G49" s="46">
        <v>652093</v>
      </c>
      <c r="H49" s="46">
        <v>615545</v>
      </c>
      <c r="I49" s="46">
        <v>560527</v>
      </c>
      <c r="J49" s="46">
        <v>614305</v>
      </c>
      <c r="K49" s="46">
        <v>721460</v>
      </c>
      <c r="L49" s="46">
        <v>675053</v>
      </c>
      <c r="M49" s="46">
        <v>727855</v>
      </c>
      <c r="N49" s="47">
        <v>798</v>
      </c>
      <c r="O49" s="10">
        <v>777</v>
      </c>
      <c r="P49" s="27">
        <v>697</v>
      </c>
      <c r="Q49" s="27">
        <v>640</v>
      </c>
      <c r="R49" s="27">
        <v>582</v>
      </c>
      <c r="S49" s="27">
        <v>609</v>
      </c>
      <c r="T49" s="25">
        <v>423</v>
      </c>
      <c r="U49" s="25">
        <v>512</v>
      </c>
      <c r="V49" s="25">
        <v>487.82499999999999</v>
      </c>
      <c r="W49" s="25">
        <v>518</v>
      </c>
      <c r="X49" s="25">
        <v>588</v>
      </c>
      <c r="Y49" s="51">
        <v>600.96600000000001</v>
      </c>
      <c r="Z49" s="51">
        <v>493</v>
      </c>
      <c r="AA49" s="51">
        <v>504</v>
      </c>
      <c r="AB49" s="51">
        <v>443.7</v>
      </c>
      <c r="AC49" s="51">
        <v>534.29999999999995</v>
      </c>
      <c r="AD49" s="52">
        <v>533.97</v>
      </c>
      <c r="AE49" s="52">
        <v>559.02</v>
      </c>
      <c r="AF49" s="52">
        <v>589.22</v>
      </c>
    </row>
    <row r="50" spans="1:32" ht="26.25" customHeight="1" x14ac:dyDescent="0.2">
      <c r="A50" s="7" t="s">
        <v>130</v>
      </c>
      <c r="B50" s="46">
        <v>849348</v>
      </c>
      <c r="C50" s="46">
        <v>814036</v>
      </c>
      <c r="D50" s="46">
        <v>780710</v>
      </c>
      <c r="E50" s="46">
        <v>832340</v>
      </c>
      <c r="F50" s="46">
        <v>777129</v>
      </c>
      <c r="G50" s="46">
        <v>868455</v>
      </c>
      <c r="H50" s="46">
        <v>835223</v>
      </c>
      <c r="I50" s="46">
        <v>811870</v>
      </c>
      <c r="J50" s="46">
        <v>801889</v>
      </c>
      <c r="K50" s="46">
        <v>757033</v>
      </c>
      <c r="L50" s="46">
        <v>829082</v>
      </c>
      <c r="M50" s="46">
        <v>827081</v>
      </c>
      <c r="N50" s="47">
        <v>753</v>
      </c>
      <c r="O50" s="10">
        <v>766</v>
      </c>
      <c r="P50" s="27">
        <v>905</v>
      </c>
      <c r="Q50" s="27">
        <v>918</v>
      </c>
      <c r="R50" s="27">
        <v>809</v>
      </c>
      <c r="S50" s="27">
        <v>788</v>
      </c>
      <c r="T50" s="25">
        <v>632</v>
      </c>
      <c r="U50" s="25">
        <v>754</v>
      </c>
      <c r="V50" s="25">
        <v>721</v>
      </c>
      <c r="W50" s="25">
        <v>666.1</v>
      </c>
      <c r="X50" s="25">
        <v>704</v>
      </c>
      <c r="Y50" s="51">
        <v>463.44499999999999</v>
      </c>
      <c r="Z50" s="51">
        <v>468</v>
      </c>
      <c r="AA50" s="51">
        <v>449</v>
      </c>
      <c r="AB50" s="51">
        <v>499.7</v>
      </c>
      <c r="AC50" s="51">
        <v>545.70000000000005</v>
      </c>
      <c r="AD50" s="51">
        <v>475.19</v>
      </c>
      <c r="AE50" s="51">
        <v>407.73</v>
      </c>
      <c r="AF50" s="51">
        <v>430.68</v>
      </c>
    </row>
    <row r="51" spans="1:32" x14ac:dyDescent="0.2">
      <c r="A51" s="7" t="s">
        <v>131</v>
      </c>
      <c r="B51" s="46">
        <v>358172</v>
      </c>
      <c r="C51" s="46">
        <v>241085</v>
      </c>
      <c r="D51" s="46">
        <v>202629</v>
      </c>
      <c r="E51" s="46">
        <v>199585</v>
      </c>
      <c r="F51" s="46">
        <v>298867</v>
      </c>
      <c r="G51" s="46">
        <v>281586</v>
      </c>
      <c r="H51" s="46">
        <v>288894</v>
      </c>
      <c r="I51" s="46">
        <v>249568</v>
      </c>
      <c r="J51" s="46">
        <v>270076</v>
      </c>
      <c r="K51" s="46">
        <v>289549</v>
      </c>
      <c r="L51" s="46">
        <v>271824</v>
      </c>
      <c r="M51" s="46">
        <v>275777</v>
      </c>
      <c r="N51" s="47">
        <v>264</v>
      </c>
      <c r="O51" s="10">
        <v>291</v>
      </c>
      <c r="P51" s="27">
        <v>317</v>
      </c>
      <c r="Q51" s="27">
        <v>284</v>
      </c>
      <c r="R51" s="27">
        <v>226</v>
      </c>
      <c r="S51" s="27">
        <v>190</v>
      </c>
      <c r="T51" s="25">
        <v>177</v>
      </c>
      <c r="U51" s="25">
        <v>209</v>
      </c>
      <c r="V51" s="25">
        <v>208</v>
      </c>
      <c r="W51" s="25">
        <v>175.89999999999998</v>
      </c>
      <c r="X51" s="25">
        <v>111.4</v>
      </c>
      <c r="Y51" s="51">
        <v>53.76</v>
      </c>
      <c r="Z51" s="51">
        <v>47</v>
      </c>
      <c r="AA51" s="51">
        <v>84</v>
      </c>
      <c r="AB51" s="51">
        <v>66.599999999999994</v>
      </c>
      <c r="AC51" s="51">
        <v>61.9</v>
      </c>
      <c r="AD51" s="51">
        <v>28.26</v>
      </c>
      <c r="AE51" s="51">
        <v>22.76</v>
      </c>
      <c r="AF51" s="51">
        <v>20.86</v>
      </c>
    </row>
    <row r="52" spans="1:32" ht="15.75" customHeight="1" x14ac:dyDescent="0.2">
      <c r="A52" s="7" t="s">
        <v>132</v>
      </c>
      <c r="B52" s="46">
        <v>1207520</v>
      </c>
      <c r="C52" s="46">
        <v>1055121</v>
      </c>
      <c r="D52" s="46">
        <v>983339</v>
      </c>
      <c r="E52" s="46">
        <v>1031925</v>
      </c>
      <c r="F52" s="46">
        <v>1075996</v>
      </c>
      <c r="G52" s="46">
        <v>1150041</v>
      </c>
      <c r="H52" s="46">
        <v>1124117</v>
      </c>
      <c r="I52" s="46">
        <v>1061438</v>
      </c>
      <c r="J52" s="46">
        <v>1071965</v>
      </c>
      <c r="K52" s="46">
        <v>1046582</v>
      </c>
      <c r="L52" s="46">
        <v>1100906</v>
      </c>
      <c r="M52" s="46">
        <v>1102858</v>
      </c>
      <c r="N52" s="47">
        <v>1016</v>
      </c>
      <c r="O52" s="27">
        <v>1058</v>
      </c>
      <c r="P52" s="27">
        <v>1222</v>
      </c>
      <c r="Q52" s="27">
        <v>1202</v>
      </c>
      <c r="R52" s="27">
        <v>1035</v>
      </c>
      <c r="S52" s="27">
        <v>978</v>
      </c>
      <c r="T52" s="25">
        <v>810</v>
      </c>
      <c r="U52" s="25">
        <v>962</v>
      </c>
      <c r="V52" s="25">
        <v>929</v>
      </c>
      <c r="W52" s="25">
        <v>842</v>
      </c>
      <c r="X52" s="25">
        <v>815.4</v>
      </c>
      <c r="Y52" s="51">
        <v>517.20500000000004</v>
      </c>
      <c r="Z52" s="51">
        <v>515</v>
      </c>
      <c r="AA52" s="51">
        <v>534</v>
      </c>
      <c r="AB52" s="51">
        <v>566.4</v>
      </c>
      <c r="AC52" s="51">
        <v>607.6</v>
      </c>
      <c r="AD52" s="51">
        <v>503.45</v>
      </c>
      <c r="AE52" s="51">
        <v>430.49</v>
      </c>
      <c r="AF52" s="51">
        <v>451.54</v>
      </c>
    </row>
    <row r="53" spans="1:32" ht="29.25" customHeight="1" x14ac:dyDescent="0.2">
      <c r="A53" s="7" t="s">
        <v>133</v>
      </c>
      <c r="B53" s="46">
        <v>279283</v>
      </c>
      <c r="C53" s="46">
        <v>245109</v>
      </c>
      <c r="D53" s="46">
        <v>223166</v>
      </c>
      <c r="E53" s="46">
        <v>232657</v>
      </c>
      <c r="F53" s="46">
        <v>198289</v>
      </c>
      <c r="G53" s="46">
        <v>172871</v>
      </c>
      <c r="H53" s="46">
        <v>149713</v>
      </c>
      <c r="I53" s="46">
        <v>232989</v>
      </c>
      <c r="J53" s="46">
        <v>240175</v>
      </c>
      <c r="K53" s="46">
        <v>264238</v>
      </c>
      <c r="L53" s="46">
        <v>211634</v>
      </c>
      <c r="M53" s="46">
        <v>167828</v>
      </c>
      <c r="N53" s="47">
        <v>137</v>
      </c>
      <c r="O53" s="10">
        <v>150</v>
      </c>
      <c r="P53" s="27">
        <v>133</v>
      </c>
      <c r="Q53" s="27">
        <v>147</v>
      </c>
      <c r="R53" s="27">
        <v>144</v>
      </c>
      <c r="S53" s="27">
        <v>141</v>
      </c>
      <c r="T53" s="25">
        <v>120</v>
      </c>
      <c r="U53" s="25">
        <v>99</v>
      </c>
      <c r="V53" s="25">
        <v>61.024999999999999</v>
      </c>
      <c r="W53" s="25">
        <v>42</v>
      </c>
      <c r="X53" s="25">
        <v>37.200000000000003</v>
      </c>
      <c r="Y53" s="51">
        <v>49.404000000000003</v>
      </c>
      <c r="Z53" s="51">
        <v>58</v>
      </c>
      <c r="AA53" s="51">
        <v>28</v>
      </c>
      <c r="AB53" s="51">
        <v>22.5</v>
      </c>
      <c r="AC53" s="51">
        <v>11.6</v>
      </c>
      <c r="AD53" s="52">
        <v>29.48</v>
      </c>
      <c r="AE53" s="52">
        <v>23.36</v>
      </c>
      <c r="AF53" s="52">
        <v>16.23</v>
      </c>
    </row>
    <row r="54" spans="1:32" x14ac:dyDescent="0.2">
      <c r="A54" s="7" t="s">
        <v>134</v>
      </c>
      <c r="B54" s="46">
        <v>50129</v>
      </c>
      <c r="C54" s="46">
        <v>25584</v>
      </c>
      <c r="D54" s="46">
        <v>27379</v>
      </c>
      <c r="E54" s="46">
        <v>27912</v>
      </c>
      <c r="F54" s="46">
        <v>39572</v>
      </c>
      <c r="G54" s="46">
        <v>22035</v>
      </c>
      <c r="H54" s="46">
        <v>11511</v>
      </c>
      <c r="I54" s="46">
        <v>6817</v>
      </c>
      <c r="J54" s="46">
        <v>1851</v>
      </c>
      <c r="K54" s="46">
        <v>1291</v>
      </c>
      <c r="L54" s="46">
        <v>6294</v>
      </c>
      <c r="M54" s="46">
        <v>8309</v>
      </c>
      <c r="N54" s="47">
        <v>7</v>
      </c>
      <c r="O54" s="10">
        <v>9</v>
      </c>
      <c r="P54" s="27">
        <v>7</v>
      </c>
      <c r="Q54" s="27">
        <v>1</v>
      </c>
      <c r="R54" s="53" t="s">
        <v>37</v>
      </c>
      <c r="S54" s="27">
        <v>1</v>
      </c>
      <c r="T54" s="25">
        <v>6</v>
      </c>
      <c r="U54" s="25">
        <v>4</v>
      </c>
      <c r="V54" s="25">
        <v>13.252000000000001</v>
      </c>
      <c r="W54" s="25">
        <v>19</v>
      </c>
      <c r="X54" s="25">
        <v>23.2</v>
      </c>
      <c r="Y54" s="51">
        <v>12.087999999999999</v>
      </c>
      <c r="Z54" s="51">
        <v>5</v>
      </c>
      <c r="AA54" s="51">
        <v>5</v>
      </c>
      <c r="AB54" s="51">
        <v>8.6999999999999993</v>
      </c>
      <c r="AC54" s="51">
        <v>0</v>
      </c>
      <c r="AD54" s="52">
        <v>0</v>
      </c>
      <c r="AE54" s="52">
        <v>0</v>
      </c>
      <c r="AF54" s="52">
        <v>0</v>
      </c>
    </row>
    <row r="55" spans="1:32" x14ac:dyDescent="0.2">
      <c r="A55" s="7" t="s">
        <v>135</v>
      </c>
      <c r="B55" s="46">
        <v>329412</v>
      </c>
      <c r="C55" s="46">
        <v>270693</v>
      </c>
      <c r="D55" s="46">
        <v>250545</v>
      </c>
      <c r="E55" s="46">
        <v>260569</v>
      </c>
      <c r="F55" s="46">
        <v>237861</v>
      </c>
      <c r="G55" s="46">
        <v>194906</v>
      </c>
      <c r="H55" s="46">
        <v>161224</v>
      </c>
      <c r="I55" s="46">
        <v>239806</v>
      </c>
      <c r="J55" s="46">
        <v>242026</v>
      </c>
      <c r="K55" s="46">
        <v>265529</v>
      </c>
      <c r="L55" s="46">
        <v>217928</v>
      </c>
      <c r="M55" s="46">
        <v>176137</v>
      </c>
      <c r="N55" s="47">
        <v>144</v>
      </c>
      <c r="O55" s="10">
        <v>159</v>
      </c>
      <c r="P55" s="27">
        <v>139</v>
      </c>
      <c r="Q55" s="27">
        <v>148</v>
      </c>
      <c r="R55" s="27">
        <v>144</v>
      </c>
      <c r="S55" s="27">
        <v>141</v>
      </c>
      <c r="T55" s="25">
        <v>125</v>
      </c>
      <c r="U55" s="25">
        <v>103</v>
      </c>
      <c r="V55" s="25">
        <v>74.277000000000001</v>
      </c>
      <c r="W55" s="25">
        <v>62</v>
      </c>
      <c r="X55" s="25">
        <v>60.4</v>
      </c>
      <c r="Y55" s="51">
        <v>61.491999999999997</v>
      </c>
      <c r="Z55" s="51">
        <v>63</v>
      </c>
      <c r="AA55" s="51">
        <v>33</v>
      </c>
      <c r="AB55" s="51">
        <v>31.2</v>
      </c>
      <c r="AC55" s="51">
        <v>11.6</v>
      </c>
      <c r="AD55" s="52">
        <v>29.48</v>
      </c>
      <c r="AE55" s="52">
        <v>23.36</v>
      </c>
      <c r="AF55" s="52">
        <v>16.23</v>
      </c>
    </row>
    <row r="56" spans="1:32" ht="32.25" customHeight="1" x14ac:dyDescent="0.2">
      <c r="A56" s="7" t="s">
        <v>172</v>
      </c>
      <c r="B56" s="46">
        <v>4853112</v>
      </c>
      <c r="C56" s="46">
        <v>4239361</v>
      </c>
      <c r="D56" s="46">
        <v>4607114</v>
      </c>
      <c r="E56" s="46">
        <v>4477422</v>
      </c>
      <c r="F56" s="46">
        <v>4125193</v>
      </c>
      <c r="G56" s="46">
        <v>4127098</v>
      </c>
      <c r="H56" s="46">
        <v>4080618</v>
      </c>
      <c r="I56" s="46">
        <v>4283721</v>
      </c>
      <c r="J56" s="46">
        <v>3263326</v>
      </c>
      <c r="K56" s="46">
        <v>3929079</v>
      </c>
      <c r="L56" s="46">
        <v>4972300</v>
      </c>
      <c r="M56" s="46">
        <v>4865052</v>
      </c>
      <c r="N56" s="47">
        <v>4446</v>
      </c>
      <c r="O56" s="27">
        <v>3966</v>
      </c>
      <c r="P56" s="27">
        <v>4778</v>
      </c>
      <c r="Q56" s="27">
        <v>5353</v>
      </c>
      <c r="R56" s="27">
        <v>5431</v>
      </c>
      <c r="S56" s="27">
        <v>4856</v>
      </c>
      <c r="T56" s="25">
        <v>4309</v>
      </c>
      <c r="U56" s="25">
        <v>5015</v>
      </c>
      <c r="V56" s="25">
        <v>4307</v>
      </c>
      <c r="W56" s="25">
        <v>4442</v>
      </c>
      <c r="X56" s="25">
        <v>4177.3</v>
      </c>
      <c r="Y56" s="51">
        <v>4056.2363</v>
      </c>
      <c r="Z56" s="51">
        <v>4035</v>
      </c>
      <c r="AA56" s="51">
        <v>4080</v>
      </c>
      <c r="AB56" s="51">
        <v>4286</v>
      </c>
      <c r="AC56" s="51">
        <v>4621.3</v>
      </c>
      <c r="AD56" s="51">
        <v>5009.7</v>
      </c>
      <c r="AE56" s="51">
        <v>4266.3</v>
      </c>
      <c r="AF56" s="51">
        <v>4472.8999999999996</v>
      </c>
    </row>
    <row r="57" spans="1:32" x14ac:dyDescent="0.2">
      <c r="A57" s="7" t="s">
        <v>173</v>
      </c>
      <c r="B57" s="46">
        <v>18010432</v>
      </c>
      <c r="C57" s="46">
        <v>19030654</v>
      </c>
      <c r="D57" s="46">
        <v>21767304</v>
      </c>
      <c r="E57" s="46">
        <v>39881344</v>
      </c>
      <c r="F57" s="46">
        <v>42957532</v>
      </c>
      <c r="G57" s="46">
        <v>41455776</v>
      </c>
      <c r="H57" s="46">
        <v>39021744</v>
      </c>
      <c r="I57" s="46">
        <v>40116516</v>
      </c>
      <c r="J57" s="46">
        <v>42132344</v>
      </c>
      <c r="K57" s="46">
        <v>37213552</v>
      </c>
      <c r="L57" s="46">
        <v>36634933</v>
      </c>
      <c r="M57" s="46">
        <v>37336704</v>
      </c>
      <c r="N57" s="47">
        <v>34306</v>
      </c>
      <c r="O57" s="27">
        <v>30926</v>
      </c>
      <c r="P57" s="27">
        <v>29440</v>
      </c>
      <c r="Q57" s="27">
        <v>26203</v>
      </c>
      <c r="R57" s="27">
        <v>31249</v>
      </c>
      <c r="S57" s="27">
        <v>34199</v>
      </c>
      <c r="T57" s="25">
        <v>32381</v>
      </c>
      <c r="U57" s="25">
        <v>29321</v>
      </c>
      <c r="V57" s="25">
        <v>23571</v>
      </c>
      <c r="W57" s="25">
        <v>20890.400000000001</v>
      </c>
      <c r="X57" s="25">
        <v>22187.8</v>
      </c>
      <c r="Y57" s="51">
        <v>20551.735000000001</v>
      </c>
      <c r="Z57" s="51">
        <v>23039</v>
      </c>
      <c r="AA57" s="51">
        <v>23359</v>
      </c>
      <c r="AB57" s="51">
        <v>23257.7</v>
      </c>
      <c r="AC57" s="51">
        <v>21966.1</v>
      </c>
      <c r="AD57" s="51">
        <v>20211</v>
      </c>
      <c r="AE57" s="51">
        <v>18766</v>
      </c>
      <c r="AF57" s="51">
        <v>15304</v>
      </c>
    </row>
    <row r="58" spans="1:32" ht="15.75" customHeight="1" x14ac:dyDescent="0.2">
      <c r="A58" s="7" t="s">
        <v>174</v>
      </c>
      <c r="B58" s="46">
        <v>22863546</v>
      </c>
      <c r="C58" s="46">
        <v>23270018</v>
      </c>
      <c r="D58" s="46">
        <v>26374420</v>
      </c>
      <c r="E58" s="46">
        <v>44358760</v>
      </c>
      <c r="F58" s="46">
        <v>47082728</v>
      </c>
      <c r="G58" s="46">
        <v>45582876</v>
      </c>
      <c r="H58" s="46">
        <v>43102360</v>
      </c>
      <c r="I58" s="46">
        <v>44400232</v>
      </c>
      <c r="J58" s="46">
        <v>45395668</v>
      </c>
      <c r="K58" s="46">
        <v>41142631</v>
      </c>
      <c r="L58" s="46">
        <v>41607233</v>
      </c>
      <c r="M58" s="46">
        <v>42201756</v>
      </c>
      <c r="N58" s="47">
        <v>38752</v>
      </c>
      <c r="O58" s="27">
        <v>34892</v>
      </c>
      <c r="P58" s="27">
        <v>34218</v>
      </c>
      <c r="Q58" s="27">
        <v>31556</v>
      </c>
      <c r="R58" s="27">
        <v>36681</v>
      </c>
      <c r="S58" s="27">
        <v>39054</v>
      </c>
      <c r="T58" s="25">
        <v>36690</v>
      </c>
      <c r="U58" s="25">
        <v>34335</v>
      </c>
      <c r="V58" s="25">
        <v>27878</v>
      </c>
      <c r="W58" s="25">
        <v>25332.399999999998</v>
      </c>
      <c r="X58" s="25">
        <v>26365.1</v>
      </c>
      <c r="Y58" s="51">
        <v>24607.971000000001</v>
      </c>
      <c r="Z58" s="51">
        <v>27074</v>
      </c>
      <c r="AA58" s="51">
        <v>27439</v>
      </c>
      <c r="AB58" s="51">
        <v>27543.7</v>
      </c>
      <c r="AC58" s="51">
        <v>26587.399999999998</v>
      </c>
      <c r="AD58" s="51">
        <v>25221</v>
      </c>
      <c r="AE58" s="51">
        <v>23032</v>
      </c>
      <c r="AF58" s="51">
        <v>19777</v>
      </c>
    </row>
    <row r="59" spans="1:32" ht="30" customHeight="1" x14ac:dyDescent="0.2">
      <c r="A59" s="7" t="s">
        <v>175</v>
      </c>
      <c r="B59" s="46">
        <v>203457</v>
      </c>
      <c r="C59" s="46">
        <v>206186</v>
      </c>
      <c r="D59" s="46">
        <v>218054</v>
      </c>
      <c r="E59" s="46">
        <v>218155</v>
      </c>
      <c r="F59" s="46">
        <v>210974</v>
      </c>
      <c r="G59" s="46">
        <v>240164</v>
      </c>
      <c r="H59" s="46">
        <v>251172</v>
      </c>
      <c r="I59" s="46">
        <v>265472</v>
      </c>
      <c r="J59" s="46">
        <v>317295</v>
      </c>
      <c r="K59" s="46">
        <v>337900</v>
      </c>
      <c r="L59" s="46">
        <v>297837</v>
      </c>
      <c r="M59" s="46">
        <v>327541</v>
      </c>
      <c r="N59" s="47">
        <v>252</v>
      </c>
      <c r="O59" s="10">
        <v>280</v>
      </c>
      <c r="P59" s="27">
        <v>254</v>
      </c>
      <c r="Q59" s="27">
        <v>263</v>
      </c>
      <c r="R59" s="27">
        <v>272</v>
      </c>
      <c r="S59" s="27">
        <v>281</v>
      </c>
      <c r="T59" s="25">
        <v>284</v>
      </c>
      <c r="U59" s="25">
        <f>12834-12543</f>
        <v>291</v>
      </c>
      <c r="V59" s="25">
        <v>301.88200000000001</v>
      </c>
      <c r="W59" s="25">
        <v>289</v>
      </c>
      <c r="X59" s="25">
        <v>326.29999999999995</v>
      </c>
      <c r="Y59" s="27">
        <v>348.113</v>
      </c>
      <c r="Z59" s="27">
        <v>345</v>
      </c>
      <c r="AA59" s="27">
        <v>377.08699999999993</v>
      </c>
      <c r="AB59" s="27">
        <v>344</v>
      </c>
      <c r="AC59" s="27">
        <v>317.89999999999998</v>
      </c>
      <c r="AD59" s="52">
        <v>323.47000000000003</v>
      </c>
      <c r="AE59" s="52">
        <v>275.37</v>
      </c>
      <c r="AF59" s="52">
        <v>268.63</v>
      </c>
    </row>
    <row r="60" spans="1:32" x14ac:dyDescent="0.2">
      <c r="A60" s="7" t="s">
        <v>177</v>
      </c>
      <c r="B60" s="46">
        <v>193325</v>
      </c>
      <c r="C60" s="46">
        <v>274733</v>
      </c>
      <c r="D60" s="46">
        <v>360147</v>
      </c>
      <c r="E60" s="46">
        <v>272292</v>
      </c>
      <c r="F60" s="46">
        <v>343001</v>
      </c>
      <c r="G60" s="46">
        <v>291743</v>
      </c>
      <c r="H60" s="46">
        <v>282880</v>
      </c>
      <c r="I60" s="46">
        <v>248590</v>
      </c>
      <c r="J60" s="46">
        <v>162808</v>
      </c>
      <c r="K60" s="46">
        <v>298832</v>
      </c>
      <c r="L60" s="46">
        <v>301115</v>
      </c>
      <c r="M60" s="46">
        <v>363267</v>
      </c>
      <c r="N60" s="47">
        <v>349</v>
      </c>
      <c r="O60" s="10">
        <v>309</v>
      </c>
      <c r="P60" s="27">
        <v>349</v>
      </c>
      <c r="Q60" s="27">
        <v>339</v>
      </c>
      <c r="R60" s="27">
        <v>324</v>
      </c>
      <c r="S60" s="27">
        <v>263</v>
      </c>
      <c r="T60" s="25">
        <v>1192</v>
      </c>
      <c r="U60" s="25">
        <f>48345-48056</f>
        <v>289</v>
      </c>
      <c r="V60" s="25">
        <v>302.74400000000003</v>
      </c>
      <c r="W60" s="25">
        <v>263</v>
      </c>
      <c r="X60" s="25">
        <v>238.6</v>
      </c>
      <c r="Y60" s="27">
        <v>284.01100000000002</v>
      </c>
      <c r="Z60" s="27">
        <v>268</v>
      </c>
      <c r="AA60" s="27">
        <v>224.244</v>
      </c>
      <c r="AB60" s="27">
        <v>240.4</v>
      </c>
      <c r="AC60" s="27">
        <v>241.1</v>
      </c>
      <c r="AD60" s="52">
        <v>234.94</v>
      </c>
      <c r="AE60" s="52">
        <v>254.95</v>
      </c>
      <c r="AF60" s="52">
        <v>223.3</v>
      </c>
    </row>
    <row r="61" spans="1:32" x14ac:dyDescent="0.2">
      <c r="A61" s="7" t="s">
        <v>176</v>
      </c>
      <c r="B61" s="46">
        <v>396782</v>
      </c>
      <c r="C61" s="46">
        <v>480919</v>
      </c>
      <c r="D61" s="46">
        <v>578201</v>
      </c>
      <c r="E61" s="46">
        <v>490447</v>
      </c>
      <c r="F61" s="46">
        <v>553975</v>
      </c>
      <c r="G61" s="46">
        <v>531907</v>
      </c>
      <c r="H61" s="46">
        <v>534052</v>
      </c>
      <c r="I61" s="46">
        <v>514062</v>
      </c>
      <c r="J61" s="46">
        <v>480103</v>
      </c>
      <c r="K61" s="46">
        <v>636732</v>
      </c>
      <c r="L61" s="46">
        <v>598952</v>
      </c>
      <c r="M61" s="46">
        <v>690808</v>
      </c>
      <c r="N61" s="47">
        <v>601</v>
      </c>
      <c r="O61" s="10">
        <v>589</v>
      </c>
      <c r="P61" s="27">
        <v>604</v>
      </c>
      <c r="Q61" s="27">
        <v>602</v>
      </c>
      <c r="R61" s="27">
        <v>595</v>
      </c>
      <c r="S61" s="27">
        <v>549</v>
      </c>
      <c r="T61" s="25">
        <v>476</v>
      </c>
      <c r="U61" s="25">
        <f>SUM(U59:U60)</f>
        <v>580</v>
      </c>
      <c r="V61" s="25">
        <v>604.62599999999998</v>
      </c>
      <c r="W61" s="25">
        <v>552</v>
      </c>
      <c r="X61" s="25">
        <v>564.70000000000005</v>
      </c>
      <c r="Y61" s="27">
        <v>632.12400000000002</v>
      </c>
      <c r="Z61" s="27">
        <v>612</v>
      </c>
      <c r="AA61" s="27">
        <v>601.3309999999999</v>
      </c>
      <c r="AB61" s="27">
        <v>584.4</v>
      </c>
      <c r="AC61" s="27">
        <v>559</v>
      </c>
      <c r="AD61" s="52">
        <v>558.41</v>
      </c>
      <c r="AE61" s="52">
        <v>530.32000000000005</v>
      </c>
      <c r="AF61" s="52">
        <v>491.91999999999996</v>
      </c>
    </row>
    <row r="62" spans="1:32" ht="35.25" customHeight="1" x14ac:dyDescent="0.2">
      <c r="A62" s="7" t="s">
        <v>160</v>
      </c>
      <c r="B62" s="46">
        <v>18185563</v>
      </c>
      <c r="C62" s="46">
        <v>14927923</v>
      </c>
      <c r="D62" s="46">
        <v>14042792</v>
      </c>
      <c r="E62" s="46">
        <v>15415411</v>
      </c>
      <c r="F62" s="46">
        <v>15205942</v>
      </c>
      <c r="G62" s="46">
        <v>16250935</v>
      </c>
      <c r="H62" s="46">
        <v>16440220</v>
      </c>
      <c r="I62" s="46">
        <v>23115371</v>
      </c>
      <c r="J62" s="46">
        <v>26116947</v>
      </c>
      <c r="K62" s="46">
        <v>30532897</v>
      </c>
      <c r="L62" s="46">
        <v>33741215</v>
      </c>
      <c r="M62" s="46">
        <v>32716999</v>
      </c>
      <c r="N62" s="47">
        <v>30056</v>
      </c>
      <c r="O62" s="27">
        <v>33394</v>
      </c>
      <c r="P62" s="27">
        <v>35915</v>
      </c>
      <c r="Q62" s="27">
        <v>34835</v>
      </c>
      <c r="R62" s="27">
        <v>31067</v>
      </c>
      <c r="S62" s="27">
        <v>28147</v>
      </c>
      <c r="T62" s="25">
        <f t="shared" ref="T62:V64" si="0">T5+T11+T14+T17+T20+T23+T26+T29+T32+T35+T38+T41+T44+T47+T50+T53+T56+T59</f>
        <v>23272</v>
      </c>
      <c r="U62" s="25">
        <f t="shared" si="0"/>
        <v>24444</v>
      </c>
      <c r="V62" s="25">
        <f t="shared" si="0"/>
        <v>24276.632000000001</v>
      </c>
      <c r="W62" s="25">
        <f t="shared" ref="W62:AE62" si="1">W8+W11+W14+W17+W20+W23+W26+W29+W32+W35+W38+W41+W44+W47+W50+W53+W56+W59</f>
        <v>27684.3</v>
      </c>
      <c r="X62" s="25">
        <f t="shared" si="1"/>
        <v>25976.2</v>
      </c>
      <c r="Y62" s="25">
        <f t="shared" si="1"/>
        <v>25835.279300000002</v>
      </c>
      <c r="Z62" s="25">
        <f t="shared" si="1"/>
        <v>21845</v>
      </c>
      <c r="AA62" s="25">
        <f t="shared" si="1"/>
        <v>18322.425999999999</v>
      </c>
      <c r="AB62" s="25">
        <f t="shared" si="1"/>
        <v>18985.599999999999</v>
      </c>
      <c r="AC62" s="25">
        <f t="shared" si="1"/>
        <v>19780.5</v>
      </c>
      <c r="AD62" s="25">
        <f t="shared" si="1"/>
        <v>20748.060000000001</v>
      </c>
      <c r="AE62" s="25">
        <f t="shared" si="1"/>
        <v>17066.939999999999</v>
      </c>
      <c r="AF62" s="25">
        <f t="shared" ref="AF62" si="2">AF8+AF11+AF14+AF17+AF20+AF23+AF26+AF29+AF32+AF35+AF38+AF41+AF44+AF47+AF50+AF53+AF56+AF59</f>
        <v>19413.62</v>
      </c>
    </row>
    <row r="63" spans="1:32" x14ac:dyDescent="0.2">
      <c r="A63" s="7" t="s">
        <v>161</v>
      </c>
      <c r="B63" s="46">
        <v>77879918</v>
      </c>
      <c r="C63" s="46">
        <v>83658576</v>
      </c>
      <c r="D63" s="46">
        <v>87169048</v>
      </c>
      <c r="E63" s="46">
        <v>108390185</v>
      </c>
      <c r="F63" s="46">
        <v>111641235</v>
      </c>
      <c r="G63" s="46">
        <v>109002708</v>
      </c>
      <c r="H63" s="46">
        <v>98628765</v>
      </c>
      <c r="I63" s="46">
        <v>101598050</v>
      </c>
      <c r="J63" s="46">
        <v>103982926</v>
      </c>
      <c r="K63" s="46">
        <v>99978934</v>
      </c>
      <c r="L63" s="46">
        <v>90078952</v>
      </c>
      <c r="M63" s="46">
        <v>89438527</v>
      </c>
      <c r="N63" s="47">
        <v>80479</v>
      </c>
      <c r="O63" s="27">
        <v>77050</v>
      </c>
      <c r="P63" s="27">
        <v>72975</v>
      </c>
      <c r="Q63" s="27">
        <v>66752</v>
      </c>
      <c r="R63" s="27">
        <v>70885</v>
      </c>
      <c r="S63" s="27">
        <v>68198</v>
      </c>
      <c r="T63" s="25">
        <f t="shared" si="0"/>
        <v>62277</v>
      </c>
      <c r="U63" s="25">
        <f t="shared" si="0"/>
        <v>60374</v>
      </c>
      <c r="V63" s="25">
        <f t="shared" si="0"/>
        <v>53135.125999999997</v>
      </c>
      <c r="W63" s="25">
        <f t="shared" ref="W63:AE63" si="3">W9+W12+W15+W18+W21+W24+W27+W30+W33+W36+W39+W42+W45+W48+W51+W54+W57+W60</f>
        <v>48453.7</v>
      </c>
      <c r="X63" s="25">
        <f t="shared" si="3"/>
        <v>45663.200000000004</v>
      </c>
      <c r="Y63" s="25">
        <f t="shared" si="3"/>
        <v>45546.028999999995</v>
      </c>
      <c r="Z63" s="25">
        <f t="shared" si="3"/>
        <v>48126</v>
      </c>
      <c r="AA63" s="25">
        <f t="shared" si="3"/>
        <v>48367.976000000002</v>
      </c>
      <c r="AB63" s="25">
        <f t="shared" si="3"/>
        <v>47999.000000000007</v>
      </c>
      <c r="AC63" s="25">
        <f t="shared" si="3"/>
        <v>45302.1</v>
      </c>
      <c r="AD63" s="25">
        <f t="shared" si="3"/>
        <v>46012.37</v>
      </c>
      <c r="AE63" s="25">
        <f t="shared" si="3"/>
        <v>41895.199999999997</v>
      </c>
      <c r="AF63" s="25">
        <f t="shared" ref="AF63" si="4">AF9+AF12+AF15+AF18+AF21+AF24+AF27+AF30+AF33+AF36+AF39+AF42+AF45+AF48+AF51+AF54+AF57+AF60</f>
        <v>38664.53</v>
      </c>
    </row>
    <row r="64" spans="1:32" ht="15.75" customHeight="1" x14ac:dyDescent="0.2">
      <c r="A64" s="7" t="s">
        <v>162</v>
      </c>
      <c r="B64" s="46">
        <v>96065480</v>
      </c>
      <c r="C64" s="46">
        <v>98586503</v>
      </c>
      <c r="D64" s="46">
        <v>101211842</v>
      </c>
      <c r="E64" s="46">
        <v>123805591</v>
      </c>
      <c r="F64" s="46">
        <v>126847178</v>
      </c>
      <c r="G64" s="46">
        <v>125253644</v>
      </c>
      <c r="H64" s="46">
        <v>115068983</v>
      </c>
      <c r="I64" s="46">
        <v>124713417</v>
      </c>
      <c r="J64" s="46">
        <v>130099871</v>
      </c>
      <c r="K64" s="46">
        <v>130511831</v>
      </c>
      <c r="L64" s="46">
        <v>123820167</v>
      </c>
      <c r="M64" s="46">
        <v>122155526</v>
      </c>
      <c r="N64" s="47">
        <v>110535</v>
      </c>
      <c r="O64" s="27">
        <v>110444</v>
      </c>
      <c r="P64" s="27">
        <v>108890</v>
      </c>
      <c r="Q64" s="27">
        <v>101587</v>
      </c>
      <c r="R64" s="27">
        <v>101952</v>
      </c>
      <c r="S64" s="27">
        <v>96345</v>
      </c>
      <c r="T64" s="25">
        <f t="shared" si="0"/>
        <v>85547</v>
      </c>
      <c r="U64" s="25">
        <f t="shared" si="0"/>
        <v>84817</v>
      </c>
      <c r="V64" s="25">
        <f t="shared" si="0"/>
        <v>77413.758000000002</v>
      </c>
      <c r="W64" s="25">
        <f t="shared" ref="W64:AE64" si="5">W10+W13+W16+W19+W22+W25+W28+W31+W34+W37+W40+W43+W46+W49+W52+W55+W58+W61</f>
        <v>76139.399999999994</v>
      </c>
      <c r="X64" s="25">
        <f t="shared" si="5"/>
        <v>71638.899999999994</v>
      </c>
      <c r="Y64" s="25">
        <f t="shared" si="5"/>
        <v>71381.006999999998</v>
      </c>
      <c r="Z64" s="25">
        <f t="shared" si="5"/>
        <v>69968</v>
      </c>
      <c r="AA64" s="25">
        <f t="shared" si="5"/>
        <v>66692.402000000002</v>
      </c>
      <c r="AB64" s="25">
        <f t="shared" si="5"/>
        <v>66984.599999999991</v>
      </c>
      <c r="AC64" s="25">
        <f t="shared" si="5"/>
        <v>65082.600000000006</v>
      </c>
      <c r="AD64" s="25">
        <f t="shared" si="5"/>
        <v>66760.800000000003</v>
      </c>
      <c r="AE64" s="25">
        <f t="shared" si="5"/>
        <v>58961.909999999996</v>
      </c>
      <c r="AF64" s="25">
        <f t="shared" ref="AF64" si="6">AF10+AF13+AF16+AF19+AF22+AF25+AF28+AF31+AF34+AF37+AF40+AF43+AF46+AF49+AF52+AF55+AF58+AF61</f>
        <v>58078.19</v>
      </c>
    </row>
    <row r="73" s="6" customFormat="1" ht="15.75" customHeight="1" x14ac:dyDescent="0.2"/>
    <row r="76" s="6" customFormat="1" ht="15.75" customHeight="1" x14ac:dyDescent="0.2"/>
    <row r="79" s="6" customFormat="1" ht="15.75" customHeight="1" x14ac:dyDescent="0.2"/>
    <row r="82" s="6" customFormat="1" ht="15.75" customHeight="1" x14ac:dyDescent="0.2"/>
    <row r="85" s="6" customFormat="1" ht="15.75" customHeight="1" x14ac:dyDescent="0.2"/>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46"/>
  <sheetViews>
    <sheetView zoomScaleNormal="100" workbookViewId="0">
      <pane xSplit="1" ySplit="4" topLeftCell="U29" activePane="bottomRight" state="frozen"/>
      <selection activeCell="B8" sqref="B8"/>
      <selection pane="topRight" activeCell="B8" sqref="B8"/>
      <selection pane="bottomLeft" activeCell="B8" sqref="B8"/>
      <selection pane="bottomRight" activeCell="B8" sqref="B8"/>
    </sheetView>
  </sheetViews>
  <sheetFormatPr defaultRowHeight="15" x14ac:dyDescent="0.2"/>
  <cols>
    <col min="1" max="1" width="36.6640625" style="6" customWidth="1"/>
    <col min="2" max="2" width="9.33203125" style="6" customWidth="1"/>
    <col min="3" max="3" width="9.44140625" style="6" customWidth="1"/>
    <col min="4" max="4" width="7.88671875" style="6" customWidth="1"/>
    <col min="5" max="5" width="8.5546875" style="6" customWidth="1"/>
    <col min="6" max="6" width="8.88671875" style="6" customWidth="1"/>
    <col min="7" max="7" width="7.44140625" style="6" customWidth="1"/>
    <col min="8" max="8" width="7.33203125" style="6" customWidth="1"/>
    <col min="9" max="9" width="7.5546875" style="6" customWidth="1"/>
    <col min="10" max="10" width="7.44140625" style="6" customWidth="1"/>
    <col min="11" max="31" width="8.5546875" style="6" customWidth="1"/>
    <col min="32" max="16384" width="8.88671875" style="6"/>
  </cols>
  <sheetData>
    <row r="1" spans="1:32" s="5" customFormat="1" ht="15.75" x14ac:dyDescent="0.25">
      <c r="A1" s="1" t="s">
        <v>847</v>
      </c>
      <c r="B1" s="1"/>
      <c r="C1" s="1"/>
      <c r="D1" s="1"/>
      <c r="E1" s="1"/>
      <c r="F1" s="1"/>
      <c r="G1" s="1"/>
      <c r="H1" s="1"/>
      <c r="I1" s="1"/>
      <c r="J1" s="1"/>
      <c r="K1" s="2"/>
      <c r="L1" s="3"/>
      <c r="M1" s="4"/>
      <c r="N1" s="4"/>
      <c r="O1" s="2"/>
    </row>
    <row r="2" spans="1:32" s="5" customFormat="1" ht="15.75" x14ac:dyDescent="0.25">
      <c r="A2" s="2" t="s">
        <v>5</v>
      </c>
      <c r="B2" s="2"/>
      <c r="C2" s="2"/>
      <c r="D2" s="2"/>
      <c r="E2" s="2"/>
      <c r="F2" s="2"/>
      <c r="G2" s="2"/>
      <c r="H2" s="2"/>
      <c r="I2" s="2"/>
      <c r="J2" s="2"/>
      <c r="K2" s="2"/>
      <c r="L2" s="3"/>
      <c r="M2" s="4"/>
      <c r="N2" s="4"/>
      <c r="O2" s="2"/>
    </row>
    <row r="3" spans="1:32" s="5" customFormat="1" ht="15.75" x14ac:dyDescent="0.25">
      <c r="A3" s="5" t="s">
        <v>69</v>
      </c>
      <c r="K3" s="2"/>
      <c r="L3" s="3"/>
      <c r="M3" s="4"/>
      <c r="N3" s="4"/>
      <c r="O3" s="2"/>
    </row>
    <row r="4" spans="1:32" s="260" customFormat="1" ht="15.75" x14ac:dyDescent="0.25">
      <c r="A4" s="259" t="s">
        <v>335</v>
      </c>
      <c r="B4" s="260" t="s">
        <v>62</v>
      </c>
      <c r="C4" s="260" t="s">
        <v>63</v>
      </c>
      <c r="D4" s="260" t="s">
        <v>54</v>
      </c>
      <c r="E4" s="260" t="s">
        <v>55</v>
      </c>
      <c r="F4" s="260" t="s">
        <v>56</v>
      </c>
      <c r="G4" s="260" t="s">
        <v>40</v>
      </c>
      <c r="H4" s="260" t="s">
        <v>41</v>
      </c>
      <c r="I4" s="260" t="s">
        <v>42</v>
      </c>
      <c r="J4" s="260" t="s">
        <v>43</v>
      </c>
      <c r="K4" s="260" t="s">
        <v>17</v>
      </c>
      <c r="L4" s="260" t="s">
        <v>18</v>
      </c>
      <c r="M4" s="260" t="s">
        <v>44</v>
      </c>
      <c r="N4" s="260" t="s">
        <v>19</v>
      </c>
      <c r="O4" s="260" t="s">
        <v>20</v>
      </c>
      <c r="P4" s="260" t="s">
        <v>21</v>
      </c>
      <c r="Q4" s="260" t="s">
        <v>22</v>
      </c>
      <c r="R4" s="260" t="s">
        <v>23</v>
      </c>
      <c r="S4" s="260" t="s">
        <v>24</v>
      </c>
      <c r="T4" s="260" t="s">
        <v>25</v>
      </c>
      <c r="U4" s="260" t="s">
        <v>26</v>
      </c>
      <c r="V4" s="260" t="s">
        <v>27</v>
      </c>
      <c r="W4" s="260" t="s">
        <v>28</v>
      </c>
      <c r="X4" s="260" t="s">
        <v>29</v>
      </c>
      <c r="Y4" s="260" t="s">
        <v>30</v>
      </c>
      <c r="Z4" s="260" t="s">
        <v>31</v>
      </c>
      <c r="AA4" s="260" t="s">
        <v>32</v>
      </c>
      <c r="AB4" s="260" t="s">
        <v>33</v>
      </c>
      <c r="AC4" s="260" t="s">
        <v>34</v>
      </c>
      <c r="AD4" s="260" t="s">
        <v>35</v>
      </c>
      <c r="AE4" s="260" t="s">
        <v>36</v>
      </c>
      <c r="AF4" s="245" t="s">
        <v>857</v>
      </c>
    </row>
    <row r="5" spans="1:32" x14ac:dyDescent="0.2">
      <c r="A5" s="6" t="s">
        <v>188</v>
      </c>
      <c r="B5" s="56" t="s">
        <v>37</v>
      </c>
      <c r="C5" s="56" t="s">
        <v>37</v>
      </c>
      <c r="D5" s="56" t="s">
        <v>37</v>
      </c>
      <c r="E5" s="56" t="s">
        <v>37</v>
      </c>
      <c r="F5" s="57" t="s">
        <v>46</v>
      </c>
      <c r="G5" s="57" t="s">
        <v>46</v>
      </c>
      <c r="H5" s="57" t="s">
        <v>46</v>
      </c>
      <c r="I5" s="57" t="s">
        <v>46</v>
      </c>
      <c r="J5" s="57" t="s">
        <v>46</v>
      </c>
      <c r="K5" s="56" t="s">
        <v>37</v>
      </c>
      <c r="L5" s="56" t="s">
        <v>37</v>
      </c>
      <c r="M5" s="57" t="s">
        <v>37</v>
      </c>
      <c r="N5" s="56" t="s">
        <v>37</v>
      </c>
      <c r="O5" s="58">
        <v>0</v>
      </c>
      <c r="P5" s="58">
        <v>0</v>
      </c>
      <c r="Q5" s="58">
        <v>0</v>
      </c>
      <c r="R5" s="58">
        <v>0</v>
      </c>
      <c r="S5" s="58">
        <v>0</v>
      </c>
      <c r="T5" s="58">
        <v>0</v>
      </c>
      <c r="U5" s="58">
        <v>0</v>
      </c>
      <c r="V5" s="58">
        <v>0</v>
      </c>
      <c r="W5" s="58">
        <v>0</v>
      </c>
      <c r="X5" s="58">
        <v>0</v>
      </c>
      <c r="Y5" s="58">
        <v>0</v>
      </c>
      <c r="Z5" s="58">
        <v>0</v>
      </c>
      <c r="AA5" s="58">
        <v>0</v>
      </c>
      <c r="AB5" s="58">
        <v>0</v>
      </c>
      <c r="AC5" s="58">
        <v>0</v>
      </c>
      <c r="AD5" s="58">
        <v>0</v>
      </c>
      <c r="AE5" s="58">
        <v>0</v>
      </c>
      <c r="AF5" s="58">
        <v>0</v>
      </c>
    </row>
    <row r="6" spans="1:32" x14ac:dyDescent="0.2">
      <c r="A6" s="6" t="s">
        <v>207</v>
      </c>
      <c r="B6" s="25">
        <v>1751</v>
      </c>
      <c r="C6" s="25">
        <v>1591</v>
      </c>
      <c r="D6" s="25">
        <v>1717</v>
      </c>
      <c r="E6" s="25">
        <v>1813</v>
      </c>
      <c r="F6" s="57" t="s">
        <v>46</v>
      </c>
      <c r="G6" s="57" t="s">
        <v>46</v>
      </c>
      <c r="H6" s="57" t="s">
        <v>46</v>
      </c>
      <c r="I6" s="57" t="s">
        <v>46</v>
      </c>
      <c r="J6" s="57" t="s">
        <v>46</v>
      </c>
      <c r="K6" s="25">
        <v>1506</v>
      </c>
      <c r="L6" s="25">
        <v>1404</v>
      </c>
      <c r="M6" s="25">
        <v>1273</v>
      </c>
      <c r="N6" s="25">
        <v>1274</v>
      </c>
      <c r="O6" s="47">
        <v>1277</v>
      </c>
      <c r="P6" s="59">
        <v>1165</v>
      </c>
      <c r="Q6" s="59">
        <v>1222</v>
      </c>
      <c r="R6" s="59">
        <v>1231</v>
      </c>
      <c r="S6" s="59">
        <v>1190</v>
      </c>
      <c r="T6" s="59">
        <v>1177</v>
      </c>
      <c r="U6" s="59">
        <v>1017</v>
      </c>
      <c r="V6" s="59">
        <v>986</v>
      </c>
      <c r="W6" s="58">
        <v>0</v>
      </c>
      <c r="X6" s="58">
        <v>0</v>
      </c>
      <c r="Y6" s="58">
        <v>0</v>
      </c>
      <c r="Z6" s="58">
        <v>0</v>
      </c>
      <c r="AA6" s="58">
        <v>0</v>
      </c>
      <c r="AB6" s="58">
        <v>0</v>
      </c>
      <c r="AC6" s="58">
        <v>0</v>
      </c>
      <c r="AD6" s="58">
        <v>0</v>
      </c>
      <c r="AE6" s="58">
        <v>0</v>
      </c>
      <c r="AF6" s="58">
        <v>0</v>
      </c>
    </row>
    <row r="7" spans="1:32" ht="26.25" customHeight="1" x14ac:dyDescent="0.2">
      <c r="A7" s="6" t="s">
        <v>189</v>
      </c>
      <c r="B7" s="25"/>
      <c r="C7" s="25"/>
      <c r="D7" s="25"/>
      <c r="E7" s="25"/>
      <c r="F7" s="57"/>
      <c r="G7" s="57"/>
      <c r="H7" s="57"/>
      <c r="I7" s="57"/>
      <c r="J7" s="57"/>
      <c r="K7" s="25"/>
      <c r="L7" s="25"/>
      <c r="M7" s="25"/>
      <c r="N7" s="56" t="s">
        <v>37</v>
      </c>
      <c r="O7" s="58">
        <v>0</v>
      </c>
      <c r="P7" s="58">
        <v>0</v>
      </c>
      <c r="Q7" s="58">
        <v>0</v>
      </c>
      <c r="R7" s="58">
        <v>0</v>
      </c>
      <c r="S7" s="58">
        <v>0</v>
      </c>
      <c r="T7" s="58">
        <v>0</v>
      </c>
      <c r="U7" s="58">
        <v>0</v>
      </c>
      <c r="V7" s="58">
        <v>0</v>
      </c>
      <c r="W7" s="58">
        <v>0</v>
      </c>
      <c r="X7" s="58">
        <v>0</v>
      </c>
      <c r="Y7" s="58">
        <v>0</v>
      </c>
      <c r="Z7" s="58">
        <v>0</v>
      </c>
      <c r="AA7" s="58">
        <v>0</v>
      </c>
      <c r="AB7" s="58">
        <v>0</v>
      </c>
      <c r="AC7" s="58">
        <v>0</v>
      </c>
      <c r="AD7" s="58">
        <v>0</v>
      </c>
      <c r="AE7" s="58">
        <v>0</v>
      </c>
      <c r="AF7" s="58">
        <v>0</v>
      </c>
    </row>
    <row r="8" spans="1:32" x14ac:dyDescent="0.2">
      <c r="A8" s="6" t="s">
        <v>208</v>
      </c>
      <c r="B8" s="25"/>
      <c r="C8" s="25"/>
      <c r="D8" s="25"/>
      <c r="E8" s="25"/>
      <c r="F8" s="57"/>
      <c r="G8" s="57"/>
      <c r="H8" s="57"/>
      <c r="I8" s="57"/>
      <c r="J8" s="57"/>
      <c r="K8" s="25"/>
      <c r="L8" s="25"/>
      <c r="M8" s="25"/>
      <c r="N8" s="56" t="s">
        <v>37</v>
      </c>
      <c r="O8" s="56" t="s">
        <v>37</v>
      </c>
      <c r="P8" s="56" t="s">
        <v>37</v>
      </c>
      <c r="Q8" s="56" t="s">
        <v>37</v>
      </c>
      <c r="R8" s="56" t="s">
        <v>37</v>
      </c>
      <c r="S8" s="56" t="s">
        <v>37</v>
      </c>
      <c r="T8" s="56" t="s">
        <v>37</v>
      </c>
      <c r="U8" s="56" t="s">
        <v>37</v>
      </c>
      <c r="V8" s="56" t="s">
        <v>37</v>
      </c>
      <c r="W8" s="59">
        <v>1815</v>
      </c>
      <c r="X8" s="60">
        <v>1783.127</v>
      </c>
      <c r="Y8" s="62">
        <f>'9.3'!Y10</f>
        <v>2038.4829999999999</v>
      </c>
      <c r="Z8" s="62">
        <f>'9.3'!Z10</f>
        <v>2163</v>
      </c>
      <c r="AA8" s="62">
        <f>'9.3'!AA10</f>
        <v>2356</v>
      </c>
      <c r="AB8" s="62">
        <f>'9.3'!AB10</f>
        <v>2387.6999999999998</v>
      </c>
      <c r="AC8" s="62">
        <f>'9.3'!AC10</f>
        <v>2545.8999999999996</v>
      </c>
      <c r="AD8" s="62">
        <f>'9.3'!AD10</f>
        <v>2649.7</v>
      </c>
      <c r="AE8" s="62">
        <f>'9.3'!AE10</f>
        <v>2615.6</v>
      </c>
      <c r="AF8" s="62">
        <f>'9.3'!AF10</f>
        <v>2728.5</v>
      </c>
    </row>
    <row r="9" spans="1:32" ht="33" customHeight="1" x14ac:dyDescent="0.2">
      <c r="A9" s="6" t="s">
        <v>190</v>
      </c>
      <c r="B9" s="56" t="s">
        <v>37</v>
      </c>
      <c r="C9" s="56" t="s">
        <v>37</v>
      </c>
      <c r="D9" s="56" t="s">
        <v>37</v>
      </c>
      <c r="E9" s="56" t="s">
        <v>37</v>
      </c>
      <c r="F9" s="56" t="s">
        <v>37</v>
      </c>
      <c r="G9" s="56" t="s">
        <v>37</v>
      </c>
      <c r="H9" s="56" t="s">
        <v>37</v>
      </c>
      <c r="I9" s="56" t="s">
        <v>37</v>
      </c>
      <c r="J9" s="56" t="s">
        <v>37</v>
      </c>
      <c r="K9" s="56" t="s">
        <v>37</v>
      </c>
      <c r="L9" s="56" t="s">
        <v>37</v>
      </c>
      <c r="M9" s="57" t="s">
        <v>37</v>
      </c>
      <c r="N9" s="56" t="s">
        <v>37</v>
      </c>
      <c r="O9" s="58">
        <v>0</v>
      </c>
      <c r="P9" s="58">
        <v>0</v>
      </c>
      <c r="Q9" s="58">
        <v>0</v>
      </c>
      <c r="R9" s="58">
        <v>0</v>
      </c>
      <c r="S9" s="58">
        <v>0</v>
      </c>
      <c r="T9" s="58">
        <v>0</v>
      </c>
      <c r="U9" s="58">
        <v>0</v>
      </c>
      <c r="V9" s="58">
        <v>0</v>
      </c>
      <c r="W9" s="58">
        <v>0</v>
      </c>
      <c r="X9" s="58">
        <v>0</v>
      </c>
      <c r="Y9" s="61">
        <v>0</v>
      </c>
      <c r="Z9" s="61">
        <v>0</v>
      </c>
      <c r="AA9" s="61">
        <v>0</v>
      </c>
      <c r="AB9" s="61">
        <v>0</v>
      </c>
      <c r="AC9" s="61">
        <v>0</v>
      </c>
      <c r="AD9" s="61">
        <v>0</v>
      </c>
      <c r="AE9" s="61">
        <v>0</v>
      </c>
      <c r="AF9" s="56"/>
    </row>
    <row r="10" spans="1:32" x14ac:dyDescent="0.2">
      <c r="A10" s="6" t="s">
        <v>209</v>
      </c>
      <c r="B10" s="25">
        <v>949</v>
      </c>
      <c r="C10" s="25">
        <v>1073</v>
      </c>
      <c r="D10" s="25">
        <v>1234</v>
      </c>
      <c r="E10" s="25">
        <v>1233</v>
      </c>
      <c r="F10" s="25">
        <v>1991</v>
      </c>
      <c r="G10" s="25">
        <v>2025</v>
      </c>
      <c r="H10" s="25">
        <v>2227</v>
      </c>
      <c r="I10" s="25">
        <v>2504</v>
      </c>
      <c r="J10" s="25">
        <v>2437</v>
      </c>
      <c r="K10" s="25">
        <v>2283</v>
      </c>
      <c r="L10" s="25">
        <v>2014</v>
      </c>
      <c r="M10" s="25">
        <v>2099</v>
      </c>
      <c r="N10" s="25">
        <v>2328</v>
      </c>
      <c r="O10" s="47">
        <v>2849</v>
      </c>
      <c r="P10" s="59">
        <v>3274</v>
      </c>
      <c r="Q10" s="59">
        <v>3145</v>
      </c>
      <c r="R10" s="59">
        <v>3163</v>
      </c>
      <c r="S10" s="59">
        <v>2928</v>
      </c>
      <c r="T10" s="59">
        <v>2572</v>
      </c>
      <c r="U10" s="59">
        <v>2634</v>
      </c>
      <c r="V10" s="59">
        <v>2932</v>
      </c>
      <c r="W10" s="59">
        <v>2610</v>
      </c>
      <c r="X10" s="59">
        <v>2364.4879999999998</v>
      </c>
      <c r="Y10" s="62">
        <f>'9.3'!Y13</f>
        <v>2368.3710000000001</v>
      </c>
      <c r="Z10" s="62">
        <f>'9.3'!Z13</f>
        <v>2548</v>
      </c>
      <c r="AA10" s="62">
        <f>'9.3'!AA13</f>
        <v>2740</v>
      </c>
      <c r="AB10" s="62">
        <f>'9.3'!AB13</f>
        <v>2847.5</v>
      </c>
      <c r="AC10" s="62">
        <f>'9.3'!AC13</f>
        <v>2856.8999999999996</v>
      </c>
      <c r="AD10" s="62">
        <f>'9.3'!AD13</f>
        <v>2704.8</v>
      </c>
      <c r="AE10" s="62">
        <f>'9.3'!AE13</f>
        <v>2695.1</v>
      </c>
      <c r="AF10" s="62">
        <f>'9.3'!AF13</f>
        <v>3129</v>
      </c>
    </row>
    <row r="11" spans="1:32" ht="26.25" customHeight="1" x14ac:dyDescent="0.2">
      <c r="A11" s="7" t="s">
        <v>191</v>
      </c>
      <c r="B11" s="25">
        <v>1088</v>
      </c>
      <c r="C11" s="25">
        <v>578</v>
      </c>
      <c r="D11" s="25">
        <v>303</v>
      </c>
      <c r="E11" s="25">
        <v>311</v>
      </c>
      <c r="F11" s="57" t="s">
        <v>46</v>
      </c>
      <c r="G11" s="57" t="s">
        <v>46</v>
      </c>
      <c r="H11" s="57" t="s">
        <v>46</v>
      </c>
      <c r="I11" s="57" t="s">
        <v>46</v>
      </c>
      <c r="J11" s="57" t="s">
        <v>46</v>
      </c>
      <c r="K11" s="57" t="s">
        <v>46</v>
      </c>
      <c r="L11" s="57" t="s">
        <v>46</v>
      </c>
      <c r="M11" s="57" t="s">
        <v>46</v>
      </c>
      <c r="N11" s="57" t="s">
        <v>46</v>
      </c>
      <c r="O11" s="57" t="s">
        <v>46</v>
      </c>
      <c r="P11" s="57" t="s">
        <v>46</v>
      </c>
      <c r="Q11" s="57" t="s">
        <v>46</v>
      </c>
      <c r="R11" s="57" t="s">
        <v>46</v>
      </c>
      <c r="S11" s="57" t="s">
        <v>46</v>
      </c>
      <c r="T11" s="57" t="s">
        <v>46</v>
      </c>
      <c r="U11" s="57" t="s">
        <v>46</v>
      </c>
      <c r="V11" s="57" t="s">
        <v>46</v>
      </c>
      <c r="W11" s="57" t="s">
        <v>46</v>
      </c>
      <c r="X11" s="57" t="s">
        <v>46</v>
      </c>
      <c r="Y11" s="57" t="s">
        <v>46</v>
      </c>
      <c r="Z11" s="57" t="s">
        <v>46</v>
      </c>
      <c r="AA11" s="57" t="s">
        <v>46</v>
      </c>
      <c r="AB11" s="57" t="s">
        <v>46</v>
      </c>
      <c r="AC11" s="57" t="s">
        <v>46</v>
      </c>
      <c r="AD11" s="57" t="s">
        <v>46</v>
      </c>
      <c r="AE11" s="57" t="s">
        <v>46</v>
      </c>
      <c r="AF11" s="57" t="s">
        <v>46</v>
      </c>
    </row>
    <row r="12" spans="1:32" x14ac:dyDescent="0.2">
      <c r="A12" s="7" t="s">
        <v>210</v>
      </c>
      <c r="B12" s="25">
        <v>113</v>
      </c>
      <c r="C12" s="25">
        <v>115</v>
      </c>
      <c r="D12" s="25">
        <v>164</v>
      </c>
      <c r="E12" s="25">
        <v>177</v>
      </c>
      <c r="F12" s="25">
        <v>594.053</v>
      </c>
      <c r="G12" s="25">
        <v>635.72799999999995</v>
      </c>
      <c r="H12" s="25">
        <v>498.51</v>
      </c>
      <c r="I12" s="25">
        <v>346.20100000000002</v>
      </c>
      <c r="J12" s="25">
        <v>229.39599999999999</v>
      </c>
      <c r="K12" s="25">
        <v>283.17099999999999</v>
      </c>
      <c r="L12" s="25">
        <v>273.52100000000002</v>
      </c>
      <c r="M12" s="25">
        <v>240.625</v>
      </c>
      <c r="N12" s="57">
        <v>291</v>
      </c>
      <c r="O12" s="57">
        <v>401</v>
      </c>
      <c r="P12" s="57">
        <v>418</v>
      </c>
      <c r="Q12" s="57">
        <v>419</v>
      </c>
      <c r="R12" s="57">
        <v>553</v>
      </c>
      <c r="S12" s="57">
        <v>557</v>
      </c>
      <c r="T12" s="57">
        <v>335</v>
      </c>
      <c r="U12" s="57">
        <v>558</v>
      </c>
      <c r="V12" s="57">
        <v>402</v>
      </c>
      <c r="W12" s="57">
        <v>304</v>
      </c>
      <c r="X12" s="57">
        <v>470</v>
      </c>
      <c r="Y12" s="62">
        <v>355</v>
      </c>
      <c r="Z12" s="63">
        <v>280</v>
      </c>
      <c r="AA12" s="62">
        <f>'9.3'!AA16</f>
        <v>306</v>
      </c>
      <c r="AB12" s="62">
        <f>'9.3'!AB16</f>
        <v>240</v>
      </c>
      <c r="AC12" s="62">
        <f>'9.3'!AC16</f>
        <v>269.8</v>
      </c>
      <c r="AD12" s="62">
        <f>'9.3'!AD16</f>
        <v>339.12</v>
      </c>
      <c r="AE12" s="62">
        <f>'9.3'!AE16</f>
        <v>281.32</v>
      </c>
      <c r="AF12" s="62">
        <f>'9.3'!AF16</f>
        <v>281.32</v>
      </c>
    </row>
    <row r="13" spans="1:32" ht="38.25" customHeight="1" x14ac:dyDescent="0.2">
      <c r="A13" s="7" t="s">
        <v>192</v>
      </c>
      <c r="B13" s="25">
        <v>3133</v>
      </c>
      <c r="C13" s="25">
        <v>2648</v>
      </c>
      <c r="D13" s="25">
        <v>1449</v>
      </c>
      <c r="E13" s="25">
        <v>3417</v>
      </c>
      <c r="F13" s="56">
        <v>4185</v>
      </c>
      <c r="G13" s="56">
        <v>3785</v>
      </c>
      <c r="H13" s="25">
        <v>4213</v>
      </c>
      <c r="I13" s="25">
        <v>6522</v>
      </c>
      <c r="J13" s="25">
        <v>6965</v>
      </c>
      <c r="K13" s="25">
        <v>5391</v>
      </c>
      <c r="L13" s="25">
        <v>9311</v>
      </c>
      <c r="M13" s="25">
        <v>8077</v>
      </c>
      <c r="N13" s="25">
        <v>7417</v>
      </c>
      <c r="O13" s="47">
        <v>9507</v>
      </c>
      <c r="P13" s="59">
        <v>13785</v>
      </c>
      <c r="Q13" s="59">
        <v>13106</v>
      </c>
      <c r="R13" s="59">
        <v>9825</v>
      </c>
      <c r="S13" s="59">
        <v>12197</v>
      </c>
      <c r="T13" s="59">
        <v>10672</v>
      </c>
      <c r="U13" s="59">
        <v>10209</v>
      </c>
      <c r="V13" s="59">
        <v>11464</v>
      </c>
      <c r="W13" s="59">
        <v>13547</v>
      </c>
      <c r="X13" s="59">
        <v>12876.778000000004</v>
      </c>
      <c r="Y13" s="59">
        <v>14089.752</v>
      </c>
      <c r="Z13" s="59">
        <v>10332</v>
      </c>
      <c r="AA13" s="59">
        <v>6522</v>
      </c>
      <c r="AB13" s="59">
        <v>6918</v>
      </c>
      <c r="AC13" s="59">
        <v>7095.9320000000043</v>
      </c>
      <c r="AD13" s="59">
        <v>7212.1</v>
      </c>
      <c r="AE13" s="59">
        <v>5591.7</v>
      </c>
      <c r="AF13" s="56">
        <v>6862.3</v>
      </c>
    </row>
    <row r="14" spans="1:32" x14ac:dyDescent="0.2">
      <c r="A14" s="7" t="s">
        <v>211</v>
      </c>
      <c r="B14" s="25">
        <v>5058</v>
      </c>
      <c r="C14" s="25">
        <v>3545</v>
      </c>
      <c r="D14" s="25">
        <v>3077</v>
      </c>
      <c r="E14" s="25">
        <v>3364</v>
      </c>
      <c r="F14" s="56">
        <v>3389</v>
      </c>
      <c r="G14" s="56">
        <v>3416</v>
      </c>
      <c r="H14" s="25">
        <v>3280</v>
      </c>
      <c r="I14" s="25">
        <v>1606</v>
      </c>
      <c r="J14" s="25">
        <v>1530</v>
      </c>
      <c r="K14" s="25">
        <v>1833</v>
      </c>
      <c r="L14" s="25">
        <v>1758</v>
      </c>
      <c r="M14" s="25">
        <v>1656</v>
      </c>
      <c r="N14" s="25">
        <v>1797</v>
      </c>
      <c r="O14" s="25">
        <v>2000</v>
      </c>
      <c r="P14" s="59">
        <v>1952</v>
      </c>
      <c r="Q14" s="59">
        <v>1875</v>
      </c>
      <c r="R14" s="59">
        <v>2238</v>
      </c>
      <c r="S14" s="59">
        <v>2141</v>
      </c>
      <c r="T14" s="59">
        <v>1880</v>
      </c>
      <c r="U14" s="59">
        <v>2074</v>
      </c>
      <c r="V14" s="59">
        <v>1967</v>
      </c>
      <c r="W14" s="59">
        <v>1874</v>
      </c>
      <c r="X14" s="59">
        <v>1905.732</v>
      </c>
      <c r="Y14" s="64">
        <f>'9.3'!Y19-'9.4'!Y13</f>
        <v>2111.1980000000003</v>
      </c>
      <c r="Z14" s="64">
        <f>'9.3'!Z19-'9.4'!Z13</f>
        <v>2152</v>
      </c>
      <c r="AA14" s="64">
        <f>'9.3'!AA19-'9.4'!AA13</f>
        <v>2220</v>
      </c>
      <c r="AB14" s="64">
        <f>'9.3'!AB19-'9.4'!AB13</f>
        <v>1947.1000000000004</v>
      </c>
      <c r="AC14" s="64">
        <f>'9.3'!AC19-'9.4'!AC13</f>
        <v>1990.667999999996</v>
      </c>
      <c r="AD14" s="64">
        <f>'9.3'!AD19-'9.4'!AD13</f>
        <v>1588.6999999999989</v>
      </c>
      <c r="AE14" s="64">
        <f>'9.3'!AE19-'9.4'!AE13</f>
        <v>1341.6000000000004</v>
      </c>
      <c r="AF14" s="64">
        <f>'9.3'!AF19-'9.4'!AF13</f>
        <v>1547.1999999999998</v>
      </c>
    </row>
    <row r="15" spans="1:32" ht="26.25" customHeight="1" x14ac:dyDescent="0.2">
      <c r="A15" s="7" t="s">
        <v>193</v>
      </c>
      <c r="B15" s="56" t="s">
        <v>37</v>
      </c>
      <c r="C15" s="56" t="s">
        <v>37</v>
      </c>
      <c r="D15" s="56" t="s">
        <v>37</v>
      </c>
      <c r="E15" s="56" t="s">
        <v>37</v>
      </c>
      <c r="F15" s="56" t="s">
        <v>37</v>
      </c>
      <c r="G15" s="56" t="s">
        <v>37</v>
      </c>
      <c r="H15" s="56" t="s">
        <v>37</v>
      </c>
      <c r="I15" s="56" t="s">
        <v>37</v>
      </c>
      <c r="J15" s="56" t="s">
        <v>37</v>
      </c>
      <c r="K15" s="56" t="s">
        <v>37</v>
      </c>
      <c r="L15" s="56">
        <v>1</v>
      </c>
      <c r="M15" s="56">
        <v>4</v>
      </c>
      <c r="N15" s="56">
        <v>3</v>
      </c>
      <c r="O15" s="58">
        <v>0</v>
      </c>
      <c r="P15" s="58">
        <v>0</v>
      </c>
      <c r="Q15" s="58">
        <v>0</v>
      </c>
      <c r="R15" s="58">
        <v>0</v>
      </c>
      <c r="S15" s="58">
        <v>0</v>
      </c>
      <c r="T15" s="58">
        <v>0</v>
      </c>
      <c r="U15" s="58">
        <v>0</v>
      </c>
      <c r="V15" s="58">
        <v>0</v>
      </c>
      <c r="W15" s="58">
        <v>0</v>
      </c>
      <c r="X15" s="58">
        <v>0</v>
      </c>
      <c r="Y15" s="61">
        <v>0</v>
      </c>
      <c r="Z15" s="61">
        <v>0</v>
      </c>
      <c r="AA15" s="61">
        <v>0</v>
      </c>
      <c r="AB15" s="61">
        <v>0</v>
      </c>
      <c r="AC15" s="61">
        <v>0</v>
      </c>
      <c r="AD15" s="61">
        <v>0</v>
      </c>
      <c r="AE15" s="61">
        <v>0</v>
      </c>
      <c r="AF15" s="61">
        <v>0</v>
      </c>
    </row>
    <row r="16" spans="1:32" x14ac:dyDescent="0.2">
      <c r="A16" s="7" t="s">
        <v>212</v>
      </c>
      <c r="B16" s="25">
        <v>4399</v>
      </c>
      <c r="C16" s="25">
        <v>4736</v>
      </c>
      <c r="D16" s="25">
        <v>4855</v>
      </c>
      <c r="E16" s="25">
        <v>4693</v>
      </c>
      <c r="F16" s="56">
        <v>4859</v>
      </c>
      <c r="G16" s="56">
        <v>4486</v>
      </c>
      <c r="H16" s="25">
        <v>4401</v>
      </c>
      <c r="I16" s="25">
        <v>5140</v>
      </c>
      <c r="J16" s="25">
        <v>5217</v>
      </c>
      <c r="K16" s="25">
        <v>5899</v>
      </c>
      <c r="L16" s="25">
        <v>5470</v>
      </c>
      <c r="M16" s="25">
        <v>5842</v>
      </c>
      <c r="N16" s="25">
        <v>5319</v>
      </c>
      <c r="O16" s="59">
        <v>5188</v>
      </c>
      <c r="P16" s="59">
        <v>5439</v>
      </c>
      <c r="Q16" s="59">
        <v>6004</v>
      </c>
      <c r="R16" s="59">
        <v>7050</v>
      </c>
      <c r="S16" s="59">
        <v>6336</v>
      </c>
      <c r="T16" s="59">
        <v>5591</v>
      </c>
      <c r="U16" s="59">
        <v>5846</v>
      </c>
      <c r="V16" s="59">
        <v>6060</v>
      </c>
      <c r="W16" s="59">
        <v>5541</v>
      </c>
      <c r="X16" s="59">
        <v>5745.9900000000016</v>
      </c>
      <c r="Y16" s="64">
        <f>'9.3'!Y22</f>
        <v>6347.39</v>
      </c>
      <c r="Z16" s="64">
        <f>'9.3'!Z22</f>
        <v>5597</v>
      </c>
      <c r="AA16" s="64">
        <f>'9.3'!AA22</f>
        <v>5487</v>
      </c>
      <c r="AB16" s="64">
        <f>'9.3'!AB22</f>
        <v>6138.1</v>
      </c>
      <c r="AC16" s="64">
        <f>'9.3'!AC22</f>
        <v>5942.6</v>
      </c>
      <c r="AD16" s="64">
        <f>'9.3'!AD22</f>
        <v>6646</v>
      </c>
      <c r="AE16" s="64">
        <f>'9.3'!AE22</f>
        <v>5458.3</v>
      </c>
      <c r="AF16" s="64">
        <f>'9.3'!AF22</f>
        <v>6122.7</v>
      </c>
    </row>
    <row r="17" spans="1:32" ht="31.5" customHeight="1" x14ac:dyDescent="0.2">
      <c r="A17" s="7" t="s">
        <v>194</v>
      </c>
      <c r="B17" s="25">
        <v>45</v>
      </c>
      <c r="C17" s="25">
        <v>37</v>
      </c>
      <c r="D17" s="25">
        <v>42</v>
      </c>
      <c r="E17" s="25">
        <v>38</v>
      </c>
      <c r="F17" s="57" t="s">
        <v>427</v>
      </c>
      <c r="G17" s="57" t="s">
        <v>427</v>
      </c>
      <c r="H17" s="57" t="s">
        <v>427</v>
      </c>
      <c r="I17" s="57" t="s">
        <v>427</v>
      </c>
      <c r="J17" s="57" t="s">
        <v>427</v>
      </c>
      <c r="K17" s="57" t="s">
        <v>427</v>
      </c>
      <c r="L17" s="57" t="s">
        <v>427</v>
      </c>
      <c r="M17" s="57" t="s">
        <v>427</v>
      </c>
      <c r="N17" s="57" t="s">
        <v>427</v>
      </c>
      <c r="O17" s="57" t="s">
        <v>427</v>
      </c>
      <c r="P17" s="57" t="s">
        <v>427</v>
      </c>
      <c r="Q17" s="57" t="s">
        <v>427</v>
      </c>
      <c r="R17" s="57" t="s">
        <v>427</v>
      </c>
      <c r="S17" s="57" t="s">
        <v>427</v>
      </c>
      <c r="T17" s="57" t="s">
        <v>427</v>
      </c>
      <c r="U17" s="57" t="s">
        <v>427</v>
      </c>
      <c r="V17" s="57" t="s">
        <v>427</v>
      </c>
      <c r="W17" s="57" t="s">
        <v>427</v>
      </c>
      <c r="X17" s="57" t="s">
        <v>427</v>
      </c>
      <c r="Y17" s="57" t="s">
        <v>427</v>
      </c>
      <c r="Z17" s="57" t="s">
        <v>427</v>
      </c>
      <c r="AA17" s="57" t="s">
        <v>427</v>
      </c>
      <c r="AB17" s="57" t="s">
        <v>427</v>
      </c>
      <c r="AC17" s="57" t="s">
        <v>427</v>
      </c>
      <c r="AD17" s="57" t="s">
        <v>427</v>
      </c>
      <c r="AE17" s="57" t="s">
        <v>427</v>
      </c>
      <c r="AF17" s="57" t="s">
        <v>427</v>
      </c>
    </row>
    <row r="18" spans="1:32" x14ac:dyDescent="0.2">
      <c r="A18" s="7" t="s">
        <v>213</v>
      </c>
      <c r="B18" s="25">
        <v>258</v>
      </c>
      <c r="C18" s="25">
        <v>250</v>
      </c>
      <c r="D18" s="25">
        <v>265</v>
      </c>
      <c r="E18" s="25">
        <v>285</v>
      </c>
      <c r="F18" s="57">
        <v>280.44299999999998</v>
      </c>
      <c r="G18" s="57">
        <v>216.34800000000001</v>
      </c>
      <c r="H18" s="57">
        <v>292.779</v>
      </c>
      <c r="I18" s="57">
        <v>392.57499999999999</v>
      </c>
      <c r="J18" s="57">
        <v>364.94400000000002</v>
      </c>
      <c r="K18" s="57">
        <v>428.41800000000001</v>
      </c>
      <c r="L18" s="57">
        <v>793.44500000000005</v>
      </c>
      <c r="M18" s="57">
        <v>891.82500000000005</v>
      </c>
      <c r="N18" s="57">
        <v>887</v>
      </c>
      <c r="O18" s="57">
        <v>786</v>
      </c>
      <c r="P18" s="57">
        <v>752</v>
      </c>
      <c r="Q18" s="57">
        <v>944</v>
      </c>
      <c r="R18" s="57">
        <v>967</v>
      </c>
      <c r="S18" s="57">
        <v>1028</v>
      </c>
      <c r="T18" s="57">
        <v>896</v>
      </c>
      <c r="U18" s="57">
        <v>1300</v>
      </c>
      <c r="V18" s="57">
        <v>709.04399999999998</v>
      </c>
      <c r="W18" s="57">
        <v>680</v>
      </c>
      <c r="X18" s="57">
        <v>652.5</v>
      </c>
      <c r="Y18" s="64">
        <v>803.25199999999995</v>
      </c>
      <c r="Z18" s="64">
        <v>656</v>
      </c>
      <c r="AA18" s="64">
        <f>'9.3'!AA25</f>
        <v>546.07099999999991</v>
      </c>
      <c r="AB18" s="64">
        <f>'9.3'!AB25</f>
        <v>563.20000000000005</v>
      </c>
      <c r="AC18" s="64">
        <f>'9.3'!AC25</f>
        <v>553.9</v>
      </c>
      <c r="AD18" s="64">
        <f>'9.3'!AD25</f>
        <v>946.3</v>
      </c>
      <c r="AE18" s="64">
        <f>'9.3'!AE25</f>
        <v>792.82</v>
      </c>
      <c r="AF18" s="64">
        <f>'9.3'!AF25</f>
        <v>830.47</v>
      </c>
    </row>
    <row r="19" spans="1:32" ht="31.5" customHeight="1" x14ac:dyDescent="0.2">
      <c r="A19" s="7" t="s">
        <v>195</v>
      </c>
      <c r="B19" s="25">
        <v>8991</v>
      </c>
      <c r="C19" s="25">
        <v>8329</v>
      </c>
      <c r="D19" s="25">
        <v>11668</v>
      </c>
      <c r="E19" s="25">
        <v>13891</v>
      </c>
      <c r="F19" s="56">
        <v>12687</v>
      </c>
      <c r="G19" s="56">
        <v>11245</v>
      </c>
      <c r="H19" s="25">
        <v>10248</v>
      </c>
      <c r="I19" s="25">
        <v>15971</v>
      </c>
      <c r="J19" s="25">
        <v>16795</v>
      </c>
      <c r="K19" s="25">
        <v>22622</v>
      </c>
      <c r="L19" s="25">
        <v>18218</v>
      </c>
      <c r="M19" s="25">
        <v>18591</v>
      </c>
      <c r="N19" s="25">
        <v>14304</v>
      </c>
      <c r="O19" s="59">
        <v>17779</v>
      </c>
      <c r="P19" s="59">
        <v>14379</v>
      </c>
      <c r="Q19" s="59">
        <v>11103</v>
      </c>
      <c r="R19" s="59">
        <v>10414</v>
      </c>
      <c r="S19" s="59">
        <v>4595</v>
      </c>
      <c r="T19" s="59">
        <v>3027</v>
      </c>
      <c r="U19" s="59">
        <v>2999</v>
      </c>
      <c r="V19" s="59">
        <v>2096</v>
      </c>
      <c r="W19" s="59">
        <v>1487</v>
      </c>
      <c r="X19" s="59">
        <v>825.13</v>
      </c>
      <c r="Y19" s="59">
        <v>917.79200000000003</v>
      </c>
      <c r="Z19" s="59">
        <v>3689</v>
      </c>
      <c r="AA19" s="59">
        <v>4348</v>
      </c>
      <c r="AB19" s="59">
        <v>4585</v>
      </c>
      <c r="AC19" s="59">
        <v>3194.0199999999977</v>
      </c>
      <c r="AD19" s="59">
        <v>2777.5</v>
      </c>
      <c r="AE19" s="59">
        <v>2414</v>
      </c>
      <c r="AF19" s="56">
        <v>2474.8000000000002</v>
      </c>
    </row>
    <row r="20" spans="1:32" x14ac:dyDescent="0.2">
      <c r="A20" s="7" t="s">
        <v>214</v>
      </c>
      <c r="B20" s="25">
        <v>173</v>
      </c>
      <c r="C20" s="25">
        <v>192</v>
      </c>
      <c r="D20" s="25">
        <v>184</v>
      </c>
      <c r="E20" s="25">
        <v>206</v>
      </c>
      <c r="F20" s="56">
        <v>192</v>
      </c>
      <c r="G20" s="56">
        <v>203</v>
      </c>
      <c r="H20" s="25">
        <v>235</v>
      </c>
      <c r="I20" s="25">
        <v>186</v>
      </c>
      <c r="J20" s="25">
        <v>203</v>
      </c>
      <c r="K20" s="25">
        <v>176</v>
      </c>
      <c r="L20" s="25">
        <v>189</v>
      </c>
      <c r="M20" s="25">
        <v>221</v>
      </c>
      <c r="N20" s="25">
        <v>118</v>
      </c>
      <c r="O20" s="25">
        <v>155</v>
      </c>
      <c r="P20" s="59">
        <v>155</v>
      </c>
      <c r="Q20" s="59">
        <v>146</v>
      </c>
      <c r="R20" s="59">
        <v>178</v>
      </c>
      <c r="S20" s="59">
        <v>194</v>
      </c>
      <c r="T20" s="59">
        <v>214</v>
      </c>
      <c r="U20" s="59">
        <v>245</v>
      </c>
      <c r="V20" s="59">
        <v>248</v>
      </c>
      <c r="W20" s="59">
        <v>242</v>
      </c>
      <c r="X20" s="59">
        <v>228.75300000000004</v>
      </c>
      <c r="Y20" s="64">
        <f>'9.3'!Y28-'9.4'!Y19</f>
        <v>233.10800000000006</v>
      </c>
      <c r="Z20" s="64">
        <f>'9.3'!Z28-'9.4'!Z19</f>
        <v>256</v>
      </c>
      <c r="AA20" s="64">
        <f>'9.3'!AA28-'9.4'!AA19</f>
        <v>267</v>
      </c>
      <c r="AB20" s="64">
        <f>'9.3'!AB28-'9.4'!AB19</f>
        <v>267.10000000000036</v>
      </c>
      <c r="AC20" s="64">
        <f>'9.3'!AC28-'9.4'!AC19</f>
        <v>275.98000000000229</v>
      </c>
      <c r="AD20" s="64">
        <f>'9.3'!AD28-'9.4'!AD19</f>
        <v>272.5</v>
      </c>
      <c r="AE20" s="64">
        <f>'9.3'!AE28-'9.4'!AE19</f>
        <v>255.59999999999991</v>
      </c>
      <c r="AF20" s="64">
        <f>'9.3'!AF28-'9.4'!AF19</f>
        <v>303.29999999999973</v>
      </c>
    </row>
    <row r="21" spans="1:32" ht="31.5" customHeight="1" x14ac:dyDescent="0.2">
      <c r="A21" s="7" t="s">
        <v>196</v>
      </c>
      <c r="B21" s="25">
        <v>285</v>
      </c>
      <c r="C21" s="25">
        <v>191</v>
      </c>
      <c r="D21" s="25">
        <v>204</v>
      </c>
      <c r="E21" s="25">
        <v>200</v>
      </c>
      <c r="F21" s="57" t="s">
        <v>46</v>
      </c>
      <c r="G21" s="57" t="s">
        <v>46</v>
      </c>
      <c r="H21" s="57" t="s">
        <v>46</v>
      </c>
      <c r="I21" s="57" t="s">
        <v>46</v>
      </c>
      <c r="J21" s="57" t="s">
        <v>46</v>
      </c>
      <c r="K21" s="57" t="s">
        <v>46</v>
      </c>
      <c r="L21" s="57" t="s">
        <v>46</v>
      </c>
      <c r="M21" s="57" t="s">
        <v>46</v>
      </c>
      <c r="N21" s="57" t="s">
        <v>46</v>
      </c>
      <c r="O21" s="57" t="s">
        <v>46</v>
      </c>
      <c r="P21" s="57" t="s">
        <v>46</v>
      </c>
      <c r="Q21" s="57" t="s">
        <v>46</v>
      </c>
      <c r="R21" s="57" t="s">
        <v>46</v>
      </c>
      <c r="S21" s="57" t="s">
        <v>46</v>
      </c>
      <c r="T21" s="57" t="s">
        <v>46</v>
      </c>
      <c r="U21" s="57" t="s">
        <v>46</v>
      </c>
      <c r="V21" s="57" t="s">
        <v>46</v>
      </c>
      <c r="W21" s="57" t="s">
        <v>46</v>
      </c>
      <c r="X21" s="57" t="s">
        <v>46</v>
      </c>
      <c r="Y21" s="57" t="s">
        <v>46</v>
      </c>
      <c r="Z21" s="57" t="s">
        <v>46</v>
      </c>
      <c r="AA21" s="57" t="s">
        <v>46</v>
      </c>
      <c r="AB21" s="57" t="s">
        <v>46</v>
      </c>
      <c r="AC21" s="57" t="s">
        <v>46</v>
      </c>
      <c r="AD21" s="57" t="s">
        <v>46</v>
      </c>
      <c r="AE21" s="57" t="s">
        <v>46</v>
      </c>
      <c r="AF21" s="57" t="s">
        <v>46</v>
      </c>
    </row>
    <row r="22" spans="1:32" x14ac:dyDescent="0.2">
      <c r="A22" s="7" t="s">
        <v>215</v>
      </c>
      <c r="B22" s="25">
        <v>444</v>
      </c>
      <c r="C22" s="25">
        <v>582</v>
      </c>
      <c r="D22" s="25">
        <v>705</v>
      </c>
      <c r="E22" s="25">
        <v>683</v>
      </c>
      <c r="F22" s="57">
        <v>900.86900000000003</v>
      </c>
      <c r="G22" s="57">
        <v>800</v>
      </c>
      <c r="H22" s="57">
        <v>686.72799999999995</v>
      </c>
      <c r="I22" s="57">
        <v>558.81600000000003</v>
      </c>
      <c r="J22" s="57">
        <v>485.6</v>
      </c>
      <c r="K22" s="57">
        <v>520.64099999999996</v>
      </c>
      <c r="L22" s="57">
        <v>978.88400000000001</v>
      </c>
      <c r="M22" s="57">
        <v>652.95100000000002</v>
      </c>
      <c r="N22" s="57">
        <v>616</v>
      </c>
      <c r="O22" s="57">
        <v>590</v>
      </c>
      <c r="P22" s="57">
        <v>622</v>
      </c>
      <c r="Q22" s="57">
        <v>541</v>
      </c>
      <c r="R22" s="57">
        <v>615</v>
      </c>
      <c r="S22" s="57">
        <v>658</v>
      </c>
      <c r="T22" s="57">
        <v>560</v>
      </c>
      <c r="U22" s="57">
        <v>568</v>
      </c>
      <c r="V22" s="57">
        <v>584.56399999999996</v>
      </c>
      <c r="W22" s="57">
        <v>670</v>
      </c>
      <c r="X22" s="57">
        <v>823.5</v>
      </c>
      <c r="Y22" s="64">
        <v>838.16099999999994</v>
      </c>
      <c r="Z22" s="64">
        <v>746</v>
      </c>
      <c r="AA22" s="64">
        <f>'9.3'!AA31</f>
        <v>629</v>
      </c>
      <c r="AB22" s="64">
        <f>'9.3'!AB31</f>
        <v>604</v>
      </c>
      <c r="AC22" s="64">
        <f>'9.3'!AC31</f>
        <v>512.6</v>
      </c>
      <c r="AD22" s="64">
        <f>'9.3'!AD31</f>
        <v>547.72</v>
      </c>
      <c r="AE22" s="64">
        <f>'9.3'!AE31</f>
        <v>756</v>
      </c>
      <c r="AF22" s="64">
        <f>'9.3'!AF31</f>
        <v>558.69000000000005</v>
      </c>
    </row>
    <row r="23" spans="1:32" ht="33" customHeight="1" x14ac:dyDescent="0.2">
      <c r="A23" s="7" t="s">
        <v>197</v>
      </c>
      <c r="B23" s="25">
        <v>35913</v>
      </c>
      <c r="C23" s="25">
        <v>41419</v>
      </c>
      <c r="D23" s="25">
        <v>39344</v>
      </c>
      <c r="E23" s="25">
        <v>38577</v>
      </c>
      <c r="F23" s="56">
        <v>38307</v>
      </c>
      <c r="G23" s="56">
        <v>38139</v>
      </c>
      <c r="H23" s="25">
        <v>32034</v>
      </c>
      <c r="I23" s="25">
        <v>31053</v>
      </c>
      <c r="J23" s="25">
        <v>37640</v>
      </c>
      <c r="K23" s="25">
        <v>38204</v>
      </c>
      <c r="L23" s="25">
        <v>31007</v>
      </c>
      <c r="M23" s="25">
        <v>29376</v>
      </c>
      <c r="N23" s="25">
        <v>26360</v>
      </c>
      <c r="O23" s="59">
        <v>23939</v>
      </c>
      <c r="P23" s="59">
        <v>20494</v>
      </c>
      <c r="Q23" s="59">
        <v>19417</v>
      </c>
      <c r="R23" s="59">
        <v>16537</v>
      </c>
      <c r="S23" s="59">
        <v>14507</v>
      </c>
      <c r="T23" s="59">
        <v>11217</v>
      </c>
      <c r="U23" s="59">
        <v>11202</v>
      </c>
      <c r="V23" s="59">
        <v>10134</v>
      </c>
      <c r="W23" s="59">
        <v>11339</v>
      </c>
      <c r="X23" s="59">
        <v>6352.4070000000002</v>
      </c>
      <c r="Y23" s="64">
        <v>7180.4049999999997</v>
      </c>
      <c r="Z23" s="64">
        <v>6108</v>
      </c>
      <c r="AA23" s="59">
        <v>6179.222999999999</v>
      </c>
      <c r="AB23" s="59">
        <v>5175</v>
      </c>
      <c r="AC23" s="59">
        <v>5326.2819999999983</v>
      </c>
      <c r="AD23" s="59">
        <v>7367.9</v>
      </c>
      <c r="AE23" s="59">
        <v>6825.6</v>
      </c>
      <c r="AF23" s="56">
        <v>6190.7</v>
      </c>
    </row>
    <row r="24" spans="1:32" x14ac:dyDescent="0.2">
      <c r="A24" s="7" t="s">
        <v>216</v>
      </c>
      <c r="B24" s="25">
        <v>6</v>
      </c>
      <c r="C24" s="25">
        <v>11</v>
      </c>
      <c r="D24" s="25">
        <v>30</v>
      </c>
      <c r="E24" s="25">
        <v>15</v>
      </c>
      <c r="F24" s="56">
        <v>28</v>
      </c>
      <c r="G24" s="56">
        <v>23</v>
      </c>
      <c r="H24" s="25">
        <v>48</v>
      </c>
      <c r="I24" s="25">
        <v>55</v>
      </c>
      <c r="J24" s="25">
        <v>41</v>
      </c>
      <c r="K24" s="56" t="s">
        <v>37</v>
      </c>
      <c r="L24" s="56">
        <v>159</v>
      </c>
      <c r="M24" s="57" t="s">
        <v>37</v>
      </c>
      <c r="N24" s="56" t="s">
        <v>37</v>
      </c>
      <c r="O24" s="56" t="s">
        <v>37</v>
      </c>
      <c r="P24" s="59">
        <v>47</v>
      </c>
      <c r="Q24" s="59">
        <v>30</v>
      </c>
      <c r="R24" s="59">
        <v>36</v>
      </c>
      <c r="S24" s="59">
        <v>32</v>
      </c>
      <c r="T24" s="56" t="s">
        <v>37</v>
      </c>
      <c r="U24" s="56">
        <v>69</v>
      </c>
      <c r="V24" s="56">
        <v>19</v>
      </c>
      <c r="W24" s="59">
        <v>59</v>
      </c>
      <c r="X24" s="59">
        <v>41.155999999999949</v>
      </c>
      <c r="Y24" s="64">
        <f>'9.3'!Y34-'9.4'!Y23</f>
        <v>4.5579999999999927</v>
      </c>
      <c r="Z24" s="64">
        <f>'9.3'!Z34-'9.4'!Z23</f>
        <v>12</v>
      </c>
      <c r="AA24" s="64">
        <f>'9.3'!AA34-'9.4'!AA23</f>
        <v>3.7770000000009532</v>
      </c>
      <c r="AB24" s="64">
        <f>'9.3'!AB34-'9.4'!AB23</f>
        <v>3.8999999999996362</v>
      </c>
      <c r="AC24" s="64">
        <f>'9.3'!AC34-'9.4'!AC23</f>
        <v>2.6180000000013024</v>
      </c>
      <c r="AD24" s="64">
        <f>'9.3'!AD34-'9.4'!AD23</f>
        <v>3.3000000000001819</v>
      </c>
      <c r="AE24" s="64">
        <f>'9.3'!AE34-'9.4'!AE23</f>
        <v>3.5999999999994543</v>
      </c>
      <c r="AF24" s="64">
        <f>'9.3'!AF34-'9.4'!AF23</f>
        <v>3.6999999999998181</v>
      </c>
    </row>
    <row r="25" spans="1:32" ht="33" customHeight="1" x14ac:dyDescent="0.2">
      <c r="A25" s="7" t="s">
        <v>198</v>
      </c>
      <c r="B25" s="25">
        <v>1048</v>
      </c>
      <c r="C25" s="25">
        <v>720</v>
      </c>
      <c r="D25" s="25">
        <v>947</v>
      </c>
      <c r="E25" s="25">
        <v>2171</v>
      </c>
      <c r="F25" s="56">
        <v>2012</v>
      </c>
      <c r="G25" s="56">
        <v>4115</v>
      </c>
      <c r="H25" s="25">
        <v>3775</v>
      </c>
      <c r="I25" s="25">
        <v>4227</v>
      </c>
      <c r="J25" s="25">
        <v>2091</v>
      </c>
      <c r="K25" s="25">
        <v>2128</v>
      </c>
      <c r="L25" s="25">
        <v>1922</v>
      </c>
      <c r="M25" s="25">
        <v>2431</v>
      </c>
      <c r="N25" s="25">
        <v>3315</v>
      </c>
      <c r="O25" s="59">
        <v>2983</v>
      </c>
      <c r="P25" s="59">
        <v>3164</v>
      </c>
      <c r="Q25" s="59">
        <v>3031</v>
      </c>
      <c r="R25" s="59">
        <v>3336</v>
      </c>
      <c r="S25" s="59">
        <v>2101</v>
      </c>
      <c r="T25" s="59">
        <v>2730</v>
      </c>
      <c r="U25" s="59">
        <v>3454</v>
      </c>
      <c r="V25" s="59">
        <v>3821</v>
      </c>
      <c r="W25" s="59">
        <v>2410</v>
      </c>
      <c r="X25" s="59">
        <v>3180.924</v>
      </c>
      <c r="Y25" s="64">
        <v>1338.9369999999999</v>
      </c>
      <c r="Z25" s="64">
        <v>87</v>
      </c>
      <c r="AA25" s="65">
        <v>207</v>
      </c>
      <c r="AB25" s="65">
        <v>63</v>
      </c>
      <c r="AC25" s="59">
        <v>24.145</v>
      </c>
      <c r="AD25" s="59">
        <v>19.739999999999998</v>
      </c>
      <c r="AE25" s="59">
        <v>23.4</v>
      </c>
      <c r="AF25" s="56">
        <v>26.25</v>
      </c>
    </row>
    <row r="26" spans="1:32" x14ac:dyDescent="0.2">
      <c r="A26" s="7" t="s">
        <v>217</v>
      </c>
      <c r="B26" s="25">
        <v>262</v>
      </c>
      <c r="C26" s="25">
        <v>272</v>
      </c>
      <c r="D26" s="25">
        <v>241</v>
      </c>
      <c r="E26" s="25">
        <v>299</v>
      </c>
      <c r="F26" s="56">
        <v>253</v>
      </c>
      <c r="G26" s="56">
        <v>213</v>
      </c>
      <c r="H26" s="25">
        <v>196</v>
      </c>
      <c r="I26" s="25">
        <v>228</v>
      </c>
      <c r="J26" s="25">
        <v>245</v>
      </c>
      <c r="K26" s="25">
        <v>201</v>
      </c>
      <c r="L26" s="25">
        <v>223</v>
      </c>
      <c r="M26" s="25">
        <v>227</v>
      </c>
      <c r="N26" s="25">
        <v>186</v>
      </c>
      <c r="O26" s="25">
        <v>225</v>
      </c>
      <c r="P26" s="59">
        <v>161</v>
      </c>
      <c r="Q26" s="59">
        <v>175</v>
      </c>
      <c r="R26" s="59">
        <v>166</v>
      </c>
      <c r="S26" s="59">
        <v>151</v>
      </c>
      <c r="T26" s="59">
        <v>134</v>
      </c>
      <c r="U26" s="59">
        <v>209</v>
      </c>
      <c r="V26" s="59">
        <v>199</v>
      </c>
      <c r="W26" s="59">
        <v>218</v>
      </c>
      <c r="X26" s="59">
        <v>197.26900000000023</v>
      </c>
      <c r="Y26" s="64">
        <f>'9.3'!Y37-'9.4'!Y25</f>
        <v>252.05300000000011</v>
      </c>
      <c r="Z26" s="64">
        <f>'9.3'!Z37-'9.4'!Z25</f>
        <v>175</v>
      </c>
      <c r="AA26" s="64">
        <f>'9.3'!AA37-'9.4'!AA25</f>
        <v>188</v>
      </c>
      <c r="AB26" s="64">
        <f>'9.3'!AB37-'9.4'!AB25</f>
        <v>163.69999999999999</v>
      </c>
      <c r="AC26" s="64">
        <f>'9.3'!AC37-'9.4'!AC25</f>
        <v>250.55500000000004</v>
      </c>
      <c r="AD26" s="64">
        <f>'9.3'!AD37-'9.4'!AD25</f>
        <v>909.31999999999994</v>
      </c>
      <c r="AE26" s="64">
        <f>'9.3'!AE37-'9.4'!AE25</f>
        <v>398</v>
      </c>
      <c r="AF26" s="64">
        <f>'9.3'!AF37-'9.4'!AF25</f>
        <v>397.67</v>
      </c>
    </row>
    <row r="27" spans="1:32" ht="35.25" customHeight="1" x14ac:dyDescent="0.2">
      <c r="A27" s="7" t="s">
        <v>199</v>
      </c>
      <c r="B27" s="25">
        <v>498</v>
      </c>
      <c r="C27" s="25">
        <v>540</v>
      </c>
      <c r="D27" s="25">
        <v>525</v>
      </c>
      <c r="E27" s="25">
        <v>500</v>
      </c>
      <c r="F27" s="57" t="s">
        <v>427</v>
      </c>
      <c r="G27" s="57" t="s">
        <v>427</v>
      </c>
      <c r="H27" s="57" t="s">
        <v>427</v>
      </c>
      <c r="I27" s="57" t="s">
        <v>427</v>
      </c>
      <c r="J27" s="57" t="s">
        <v>427</v>
      </c>
      <c r="K27" s="57" t="s">
        <v>427</v>
      </c>
      <c r="L27" s="57" t="s">
        <v>427</v>
      </c>
      <c r="M27" s="57" t="s">
        <v>427</v>
      </c>
      <c r="N27" s="57" t="s">
        <v>427</v>
      </c>
      <c r="O27" s="57" t="s">
        <v>427</v>
      </c>
      <c r="P27" s="57" t="s">
        <v>427</v>
      </c>
      <c r="Q27" s="57" t="s">
        <v>427</v>
      </c>
      <c r="R27" s="57" t="s">
        <v>427</v>
      </c>
      <c r="S27" s="57" t="s">
        <v>427</v>
      </c>
      <c r="T27" s="57" t="s">
        <v>427</v>
      </c>
      <c r="U27" s="57" t="s">
        <v>427</v>
      </c>
      <c r="V27" s="57" t="s">
        <v>427</v>
      </c>
      <c r="W27" s="57" t="s">
        <v>427</v>
      </c>
      <c r="X27" s="57" t="s">
        <v>427</v>
      </c>
      <c r="Y27" s="57" t="s">
        <v>427</v>
      </c>
      <c r="Z27" s="57" t="s">
        <v>427</v>
      </c>
      <c r="AA27" s="57" t="s">
        <v>427</v>
      </c>
      <c r="AB27" s="57" t="s">
        <v>427</v>
      </c>
      <c r="AC27" s="57" t="s">
        <v>427</v>
      </c>
      <c r="AD27" s="57" t="s">
        <v>427</v>
      </c>
      <c r="AE27" s="57" t="s">
        <v>427</v>
      </c>
      <c r="AF27" s="57" t="s">
        <v>427</v>
      </c>
    </row>
    <row r="28" spans="1:32" x14ac:dyDescent="0.2">
      <c r="A28" s="7" t="s">
        <v>218</v>
      </c>
      <c r="B28" s="25">
        <v>160</v>
      </c>
      <c r="C28" s="25">
        <v>197</v>
      </c>
      <c r="D28" s="25">
        <v>199</v>
      </c>
      <c r="E28" s="25">
        <v>278</v>
      </c>
      <c r="F28" s="57">
        <v>725.375</v>
      </c>
      <c r="G28" s="57">
        <v>744.6</v>
      </c>
      <c r="H28" s="57">
        <v>769.36900000000003</v>
      </c>
      <c r="I28" s="57">
        <v>762.69500000000005</v>
      </c>
      <c r="J28" s="57">
        <v>783.46500000000003</v>
      </c>
      <c r="K28" s="57">
        <v>724.01099999999997</v>
      </c>
      <c r="L28" s="57">
        <v>714.2</v>
      </c>
      <c r="M28" s="57">
        <v>685.61800000000005</v>
      </c>
      <c r="N28" s="57">
        <v>727</v>
      </c>
      <c r="O28" s="57">
        <v>726</v>
      </c>
      <c r="P28" s="57">
        <v>665</v>
      </c>
      <c r="Q28" s="57">
        <v>671</v>
      </c>
      <c r="R28" s="57">
        <v>684</v>
      </c>
      <c r="S28" s="57">
        <v>697</v>
      </c>
      <c r="T28" s="57">
        <v>651</v>
      </c>
      <c r="U28" s="57">
        <v>671</v>
      </c>
      <c r="V28" s="57">
        <v>599.42200000000003</v>
      </c>
      <c r="W28" s="57">
        <v>521</v>
      </c>
      <c r="X28" s="57">
        <v>562.9</v>
      </c>
      <c r="Y28" s="66">
        <v>474.80900000000003</v>
      </c>
      <c r="Z28" s="66">
        <v>566</v>
      </c>
      <c r="AA28" s="64">
        <f>'9.3'!AA40</f>
        <v>664</v>
      </c>
      <c r="AB28" s="64">
        <f>'9.3'!AB40</f>
        <v>565.29999999999995</v>
      </c>
      <c r="AC28" s="64">
        <f>'9.3'!AC40</f>
        <v>671.8</v>
      </c>
      <c r="AD28" s="64">
        <f>'9.3'!AD40</f>
        <v>645.49</v>
      </c>
      <c r="AE28" s="64">
        <f>'9.3'!AE40</f>
        <v>571.76</v>
      </c>
      <c r="AF28" s="64">
        <f>'9.3'!AF40</f>
        <v>766.6</v>
      </c>
    </row>
    <row r="29" spans="1:32" ht="39.75" customHeight="1" x14ac:dyDescent="0.2">
      <c r="A29" s="7" t="s">
        <v>200</v>
      </c>
      <c r="B29" s="25">
        <v>1451</v>
      </c>
      <c r="C29" s="25">
        <v>1067</v>
      </c>
      <c r="D29" s="25">
        <v>590</v>
      </c>
      <c r="E29" s="25">
        <v>478</v>
      </c>
      <c r="F29" s="57" t="s">
        <v>46</v>
      </c>
      <c r="G29" s="57" t="s">
        <v>46</v>
      </c>
      <c r="H29" s="57" t="s">
        <v>46</v>
      </c>
      <c r="I29" s="57" t="s">
        <v>46</v>
      </c>
      <c r="J29" s="57">
        <v>445</v>
      </c>
      <c r="K29" s="25">
        <v>326</v>
      </c>
      <c r="L29" s="25">
        <v>285</v>
      </c>
      <c r="M29" s="25">
        <v>347</v>
      </c>
      <c r="N29" s="25">
        <v>436</v>
      </c>
      <c r="O29" s="25">
        <v>249</v>
      </c>
      <c r="P29" s="59">
        <v>451</v>
      </c>
      <c r="Q29" s="59">
        <v>369</v>
      </c>
      <c r="R29" s="59">
        <v>143</v>
      </c>
      <c r="S29" s="59">
        <v>230</v>
      </c>
      <c r="T29" s="59">
        <v>309</v>
      </c>
      <c r="U29" s="59">
        <v>365</v>
      </c>
      <c r="V29" s="59">
        <v>260</v>
      </c>
      <c r="W29" s="59">
        <v>282</v>
      </c>
      <c r="X29" s="59">
        <v>304.53199999999998</v>
      </c>
      <c r="Y29" s="64">
        <v>235.59399999999999</v>
      </c>
      <c r="Z29" s="64">
        <v>330</v>
      </c>
      <c r="AA29" s="59">
        <v>443</v>
      </c>
      <c r="AB29" s="59">
        <v>456</v>
      </c>
      <c r="AC29" s="59">
        <v>470.86500000000001</v>
      </c>
      <c r="AD29" s="59">
        <v>411.4</v>
      </c>
      <c r="AE29" s="59">
        <v>382.44</v>
      </c>
      <c r="AF29" s="56">
        <v>386.66</v>
      </c>
    </row>
    <row r="30" spans="1:32" x14ac:dyDescent="0.2">
      <c r="A30" s="7" t="s">
        <v>219</v>
      </c>
      <c r="B30" s="25">
        <v>572</v>
      </c>
      <c r="C30" s="25">
        <v>766</v>
      </c>
      <c r="D30" s="25">
        <v>877</v>
      </c>
      <c r="E30" s="25">
        <v>946</v>
      </c>
      <c r="F30" s="57">
        <v>1303.7929999999999</v>
      </c>
      <c r="G30" s="57">
        <v>1457.627</v>
      </c>
      <c r="H30" s="57">
        <v>818.74300000000005</v>
      </c>
      <c r="I30" s="57">
        <v>2818.1</v>
      </c>
      <c r="J30" s="57">
        <v>1765</v>
      </c>
      <c r="K30" s="25">
        <v>797</v>
      </c>
      <c r="L30" s="25">
        <v>1054</v>
      </c>
      <c r="M30" s="25">
        <v>996</v>
      </c>
      <c r="N30" s="25">
        <v>615</v>
      </c>
      <c r="O30" s="25">
        <v>427</v>
      </c>
      <c r="P30" s="59">
        <v>477</v>
      </c>
      <c r="Q30" s="59">
        <v>578</v>
      </c>
      <c r="R30" s="59">
        <v>647</v>
      </c>
      <c r="S30" s="59">
        <v>641</v>
      </c>
      <c r="T30" s="59">
        <v>488</v>
      </c>
      <c r="U30" s="59">
        <v>742</v>
      </c>
      <c r="V30" s="59">
        <v>794</v>
      </c>
      <c r="W30" s="59">
        <v>742</v>
      </c>
      <c r="X30" s="59">
        <v>666.56700000000023</v>
      </c>
      <c r="Y30" s="64">
        <f>'9.3'!Y43-'9.4'!Y29</f>
        <v>1141.2329999999999</v>
      </c>
      <c r="Z30" s="64">
        <f>'9.3'!Z43-'9.4'!Z29</f>
        <v>1138</v>
      </c>
      <c r="AA30" s="64">
        <f>'9.3'!AA43-'9.4'!AA29</f>
        <v>705</v>
      </c>
      <c r="AB30" s="64">
        <f>'9.3'!AB43-'9.4'!AB29</f>
        <v>832.2</v>
      </c>
      <c r="AC30" s="64">
        <f>'9.3'!AC43-'9.4'!AC29</f>
        <v>660.33500000000004</v>
      </c>
      <c r="AD30" s="64">
        <f>'9.3'!AD43-'9.4'!AD29</f>
        <v>678.4</v>
      </c>
      <c r="AE30" s="64">
        <f>'9.3'!AE43-'9.4'!AE29</f>
        <v>593.38000000000011</v>
      </c>
      <c r="AF30" s="64">
        <f>'9.3'!AF43-'9.4'!AF29</f>
        <v>579.31999999999994</v>
      </c>
    </row>
    <row r="31" spans="1:32" ht="30.75" customHeight="1" x14ac:dyDescent="0.2">
      <c r="A31" s="7" t="s">
        <v>201</v>
      </c>
      <c r="B31" s="25">
        <v>900</v>
      </c>
      <c r="C31" s="25">
        <v>909</v>
      </c>
      <c r="D31" s="25">
        <v>925</v>
      </c>
      <c r="E31" s="25">
        <v>884</v>
      </c>
      <c r="F31" s="56">
        <v>852</v>
      </c>
      <c r="G31" s="56">
        <v>952</v>
      </c>
      <c r="H31" s="25">
        <v>930</v>
      </c>
      <c r="I31" s="25">
        <v>868</v>
      </c>
      <c r="J31" s="25">
        <v>852</v>
      </c>
      <c r="K31" s="25">
        <v>1063</v>
      </c>
      <c r="L31" s="25">
        <v>1086</v>
      </c>
      <c r="M31" s="25">
        <v>1092</v>
      </c>
      <c r="N31" s="25">
        <v>1068</v>
      </c>
      <c r="O31" s="59">
        <v>1357</v>
      </c>
      <c r="P31" s="59">
        <v>1396</v>
      </c>
      <c r="Q31" s="59">
        <v>1517</v>
      </c>
      <c r="R31" s="59">
        <v>1487</v>
      </c>
      <c r="S31" s="59">
        <v>1468</v>
      </c>
      <c r="T31" s="59">
        <v>1044</v>
      </c>
      <c r="U31" s="59">
        <v>1022</v>
      </c>
      <c r="V31" s="59">
        <v>1018</v>
      </c>
      <c r="W31" s="59">
        <v>1073</v>
      </c>
      <c r="X31" s="59">
        <v>1073.0150000000001</v>
      </c>
      <c r="Y31" s="64">
        <v>1019.073</v>
      </c>
      <c r="Z31" s="64">
        <v>1388</v>
      </c>
      <c r="AA31" s="59">
        <v>1130</v>
      </c>
      <c r="AB31" s="59">
        <v>1334</v>
      </c>
      <c r="AC31" s="59">
        <v>1386.8189999999997</v>
      </c>
      <c r="AD31" s="59">
        <v>1402.5</v>
      </c>
      <c r="AE31" s="59">
        <v>1147.3</v>
      </c>
      <c r="AF31" s="56">
        <v>1122.2</v>
      </c>
    </row>
    <row r="32" spans="1:32" x14ac:dyDescent="0.2">
      <c r="A32" s="7" t="s">
        <v>220</v>
      </c>
      <c r="B32" s="25">
        <v>3157</v>
      </c>
      <c r="C32" s="25">
        <v>3070</v>
      </c>
      <c r="D32" s="25">
        <v>2874</v>
      </c>
      <c r="E32" s="25">
        <v>2595</v>
      </c>
      <c r="F32" s="56">
        <v>2792</v>
      </c>
      <c r="G32" s="56">
        <v>3040</v>
      </c>
      <c r="H32" s="25">
        <v>3083</v>
      </c>
      <c r="I32" s="25">
        <v>2919</v>
      </c>
      <c r="J32" s="25">
        <v>2516</v>
      </c>
      <c r="K32" s="25">
        <v>2314</v>
      </c>
      <c r="L32" s="25">
        <v>2759</v>
      </c>
      <c r="M32" s="25">
        <v>2553</v>
      </c>
      <c r="N32" s="25">
        <v>2165</v>
      </c>
      <c r="O32" s="25">
        <v>2531</v>
      </c>
      <c r="P32" s="59">
        <v>3213</v>
      </c>
      <c r="Q32" s="59">
        <v>3146</v>
      </c>
      <c r="R32" s="59">
        <v>3644</v>
      </c>
      <c r="S32" s="59">
        <v>3365</v>
      </c>
      <c r="T32" s="59">
        <v>3526</v>
      </c>
      <c r="U32" s="59">
        <v>3142</v>
      </c>
      <c r="V32" s="59">
        <v>3147</v>
      </c>
      <c r="W32" s="59">
        <v>3420</v>
      </c>
      <c r="X32" s="59">
        <v>3190.4599999999991</v>
      </c>
      <c r="Y32" s="64">
        <f>'9.3'!Y46-'9.4'!Y31</f>
        <v>3212.0800000000004</v>
      </c>
      <c r="Z32" s="64">
        <f>'9.3'!Z46-'9.4'!Z31</f>
        <v>2988</v>
      </c>
      <c r="AA32" s="64">
        <f>'9.3'!AA46-'9.4'!AA31</f>
        <v>2640</v>
      </c>
      <c r="AB32" s="64">
        <f>'9.3'!AB46-'9.4'!AB31</f>
        <v>2724.4</v>
      </c>
      <c r="AC32" s="64">
        <f>'9.3'!AC46-'9.4'!AC31</f>
        <v>2750.9810000000007</v>
      </c>
      <c r="AD32" s="64">
        <f>'9.3'!AD46-'9.4'!AD31</f>
        <v>2792</v>
      </c>
      <c r="AE32" s="64">
        <f>'9.3'!AE46-'9.4'!AE31</f>
        <v>2239.1999999999998</v>
      </c>
      <c r="AF32" s="64">
        <f>'9.3'!AF46-'9.4'!AF31</f>
        <v>2440.8999999999996</v>
      </c>
    </row>
    <row r="33" spans="1:32" ht="36.75" customHeight="1" x14ac:dyDescent="0.2">
      <c r="A33" s="7" t="s">
        <v>202</v>
      </c>
      <c r="B33" s="25">
        <v>1</v>
      </c>
      <c r="C33" s="25">
        <v>1</v>
      </c>
      <c r="D33" s="25">
        <v>2</v>
      </c>
      <c r="E33" s="25">
        <v>2</v>
      </c>
      <c r="F33" s="57" t="s">
        <v>427</v>
      </c>
      <c r="G33" s="57" t="s">
        <v>427</v>
      </c>
      <c r="H33" s="57" t="s">
        <v>427</v>
      </c>
      <c r="I33" s="57" t="s">
        <v>427</v>
      </c>
      <c r="J33" s="57" t="s">
        <v>427</v>
      </c>
      <c r="K33" s="57" t="s">
        <v>427</v>
      </c>
      <c r="L33" s="57" t="s">
        <v>427</v>
      </c>
      <c r="M33" s="57" t="s">
        <v>427</v>
      </c>
      <c r="N33" s="57" t="s">
        <v>427</v>
      </c>
      <c r="O33" s="57" t="s">
        <v>427</v>
      </c>
      <c r="P33" s="57" t="s">
        <v>427</v>
      </c>
      <c r="Q33" s="57" t="s">
        <v>427</v>
      </c>
      <c r="R33" s="57" t="s">
        <v>427</v>
      </c>
      <c r="S33" s="57" t="s">
        <v>427</v>
      </c>
      <c r="T33" s="57" t="s">
        <v>427</v>
      </c>
      <c r="U33" s="57" t="s">
        <v>427</v>
      </c>
      <c r="V33" s="57" t="s">
        <v>427</v>
      </c>
      <c r="W33" s="57" t="s">
        <v>427</v>
      </c>
      <c r="X33" s="57" t="s">
        <v>427</v>
      </c>
      <c r="Y33" s="57" t="s">
        <v>427</v>
      </c>
      <c r="Z33" s="57" t="s">
        <v>427</v>
      </c>
      <c r="AA33" s="57" t="s">
        <v>427</v>
      </c>
      <c r="AB33" s="57" t="s">
        <v>427</v>
      </c>
      <c r="AC33" s="57" t="s">
        <v>427</v>
      </c>
      <c r="AD33" s="57" t="s">
        <v>427</v>
      </c>
      <c r="AE33" s="57" t="s">
        <v>427</v>
      </c>
      <c r="AF33" s="57" t="s">
        <v>427</v>
      </c>
    </row>
    <row r="34" spans="1:32" x14ac:dyDescent="0.2">
      <c r="A34" s="7" t="s">
        <v>221</v>
      </c>
      <c r="B34" s="25">
        <v>613</v>
      </c>
      <c r="C34" s="25">
        <v>673</v>
      </c>
      <c r="D34" s="25">
        <v>604</v>
      </c>
      <c r="E34" s="25">
        <v>607</v>
      </c>
      <c r="F34" s="57">
        <v>678.75300000000004</v>
      </c>
      <c r="G34" s="57">
        <v>652.09299999999996</v>
      </c>
      <c r="H34" s="57">
        <v>615.54499999999996</v>
      </c>
      <c r="I34" s="57">
        <v>560.52700000000004</v>
      </c>
      <c r="J34" s="57">
        <v>614.30499999999995</v>
      </c>
      <c r="K34" s="57">
        <v>721.46</v>
      </c>
      <c r="L34" s="57">
        <v>675.053</v>
      </c>
      <c r="M34" s="57">
        <v>727.85500000000002</v>
      </c>
      <c r="N34" s="57">
        <v>798</v>
      </c>
      <c r="O34" s="57">
        <v>777</v>
      </c>
      <c r="P34" s="57">
        <v>697</v>
      </c>
      <c r="Q34" s="57">
        <v>640</v>
      </c>
      <c r="R34" s="57">
        <v>582</v>
      </c>
      <c r="S34" s="57">
        <v>609</v>
      </c>
      <c r="T34" s="57">
        <v>423</v>
      </c>
      <c r="U34" s="57">
        <v>512</v>
      </c>
      <c r="V34" s="57">
        <v>487.82499999999999</v>
      </c>
      <c r="W34" s="57">
        <v>518</v>
      </c>
      <c r="X34" s="57">
        <v>588</v>
      </c>
      <c r="Y34" s="66">
        <v>600.96600000000001</v>
      </c>
      <c r="Z34" s="66">
        <v>493</v>
      </c>
      <c r="AA34" s="64">
        <f>'9.3'!AA49</f>
        <v>504</v>
      </c>
      <c r="AB34" s="64">
        <f>'9.3'!AB49</f>
        <v>443.7</v>
      </c>
      <c r="AC34" s="64">
        <f>'9.3'!AC49</f>
        <v>534.29999999999995</v>
      </c>
      <c r="AD34" s="64">
        <f>'9.3'!AD49</f>
        <v>533.97</v>
      </c>
      <c r="AE34" s="64">
        <f>'9.3'!AE49</f>
        <v>559.02</v>
      </c>
      <c r="AF34" s="64">
        <f>'9.3'!AF49</f>
        <v>589.22</v>
      </c>
    </row>
    <row r="35" spans="1:32" ht="37.5" customHeight="1" x14ac:dyDescent="0.2">
      <c r="A35" s="7" t="s">
        <v>203</v>
      </c>
      <c r="B35" s="25">
        <v>633</v>
      </c>
      <c r="C35" s="25">
        <v>646</v>
      </c>
      <c r="D35" s="25">
        <v>523</v>
      </c>
      <c r="E35" s="25">
        <v>503</v>
      </c>
      <c r="F35" s="57" t="s">
        <v>46</v>
      </c>
      <c r="G35" s="57" t="s">
        <v>46</v>
      </c>
      <c r="H35" s="57" t="s">
        <v>46</v>
      </c>
      <c r="I35" s="57" t="s">
        <v>46</v>
      </c>
      <c r="J35" s="57" t="s">
        <v>46</v>
      </c>
      <c r="K35" s="25">
        <v>408</v>
      </c>
      <c r="L35" s="25">
        <v>494</v>
      </c>
      <c r="M35" s="25">
        <v>512</v>
      </c>
      <c r="N35" s="56">
        <v>477</v>
      </c>
      <c r="O35" s="25">
        <v>494</v>
      </c>
      <c r="P35" s="59">
        <v>664</v>
      </c>
      <c r="Q35" s="59">
        <v>595</v>
      </c>
      <c r="R35" s="59">
        <v>528</v>
      </c>
      <c r="S35" s="59">
        <v>493</v>
      </c>
      <c r="T35" s="59">
        <v>448</v>
      </c>
      <c r="U35" s="59">
        <v>486</v>
      </c>
      <c r="V35" s="59">
        <v>560</v>
      </c>
      <c r="W35" s="59">
        <v>457</v>
      </c>
      <c r="X35" s="59">
        <v>377.92500000000001</v>
      </c>
      <c r="Y35" s="64">
        <v>168.67599999999999</v>
      </c>
      <c r="Z35" s="64">
        <v>149</v>
      </c>
      <c r="AA35" s="59">
        <v>137</v>
      </c>
      <c r="AB35" s="59">
        <v>127</v>
      </c>
      <c r="AC35" s="59">
        <v>137.142</v>
      </c>
      <c r="AD35" s="59">
        <v>122.48</v>
      </c>
      <c r="AE35" s="59">
        <v>73.11</v>
      </c>
      <c r="AF35" s="56">
        <v>94.92</v>
      </c>
    </row>
    <row r="36" spans="1:32" x14ac:dyDescent="0.2">
      <c r="A36" s="7" t="s">
        <v>222</v>
      </c>
      <c r="B36" s="25">
        <v>575</v>
      </c>
      <c r="C36" s="25">
        <v>409</v>
      </c>
      <c r="D36" s="25">
        <v>460</v>
      </c>
      <c r="E36" s="25">
        <v>529</v>
      </c>
      <c r="F36" s="57">
        <v>1075.9960000000001</v>
      </c>
      <c r="G36" s="57">
        <v>1150.0409999999999</v>
      </c>
      <c r="H36" s="57">
        <v>1124.117</v>
      </c>
      <c r="I36" s="57">
        <v>1061.4380000000001</v>
      </c>
      <c r="J36" s="57">
        <v>1071.9649999999999</v>
      </c>
      <c r="K36" s="25">
        <v>639</v>
      </c>
      <c r="L36" s="25">
        <v>607</v>
      </c>
      <c r="M36" s="25">
        <v>591</v>
      </c>
      <c r="N36" s="25">
        <v>539</v>
      </c>
      <c r="O36" s="25">
        <v>564</v>
      </c>
      <c r="P36" s="59">
        <v>558</v>
      </c>
      <c r="Q36" s="59">
        <v>607</v>
      </c>
      <c r="R36" s="59">
        <v>507</v>
      </c>
      <c r="S36" s="59">
        <v>485</v>
      </c>
      <c r="T36" s="59">
        <v>362</v>
      </c>
      <c r="U36" s="59">
        <v>476</v>
      </c>
      <c r="V36" s="59">
        <v>369</v>
      </c>
      <c r="W36" s="59">
        <v>385</v>
      </c>
      <c r="X36" s="59">
        <v>437.46500000000009</v>
      </c>
      <c r="Y36" s="64">
        <f>'9.3'!Y52-'9.4'!Y35</f>
        <v>348.52900000000005</v>
      </c>
      <c r="Z36" s="64">
        <f>'9.3'!Z52-'9.4'!Z35</f>
        <v>366</v>
      </c>
      <c r="AA36" s="64">
        <f>'9.3'!AA52-'9.4'!AA35</f>
        <v>397</v>
      </c>
      <c r="AB36" s="64">
        <f>'9.3'!AB52-'9.4'!AB35</f>
        <v>439.4</v>
      </c>
      <c r="AC36" s="64">
        <f>'9.3'!AC52-'9.4'!AC35</f>
        <v>470.45800000000003</v>
      </c>
      <c r="AD36" s="64">
        <f>'9.3'!AD52-'9.4'!AD35</f>
        <v>380.96999999999997</v>
      </c>
      <c r="AE36" s="64">
        <f>'9.3'!AE52-'9.4'!AE35</f>
        <v>357.38</v>
      </c>
      <c r="AF36" s="64">
        <f>'9.3'!AF52-'9.4'!AF35</f>
        <v>356.62</v>
      </c>
    </row>
    <row r="37" spans="1:32" ht="27.75" customHeight="1" x14ac:dyDescent="0.2">
      <c r="A37" s="7" t="s">
        <v>204</v>
      </c>
      <c r="B37" s="25">
        <v>59</v>
      </c>
      <c r="C37" s="25">
        <v>76</v>
      </c>
      <c r="D37" s="25">
        <v>62</v>
      </c>
      <c r="E37" s="25">
        <v>52</v>
      </c>
      <c r="F37" s="57" t="s">
        <v>46</v>
      </c>
      <c r="G37" s="57" t="s">
        <v>46</v>
      </c>
      <c r="H37" s="57" t="s">
        <v>46</v>
      </c>
      <c r="I37" s="57" t="s">
        <v>46</v>
      </c>
      <c r="J37" s="57" t="s">
        <v>46</v>
      </c>
      <c r="K37" s="57" t="s">
        <v>46</v>
      </c>
      <c r="L37" s="57" t="s">
        <v>46</v>
      </c>
      <c r="M37" s="57" t="s">
        <v>46</v>
      </c>
      <c r="N37" s="57" t="s">
        <v>46</v>
      </c>
      <c r="O37" s="57" t="s">
        <v>46</v>
      </c>
      <c r="P37" s="57" t="s">
        <v>46</v>
      </c>
      <c r="Q37" s="57" t="s">
        <v>46</v>
      </c>
      <c r="R37" s="57" t="s">
        <v>46</v>
      </c>
      <c r="S37" s="57" t="s">
        <v>46</v>
      </c>
      <c r="T37" s="57" t="s">
        <v>46</v>
      </c>
      <c r="U37" s="57" t="s">
        <v>46</v>
      </c>
      <c r="V37" s="57" t="s">
        <v>46</v>
      </c>
      <c r="W37" s="57" t="s">
        <v>46</v>
      </c>
      <c r="X37" s="57" t="s">
        <v>46</v>
      </c>
      <c r="Y37" s="66" t="s">
        <v>46</v>
      </c>
      <c r="Z37" s="66" t="s">
        <v>46</v>
      </c>
      <c r="AA37" s="66" t="s">
        <v>46</v>
      </c>
      <c r="AB37" s="66" t="s">
        <v>46</v>
      </c>
      <c r="AC37" s="66" t="s">
        <v>46</v>
      </c>
      <c r="AD37" s="66" t="s">
        <v>46</v>
      </c>
      <c r="AE37" s="66" t="s">
        <v>46</v>
      </c>
      <c r="AF37" s="56"/>
    </row>
    <row r="38" spans="1:32" x14ac:dyDescent="0.2">
      <c r="A38" s="7" t="s">
        <v>223</v>
      </c>
      <c r="B38" s="25">
        <v>271</v>
      </c>
      <c r="C38" s="25">
        <v>194</v>
      </c>
      <c r="D38" s="25">
        <v>188</v>
      </c>
      <c r="E38" s="25">
        <v>208</v>
      </c>
      <c r="F38" s="57">
        <v>237.86099999999999</v>
      </c>
      <c r="G38" s="57">
        <v>194.90600000000001</v>
      </c>
      <c r="H38" s="57">
        <v>161.22399999999999</v>
      </c>
      <c r="I38" s="57">
        <v>239.80600000000001</v>
      </c>
      <c r="J38" s="57">
        <v>242.02600000000001</v>
      </c>
      <c r="K38" s="57">
        <v>265.529</v>
      </c>
      <c r="L38" s="57">
        <v>217.928</v>
      </c>
      <c r="M38" s="57">
        <v>176.137</v>
      </c>
      <c r="N38" s="57">
        <v>144</v>
      </c>
      <c r="O38" s="57">
        <v>159</v>
      </c>
      <c r="P38" s="57">
        <v>139</v>
      </c>
      <c r="Q38" s="57">
        <v>148</v>
      </c>
      <c r="R38" s="57">
        <v>144</v>
      </c>
      <c r="S38" s="57">
        <v>141</v>
      </c>
      <c r="T38" s="57">
        <v>125</v>
      </c>
      <c r="U38" s="57">
        <v>103</v>
      </c>
      <c r="V38" s="57">
        <v>74.277000000000001</v>
      </c>
      <c r="W38" s="57">
        <v>62</v>
      </c>
      <c r="X38" s="57">
        <v>60.4</v>
      </c>
      <c r="Y38" s="66">
        <v>61.491999999999997</v>
      </c>
      <c r="Z38" s="66">
        <v>63</v>
      </c>
      <c r="AA38" s="64">
        <f>'9.3'!AA55</f>
        <v>33</v>
      </c>
      <c r="AB38" s="64">
        <f>'9.3'!AB55</f>
        <v>31.2</v>
      </c>
      <c r="AC38" s="64">
        <f>'9.3'!AC55</f>
        <v>11.6</v>
      </c>
      <c r="AD38" s="64">
        <f>'9.3'!AD55</f>
        <v>29.48</v>
      </c>
      <c r="AE38" s="64">
        <f>'9.3'!AE55</f>
        <v>23.36</v>
      </c>
      <c r="AF38" s="64">
        <f>'9.3'!AF55</f>
        <v>16.23</v>
      </c>
    </row>
    <row r="39" spans="1:32" ht="31.5" customHeight="1" x14ac:dyDescent="0.2">
      <c r="A39" s="7" t="s">
        <v>205</v>
      </c>
      <c r="B39" s="25">
        <v>18375</v>
      </c>
      <c r="C39" s="25">
        <v>19218</v>
      </c>
      <c r="D39" s="25">
        <v>22665</v>
      </c>
      <c r="E39" s="25">
        <v>40638</v>
      </c>
      <c r="F39" s="56">
        <v>43323</v>
      </c>
      <c r="G39" s="56">
        <v>41503</v>
      </c>
      <c r="H39" s="25">
        <v>38633</v>
      </c>
      <c r="I39" s="25">
        <v>39210</v>
      </c>
      <c r="J39" s="25">
        <v>41781</v>
      </c>
      <c r="K39" s="25">
        <v>38192</v>
      </c>
      <c r="L39" s="25">
        <v>37762</v>
      </c>
      <c r="M39" s="25">
        <v>38211</v>
      </c>
      <c r="N39" s="25">
        <v>34720</v>
      </c>
      <c r="O39" s="59">
        <v>30855</v>
      </c>
      <c r="P39" s="59">
        <v>29586</v>
      </c>
      <c r="Q39" s="59">
        <v>27455</v>
      </c>
      <c r="R39" s="59">
        <v>32738</v>
      </c>
      <c r="S39" s="59">
        <v>34863</v>
      </c>
      <c r="T39" s="59">
        <v>32438</v>
      </c>
      <c r="U39" s="59">
        <v>30405</v>
      </c>
      <c r="V39" s="59">
        <v>23208</v>
      </c>
      <c r="W39" s="59">
        <v>21028</v>
      </c>
      <c r="X39" s="59">
        <v>22039.327000000005</v>
      </c>
      <c r="Y39" s="64">
        <v>19982.289000000001</v>
      </c>
      <c r="Z39" s="64">
        <v>23081</v>
      </c>
      <c r="AA39" s="64">
        <v>22999</v>
      </c>
      <c r="AB39" s="64">
        <v>23336</v>
      </c>
      <c r="AC39" s="64">
        <v>22653.083999999995</v>
      </c>
      <c r="AD39" s="59">
        <v>20205</v>
      </c>
      <c r="AE39" s="59">
        <v>18526</v>
      </c>
      <c r="AF39" s="56">
        <v>15585</v>
      </c>
    </row>
    <row r="40" spans="1:32" x14ac:dyDescent="0.2">
      <c r="A40" s="7" t="s">
        <v>224</v>
      </c>
      <c r="B40" s="25">
        <v>4488</v>
      </c>
      <c r="C40" s="25">
        <v>4052</v>
      </c>
      <c r="D40" s="25">
        <v>3710</v>
      </c>
      <c r="E40" s="25">
        <v>3721</v>
      </c>
      <c r="F40" s="56">
        <v>3760</v>
      </c>
      <c r="G40" s="56">
        <v>4080</v>
      </c>
      <c r="H40" s="25">
        <v>4470</v>
      </c>
      <c r="I40" s="25">
        <v>5190</v>
      </c>
      <c r="J40" s="25">
        <v>3614</v>
      </c>
      <c r="K40" s="25">
        <v>2951</v>
      </c>
      <c r="L40" s="25">
        <v>3845</v>
      </c>
      <c r="M40" s="25">
        <v>3991</v>
      </c>
      <c r="N40" s="25">
        <v>4032</v>
      </c>
      <c r="O40" s="25">
        <v>4037</v>
      </c>
      <c r="P40" s="59">
        <v>4632</v>
      </c>
      <c r="Q40" s="59">
        <v>4101</v>
      </c>
      <c r="R40" s="59">
        <v>3943</v>
      </c>
      <c r="S40" s="59">
        <v>4191</v>
      </c>
      <c r="T40" s="59">
        <v>4252</v>
      </c>
      <c r="U40" s="59">
        <v>3930</v>
      </c>
      <c r="V40" s="59">
        <v>4670</v>
      </c>
      <c r="W40" s="59">
        <v>4304</v>
      </c>
      <c r="X40" s="59">
        <v>4325.8050000000003</v>
      </c>
      <c r="Y40" s="62">
        <f>'9.3'!Y58-'9.4'!Y39</f>
        <v>4625.6820000000007</v>
      </c>
      <c r="Z40" s="62">
        <f>'9.3'!Z58-'9.4'!Z39</f>
        <v>3993</v>
      </c>
      <c r="AA40" s="62">
        <f>'9.3'!AA58-'9.4'!AA39</f>
        <v>4440</v>
      </c>
      <c r="AB40" s="62">
        <f>'9.3'!AB58-'9.4'!AB39</f>
        <v>4207.7000000000007</v>
      </c>
      <c r="AC40" s="62">
        <f>'9.3'!AC58-'9.4'!AC39</f>
        <v>3934.3160000000025</v>
      </c>
      <c r="AD40" s="62">
        <f>'9.3'!AD58-'9.4'!AD39</f>
        <v>5016</v>
      </c>
      <c r="AE40" s="62">
        <f>'9.3'!AE58-'9.4'!AE39</f>
        <v>4506</v>
      </c>
      <c r="AF40" s="62">
        <f>'9.3'!AF58-'9.4'!AF39</f>
        <v>4192</v>
      </c>
    </row>
    <row r="41" spans="1:32" ht="35.25" customHeight="1" x14ac:dyDescent="0.2">
      <c r="A41" s="7" t="s">
        <v>206</v>
      </c>
      <c r="B41" s="25">
        <v>78</v>
      </c>
      <c r="C41" s="25">
        <v>77</v>
      </c>
      <c r="D41" s="25">
        <v>81</v>
      </c>
      <c r="E41" s="25">
        <v>68</v>
      </c>
      <c r="F41" s="57" t="s">
        <v>427</v>
      </c>
      <c r="G41" s="57" t="s">
        <v>427</v>
      </c>
      <c r="H41" s="57" t="s">
        <v>427</v>
      </c>
      <c r="I41" s="57" t="s">
        <v>427</v>
      </c>
      <c r="J41" s="57" t="s">
        <v>427</v>
      </c>
      <c r="K41" s="57" t="s">
        <v>427</v>
      </c>
      <c r="L41" s="57" t="s">
        <v>427</v>
      </c>
      <c r="M41" s="57" t="s">
        <v>427</v>
      </c>
      <c r="N41" s="57" t="s">
        <v>427</v>
      </c>
      <c r="O41" s="57" t="s">
        <v>427</v>
      </c>
      <c r="P41" s="57" t="s">
        <v>427</v>
      </c>
      <c r="Q41" s="57" t="s">
        <v>427</v>
      </c>
      <c r="R41" s="57" t="s">
        <v>427</v>
      </c>
      <c r="S41" s="57" t="s">
        <v>427</v>
      </c>
      <c r="T41" s="57" t="s">
        <v>427</v>
      </c>
      <c r="U41" s="57" t="s">
        <v>427</v>
      </c>
      <c r="V41" s="57" t="s">
        <v>427</v>
      </c>
      <c r="W41" s="57" t="s">
        <v>427</v>
      </c>
      <c r="X41" s="57" t="s">
        <v>427</v>
      </c>
      <c r="Y41" s="57" t="s">
        <v>427</v>
      </c>
      <c r="Z41" s="57" t="s">
        <v>427</v>
      </c>
      <c r="AA41" s="57" t="s">
        <v>427</v>
      </c>
      <c r="AB41" s="57" t="s">
        <v>427</v>
      </c>
      <c r="AC41" s="57" t="s">
        <v>427</v>
      </c>
      <c r="AD41" s="57" t="s">
        <v>427</v>
      </c>
      <c r="AE41" s="57" t="s">
        <v>427</v>
      </c>
      <c r="AF41" s="57" t="s">
        <v>427</v>
      </c>
    </row>
    <row r="42" spans="1:32" x14ac:dyDescent="0.2">
      <c r="A42" s="7" t="s">
        <v>225</v>
      </c>
      <c r="B42" s="25">
        <v>319</v>
      </c>
      <c r="C42" s="25">
        <v>404</v>
      </c>
      <c r="D42" s="25">
        <v>470</v>
      </c>
      <c r="E42" s="25">
        <v>422</v>
      </c>
      <c r="F42" s="57">
        <v>553.97500000000002</v>
      </c>
      <c r="G42" s="57">
        <v>531.90700000000004</v>
      </c>
      <c r="H42" s="57">
        <v>534.05200000000002</v>
      </c>
      <c r="I42" s="57">
        <v>514.06200000000001</v>
      </c>
      <c r="J42" s="57">
        <v>480.10300000000001</v>
      </c>
      <c r="K42" s="57">
        <v>636.73199999999997</v>
      </c>
      <c r="L42" s="57">
        <v>598.952</v>
      </c>
      <c r="M42" s="57">
        <v>690.80799999999999</v>
      </c>
      <c r="N42" s="57">
        <v>601</v>
      </c>
      <c r="O42" s="57">
        <v>589</v>
      </c>
      <c r="P42" s="57">
        <v>604</v>
      </c>
      <c r="Q42" s="57">
        <v>602</v>
      </c>
      <c r="R42" s="57">
        <v>595</v>
      </c>
      <c r="S42" s="57">
        <v>549</v>
      </c>
      <c r="T42" s="57">
        <v>476</v>
      </c>
      <c r="U42" s="57">
        <v>580</v>
      </c>
      <c r="V42" s="57">
        <v>604.62599999999998</v>
      </c>
      <c r="W42" s="57">
        <v>552</v>
      </c>
      <c r="X42" s="57">
        <v>564.70000000000005</v>
      </c>
      <c r="Y42" s="57">
        <v>632.12400000000002</v>
      </c>
      <c r="Z42" s="63">
        <v>612</v>
      </c>
      <c r="AA42" s="64">
        <f>'9.3'!AA61</f>
        <v>601.3309999999999</v>
      </c>
      <c r="AB42" s="64">
        <f>'9.3'!AB61</f>
        <v>584.4</v>
      </c>
      <c r="AC42" s="64">
        <f>'9.3'!AC61</f>
        <v>559</v>
      </c>
      <c r="AD42" s="64">
        <f>'9.3'!AD61</f>
        <v>558.41</v>
      </c>
      <c r="AE42" s="64">
        <f>'9.3'!AE61</f>
        <v>530.32000000000005</v>
      </c>
      <c r="AF42" s="64">
        <f>'9.3'!AF61</f>
        <v>491.91999999999996</v>
      </c>
    </row>
    <row r="43" spans="1:32" ht="39.75" customHeight="1" x14ac:dyDescent="0.2">
      <c r="A43" s="7" t="s">
        <v>226</v>
      </c>
      <c r="B43" s="33">
        <f t="shared" ref="B43:AE43" si="0">SUM(B5,B7,B9,B13,B15,B19,B23,B25,B29,B31,B35,B39)</f>
        <v>70444</v>
      </c>
      <c r="C43" s="33">
        <f t="shared" si="0"/>
        <v>74956</v>
      </c>
      <c r="D43" s="33">
        <f t="shared" si="0"/>
        <v>78111</v>
      </c>
      <c r="E43" s="33">
        <f t="shared" si="0"/>
        <v>100559</v>
      </c>
      <c r="F43" s="33">
        <f t="shared" si="0"/>
        <v>101366</v>
      </c>
      <c r="G43" s="33">
        <f t="shared" si="0"/>
        <v>99739</v>
      </c>
      <c r="H43" s="33">
        <f t="shared" si="0"/>
        <v>89833</v>
      </c>
      <c r="I43" s="33">
        <f t="shared" si="0"/>
        <v>97851</v>
      </c>
      <c r="J43" s="33">
        <f t="shared" si="0"/>
        <v>106569</v>
      </c>
      <c r="K43" s="33">
        <f t="shared" si="0"/>
        <v>108334</v>
      </c>
      <c r="L43" s="33">
        <f t="shared" si="0"/>
        <v>100086</v>
      </c>
      <c r="M43" s="33">
        <f t="shared" si="0"/>
        <v>98641</v>
      </c>
      <c r="N43" s="33">
        <f t="shared" si="0"/>
        <v>88100</v>
      </c>
      <c r="O43" s="33">
        <f t="shared" si="0"/>
        <v>87163</v>
      </c>
      <c r="P43" s="33">
        <f t="shared" si="0"/>
        <v>83919</v>
      </c>
      <c r="Q43" s="33">
        <f t="shared" si="0"/>
        <v>76593</v>
      </c>
      <c r="R43" s="33">
        <f t="shared" si="0"/>
        <v>75008</v>
      </c>
      <c r="S43" s="33">
        <f t="shared" si="0"/>
        <v>70454</v>
      </c>
      <c r="T43" s="33">
        <f t="shared" si="0"/>
        <v>61885</v>
      </c>
      <c r="U43" s="33">
        <f t="shared" si="0"/>
        <v>60142</v>
      </c>
      <c r="V43" s="33">
        <f t="shared" si="0"/>
        <v>52561</v>
      </c>
      <c r="W43" s="33">
        <f t="shared" si="0"/>
        <v>51623</v>
      </c>
      <c r="X43" s="33">
        <f t="shared" si="0"/>
        <v>47030.038</v>
      </c>
      <c r="Y43" s="33">
        <f t="shared" si="0"/>
        <v>44932.517999999996</v>
      </c>
      <c r="Z43" s="33">
        <f t="shared" si="0"/>
        <v>45164</v>
      </c>
      <c r="AA43" s="33">
        <f t="shared" si="0"/>
        <v>41965.222999999998</v>
      </c>
      <c r="AB43" s="33">
        <f t="shared" si="0"/>
        <v>41994</v>
      </c>
      <c r="AC43" s="33">
        <f t="shared" si="0"/>
        <v>40288.288999999997</v>
      </c>
      <c r="AD43" s="33">
        <f t="shared" si="0"/>
        <v>39518.620000000003</v>
      </c>
      <c r="AE43" s="33">
        <f t="shared" si="0"/>
        <v>34983.550000000003</v>
      </c>
      <c r="AF43" s="33">
        <f t="shared" ref="AF43" si="1">SUM(AF5,AF7,AF9,AF13,AF15,AF19,AF23,AF25,AF29,AF31,AF35,AF39)</f>
        <v>32742.829999999998</v>
      </c>
    </row>
    <row r="44" spans="1:32" x14ac:dyDescent="0.2">
      <c r="A44" s="7" t="s">
        <v>185</v>
      </c>
      <c r="B44" s="33">
        <f t="shared" ref="B44:AE44" si="2">SUM(B6,B8,B10,B14,B16,B20,B24,B26,B30,B32,B36,B40)</f>
        <v>21390</v>
      </c>
      <c r="C44" s="33">
        <f t="shared" si="2"/>
        <v>19717</v>
      </c>
      <c r="D44" s="33">
        <f t="shared" si="2"/>
        <v>19259</v>
      </c>
      <c r="E44" s="33">
        <f t="shared" si="2"/>
        <v>19414</v>
      </c>
      <c r="F44" s="33">
        <f t="shared" si="2"/>
        <v>19643.789000000001</v>
      </c>
      <c r="G44" s="33">
        <f t="shared" si="2"/>
        <v>20093.667999999998</v>
      </c>
      <c r="H44" s="33">
        <f t="shared" si="2"/>
        <v>19882.86</v>
      </c>
      <c r="I44" s="33">
        <f t="shared" si="2"/>
        <v>21707.538</v>
      </c>
      <c r="J44" s="33">
        <f t="shared" si="2"/>
        <v>18639.965</v>
      </c>
      <c r="K44" s="33">
        <f t="shared" si="2"/>
        <v>18599</v>
      </c>
      <c r="L44" s="33">
        <f t="shared" si="2"/>
        <v>19482</v>
      </c>
      <c r="M44" s="33">
        <f t="shared" si="2"/>
        <v>19449</v>
      </c>
      <c r="N44" s="33">
        <f t="shared" si="2"/>
        <v>18373</v>
      </c>
      <c r="O44" s="33">
        <f t="shared" si="2"/>
        <v>19253</v>
      </c>
      <c r="P44" s="33">
        <f t="shared" si="2"/>
        <v>21073</v>
      </c>
      <c r="Q44" s="33">
        <f t="shared" si="2"/>
        <v>21029</v>
      </c>
      <c r="R44" s="33">
        <f t="shared" si="2"/>
        <v>22803</v>
      </c>
      <c r="S44" s="33">
        <f t="shared" si="2"/>
        <v>21654</v>
      </c>
      <c r="T44" s="33">
        <f t="shared" si="2"/>
        <v>20196</v>
      </c>
      <c r="U44" s="33">
        <f t="shared" si="2"/>
        <v>20384</v>
      </c>
      <c r="V44" s="33">
        <f t="shared" si="2"/>
        <v>21391</v>
      </c>
      <c r="W44" s="33">
        <f t="shared" si="2"/>
        <v>21210</v>
      </c>
      <c r="X44" s="33">
        <f t="shared" si="2"/>
        <v>20886.812000000002</v>
      </c>
      <c r="Y44" s="33">
        <f t="shared" si="2"/>
        <v>22682.685000000001</v>
      </c>
      <c r="Z44" s="33">
        <f t="shared" si="2"/>
        <v>21388</v>
      </c>
      <c r="AA44" s="33">
        <f t="shared" si="2"/>
        <v>21443.777000000002</v>
      </c>
      <c r="AB44" s="33">
        <f t="shared" si="2"/>
        <v>21958.800000000007</v>
      </c>
      <c r="AC44" s="33">
        <f t="shared" si="2"/>
        <v>21681.311000000002</v>
      </c>
      <c r="AD44" s="33">
        <f t="shared" si="2"/>
        <v>23641.690000000002</v>
      </c>
      <c r="AE44" s="33">
        <f t="shared" si="2"/>
        <v>20463.760000000002</v>
      </c>
      <c r="AF44" s="33">
        <f t="shared" ref="AF44" si="3">SUM(AF6,AF8,AF10,AF14,AF16,AF20,AF24,AF26,AF30,AF32,AF36,AF40)</f>
        <v>21800.909999999996</v>
      </c>
    </row>
    <row r="45" spans="1:32" ht="33.75" customHeight="1" x14ac:dyDescent="0.2">
      <c r="A45" s="7" t="s">
        <v>186</v>
      </c>
      <c r="B45" s="33">
        <f t="shared" ref="B45:Y45" si="4">SUM(B43:B44)</f>
        <v>91834</v>
      </c>
      <c r="C45" s="33">
        <f t="shared" si="4"/>
        <v>94673</v>
      </c>
      <c r="D45" s="33">
        <f t="shared" si="4"/>
        <v>97370</v>
      </c>
      <c r="E45" s="33">
        <f t="shared" si="4"/>
        <v>119973</v>
      </c>
      <c r="F45" s="33">
        <f t="shared" si="4"/>
        <v>121009.789</v>
      </c>
      <c r="G45" s="33">
        <f t="shared" si="4"/>
        <v>119832.66800000001</v>
      </c>
      <c r="H45" s="33">
        <f t="shared" si="4"/>
        <v>109715.86</v>
      </c>
      <c r="I45" s="33">
        <f t="shared" si="4"/>
        <v>119558.538</v>
      </c>
      <c r="J45" s="33">
        <f t="shared" si="4"/>
        <v>125208.965</v>
      </c>
      <c r="K45" s="33">
        <f t="shared" si="4"/>
        <v>126933</v>
      </c>
      <c r="L45" s="33">
        <f t="shared" si="4"/>
        <v>119568</v>
      </c>
      <c r="M45" s="33">
        <f t="shared" si="4"/>
        <v>118090</v>
      </c>
      <c r="N45" s="33">
        <f t="shared" si="4"/>
        <v>106473</v>
      </c>
      <c r="O45" s="33">
        <f t="shared" si="4"/>
        <v>106416</v>
      </c>
      <c r="P45" s="33">
        <f t="shared" si="4"/>
        <v>104992</v>
      </c>
      <c r="Q45" s="33">
        <f t="shared" si="4"/>
        <v>97622</v>
      </c>
      <c r="R45" s="33">
        <f t="shared" si="4"/>
        <v>97811</v>
      </c>
      <c r="S45" s="33">
        <f t="shared" si="4"/>
        <v>92108</v>
      </c>
      <c r="T45" s="33">
        <f t="shared" si="4"/>
        <v>82081</v>
      </c>
      <c r="U45" s="33">
        <f t="shared" si="4"/>
        <v>80526</v>
      </c>
      <c r="V45" s="33">
        <f t="shared" si="4"/>
        <v>73952</v>
      </c>
      <c r="W45" s="33">
        <f t="shared" si="4"/>
        <v>72833</v>
      </c>
      <c r="X45" s="33">
        <f t="shared" si="4"/>
        <v>67916.850000000006</v>
      </c>
      <c r="Y45" s="33">
        <f t="shared" si="4"/>
        <v>67615.202999999994</v>
      </c>
      <c r="Z45" s="33">
        <f t="shared" ref="Z45:AE45" si="5">SUM(Z43:Z44)</f>
        <v>66552</v>
      </c>
      <c r="AA45" s="33">
        <f t="shared" si="5"/>
        <v>63409</v>
      </c>
      <c r="AB45" s="33">
        <f t="shared" si="5"/>
        <v>63952.800000000003</v>
      </c>
      <c r="AC45" s="33">
        <f t="shared" si="5"/>
        <v>61969.599999999999</v>
      </c>
      <c r="AD45" s="33">
        <f t="shared" si="5"/>
        <v>63160.310000000005</v>
      </c>
      <c r="AE45" s="33">
        <f t="shared" si="5"/>
        <v>55447.310000000005</v>
      </c>
      <c r="AF45" s="33">
        <f t="shared" ref="AF45" si="6">SUM(AF43:AF44)</f>
        <v>54543.739999999991</v>
      </c>
    </row>
    <row r="46" spans="1:32" x14ac:dyDescent="0.2">
      <c r="A46" s="7" t="s">
        <v>187</v>
      </c>
      <c r="B46" s="44">
        <f t="shared" ref="B46:Y46" si="7">SUM(B5:B42)</f>
        <v>96066</v>
      </c>
      <c r="C46" s="44">
        <f t="shared" si="7"/>
        <v>98588</v>
      </c>
      <c r="D46" s="44">
        <f t="shared" si="7"/>
        <v>101184</v>
      </c>
      <c r="E46" s="44">
        <f t="shared" si="7"/>
        <v>123804</v>
      </c>
      <c r="F46" s="44">
        <f t="shared" si="7"/>
        <v>124981.118</v>
      </c>
      <c r="G46" s="44">
        <f t="shared" si="7"/>
        <v>123608.25</v>
      </c>
      <c r="H46" s="44">
        <f t="shared" si="7"/>
        <v>113274.067</v>
      </c>
      <c r="I46" s="44">
        <f t="shared" si="7"/>
        <v>122933.22000000002</v>
      </c>
      <c r="J46" s="44">
        <f t="shared" si="7"/>
        <v>128408.80399999999</v>
      </c>
      <c r="K46" s="44">
        <f t="shared" si="7"/>
        <v>130512.96200000001</v>
      </c>
      <c r="L46" s="44">
        <f t="shared" si="7"/>
        <v>123819.98300000001</v>
      </c>
      <c r="M46" s="44">
        <f t="shared" si="7"/>
        <v>122155.819</v>
      </c>
      <c r="N46" s="44">
        <f t="shared" si="7"/>
        <v>110537</v>
      </c>
      <c r="O46" s="44">
        <f t="shared" si="7"/>
        <v>110444</v>
      </c>
      <c r="P46" s="44">
        <f t="shared" si="7"/>
        <v>108889</v>
      </c>
      <c r="Q46" s="44">
        <f t="shared" si="7"/>
        <v>101587</v>
      </c>
      <c r="R46" s="44">
        <f t="shared" si="7"/>
        <v>101951</v>
      </c>
      <c r="S46" s="44">
        <f t="shared" si="7"/>
        <v>96347</v>
      </c>
      <c r="T46" s="44">
        <f t="shared" si="7"/>
        <v>85547</v>
      </c>
      <c r="U46" s="44">
        <f t="shared" si="7"/>
        <v>84818</v>
      </c>
      <c r="V46" s="44">
        <f t="shared" si="7"/>
        <v>77413.758000000002</v>
      </c>
      <c r="W46" s="44">
        <f t="shared" si="7"/>
        <v>76140</v>
      </c>
      <c r="X46" s="44">
        <f t="shared" si="7"/>
        <v>71638.85000000002</v>
      </c>
      <c r="Y46" s="44">
        <f t="shared" si="7"/>
        <v>71381.006999999998</v>
      </c>
      <c r="Z46" s="44">
        <f t="shared" ref="Z46:AE46" si="8">SUM(Z5:Z42)</f>
        <v>69968</v>
      </c>
      <c r="AA46" s="44">
        <f t="shared" si="8"/>
        <v>66692.402000000002</v>
      </c>
      <c r="AB46" s="44">
        <f t="shared" si="8"/>
        <v>66984.599999999991</v>
      </c>
      <c r="AC46" s="44">
        <f t="shared" si="8"/>
        <v>65082.600000000006</v>
      </c>
      <c r="AD46" s="44">
        <f t="shared" si="8"/>
        <v>66760.800000000017</v>
      </c>
      <c r="AE46" s="44">
        <f t="shared" si="8"/>
        <v>58961.909999999989</v>
      </c>
      <c r="AF46" s="44">
        <f>SUM(AF5:AF42)</f>
        <v>58078.19</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A37370832</value>
    </field>
    <field name="Objective-Title">
      <value order="0">STS - Chapter 09 - Water Transport - Reference tables</value>
    </field>
    <field name="Objective-Description">
      <value order="0"/>
    </field>
    <field name="Objective-CreationStamp">
      <value order="0">2021-06-25T13:55:47Z</value>
    </field>
    <field name="Objective-IsApproved">
      <value order="0">false</value>
    </field>
    <field name="Objective-IsPublished">
      <value order="0">true</value>
    </field>
    <field name="Objective-DatePublished">
      <value order="0">2023-03-08T09:21:43Z</value>
    </field>
    <field name="Objective-ModificationStamp">
      <value order="0">2023-03-08T09:21:43Z</value>
    </field>
    <field name="Objective-Owner">
      <value order="0">Knight, Andrew A (U016789)</value>
    </field>
    <field name="Objective-Path">
      <value order="0">Objective Global Folder:SG File Plan:Business and industry:Transport:General:Research and analysis: Transport - general:Scottish Transport Statistics: 2022: Research and analysis: Transport: 2021-2026</value>
    </field>
    <field name="Objective-Parent">
      <value order="0">Scottish Transport Statistics: 2022: Research and analysis: Transport: 2021-2026</value>
    </field>
    <field name="Objective-State">
      <value order="0">Published</value>
    </field>
    <field name="Objective-VersionId">
      <value order="0">vA63793249</value>
    </field>
    <field name="Objective-Version">
      <value order="0">30.0</value>
    </field>
    <field name="Objective-VersionNumber">
      <value order="0">30</value>
    </field>
    <field name="Objective-VersionComment">
      <value order="0"/>
    </field>
    <field name="Objective-FileNumber">
      <value order="0">STAT/375</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Contents</vt:lpstr>
      <vt:lpstr>Notes</vt:lpstr>
      <vt:lpstr>9.1a</vt:lpstr>
      <vt:lpstr>9.1b</vt:lpstr>
      <vt:lpstr>9.1c</vt:lpstr>
      <vt:lpstr>9.1d</vt:lpstr>
      <vt:lpstr>9.2</vt:lpstr>
      <vt:lpstr>9.3</vt:lpstr>
      <vt:lpstr>9.4</vt:lpstr>
      <vt:lpstr>9.5</vt:lpstr>
      <vt:lpstr>9.6a</vt:lpstr>
      <vt:lpstr>9.6b</vt:lpstr>
      <vt:lpstr>9.7</vt:lpstr>
      <vt:lpstr>9.8</vt:lpstr>
      <vt:lpstr>9.9</vt:lpstr>
      <vt:lpstr>9.10</vt:lpstr>
      <vt:lpstr>9.11</vt:lpstr>
      <vt:lpstr>9.12a</vt:lpstr>
      <vt:lpstr>9.12b</vt:lpstr>
      <vt:lpstr>9.13a</vt:lpstr>
      <vt:lpstr>9.13b</vt:lpstr>
      <vt:lpstr>9.14a</vt:lpstr>
      <vt:lpstr>9.14b</vt:lpstr>
      <vt:lpstr>9.15</vt:lpstr>
      <vt:lpstr>9.15cont</vt:lpstr>
      <vt:lpstr>9.15b</vt:lpstr>
      <vt:lpstr>9.16a</vt:lpstr>
      <vt:lpstr>9.16b</vt:lpstr>
      <vt:lpstr>9.16c</vt:lpstr>
      <vt:lpstr>9.17</vt:lpstr>
      <vt:lpstr>9.18</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Knight</cp:lastModifiedBy>
  <dcterms:created xsi:type="dcterms:W3CDTF">2020-10-01T09:58:23Z</dcterms:created>
  <dcterms:modified xsi:type="dcterms:W3CDTF">2023-03-08T09:26:48Z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A37370832</vt:lpwstr>
  </property>
  <property fmtid="{D5CDD505-2E9C-101B-9397-08002B2CF9AE}" pid="4" name="Objective-Title">
    <vt:lpwstr>STS - Chapter 09 - Water Transport - Reference tables</vt:lpwstr>
  </property>
  <property fmtid="{D5CDD505-2E9C-101B-9397-08002B2CF9AE}" pid="5" name="Objective-Description">
    <vt:lpwstr/>
  </property>
  <property fmtid="{D5CDD505-2E9C-101B-9397-08002B2CF9AE}" pid="6" name="Objective-CreationStamp">
    <vt:filetime>2022-04-06T07:56:25Z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2023-03-08T09:21:43Z</vt:filetime>
  </property>
  <property fmtid="{D5CDD505-2E9C-101B-9397-08002B2CF9AE}" pid="10" name="Objective-ModificationStamp">
    <vt:filetime>2023-03-08T09:21:43Z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2022: Research and analysis: Transport: 2021-2026:</vt:lpwstr>
  </property>
  <property fmtid="{D5CDD505-2E9C-101B-9397-08002B2CF9AE}" pid="13" name="Objective-Parent">
    <vt:lpwstr>Scottish Transport Statistics: 2022: Research and analysis: Transport: 2021-2026</vt:lpwstr>
  </property>
  <property fmtid="{D5CDD505-2E9C-101B-9397-08002B2CF9AE}" pid="14" name="Objective-State">
    <vt:lpwstr>Published</vt:lpwstr>
  </property>
  <property fmtid="{D5CDD505-2E9C-101B-9397-08002B2CF9AE}" pid="15" name="Objective-VersionId">
    <vt:lpwstr>vA63793249</vt:lpwstr>
  </property>
  <property fmtid="{D5CDD505-2E9C-101B-9397-08002B2CF9AE}" pid="16" name="Objective-Version">
    <vt:lpwstr>30.0</vt:lpwstr>
  </property>
  <property fmtid="{D5CDD505-2E9C-101B-9397-08002B2CF9AE}" pid="17" name="Objective-VersionNumber">
    <vt:r8>30</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